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Website\Website\WWOC\2015\"/>
    </mc:Choice>
  </mc:AlternateContent>
  <bookViews>
    <workbookView xWindow="11760" yWindow="-30" windowWidth="11310" windowHeight="9420" tabRatio="941" activeTab="13"/>
  </bookViews>
  <sheets>
    <sheet name="Summary" sheetId="89" r:id="rId1"/>
    <sheet name="Revenue" sheetId="77" r:id="rId2"/>
    <sheet name="All Departments" sheetId="47" r:id="rId3"/>
    <sheet name="Adm" sheetId="80" r:id="rId4"/>
    <sheet name="Opm" sheetId="44" r:id="rId5"/>
    <sheet name="Lab" sheetId="45" r:id="rId6"/>
    <sheet name="Con" sheetId="46" r:id="rId7"/>
    <sheet name="Eng" sheetId="48" r:id="rId8"/>
    <sheet name="General CIP" sheetId="87" r:id="rId9"/>
    <sheet name="CIP" sheetId="83" r:id="rId10"/>
    <sheet name="Investments" sheetId="86" r:id="rId11"/>
    <sheet name="GIC" sheetId="91" r:id="rId12"/>
    <sheet name="Debt" sheetId="90" r:id="rId13"/>
    <sheet name="Reserves" sheetId="92" r:id="rId14"/>
    <sheet name="TB - Revenue Data" sheetId="78" r:id="rId15"/>
    <sheet name="TB - Expense Data" sheetId="79" r:id="rId16"/>
    <sheet name="TB - Fixed Assets and CIP" sheetId="85" r:id="rId17"/>
    <sheet name="VL Verification" sheetId="94" r:id="rId18"/>
    <sheet name="Full Trial Balance" sheetId="93" r:id="rId19"/>
  </sheets>
  <externalReferences>
    <externalReference r:id="rId20"/>
  </externalReferences>
  <definedNames>
    <definedName name="_CIP1" localSheetId="8">#REF!</definedName>
    <definedName name="_CIP1" localSheetId="13">#REF!</definedName>
    <definedName name="_CIP1" localSheetId="16">#REF!</definedName>
    <definedName name="_CIP1" localSheetId="17">#REF!</definedName>
    <definedName name="_CIP1">#REF!</definedName>
    <definedName name="_CIP2" localSheetId="8">#REF!</definedName>
    <definedName name="_CIP2" localSheetId="13">#REF!</definedName>
    <definedName name="_CIP2" localSheetId="16">#REF!</definedName>
    <definedName name="_CIP2" localSheetId="17">#REF!</definedName>
    <definedName name="_CIP2">#REF!</definedName>
    <definedName name="AAA" localSheetId="8">#REF!</definedName>
    <definedName name="AAA" localSheetId="13">#REF!</definedName>
    <definedName name="AAA" localSheetId="16">#REF!</definedName>
    <definedName name="AAA" localSheetId="17">#REF!</definedName>
    <definedName name="AAA">#REF!</definedName>
    <definedName name="ADM_MW_EXP" localSheetId="8">#REF!</definedName>
    <definedName name="ADM_MW_EXP" localSheetId="13">#REF!</definedName>
    <definedName name="ADM_MW_EXP" localSheetId="16">#REF!</definedName>
    <definedName name="ADM_MW_EXP" localSheetId="17">#REF!</definedName>
    <definedName name="ADM_MW_EXP">#REF!</definedName>
    <definedName name="ADM_MW_SAL" localSheetId="8">#REF!</definedName>
    <definedName name="ADM_MW_SAL" localSheetId="13">#REF!</definedName>
    <definedName name="ADM_MW_SAL" localSheetId="16">#REF!</definedName>
    <definedName name="ADM_MW_SAL" localSheetId="17">#REF!</definedName>
    <definedName name="ADM_MW_SAL">#REF!</definedName>
    <definedName name="ADM_MW_TOT" localSheetId="8">#REF!</definedName>
    <definedName name="ADM_MW_TOT" localSheetId="13">#REF!</definedName>
    <definedName name="ADM_MW_TOT" localSheetId="16">#REF!</definedName>
    <definedName name="ADM_MW_TOT" localSheetId="17">#REF!</definedName>
    <definedName name="ADM_MW_TOT">#REF!</definedName>
    <definedName name="bbbb" localSheetId="8">#REF!</definedName>
    <definedName name="bbbb" localSheetId="13">#REF!</definedName>
    <definedName name="bbbb" localSheetId="16">#REF!</definedName>
    <definedName name="bbbb" localSheetId="17">#REF!</definedName>
    <definedName name="bbbb">#REF!</definedName>
    <definedName name="CIP" localSheetId="8">#REF!</definedName>
    <definedName name="CIP" localSheetId="13">#REF!</definedName>
    <definedName name="CIP" localSheetId="16">#REF!</definedName>
    <definedName name="CIP" localSheetId="17">#REF!</definedName>
    <definedName name="CIP">#REF!</definedName>
    <definedName name="CONSER_BREAKDOWN" localSheetId="8">#REF!</definedName>
    <definedName name="CONSER_BREAKDOWN" localSheetId="13">#REF!</definedName>
    <definedName name="CONSER_BREAKDOWN" localSheetId="16">#REF!</definedName>
    <definedName name="CONSER_BREAKDOWN" localSheetId="17">#REF!</definedName>
    <definedName name="CONSER_BREAKDOWN">#REF!</definedName>
    <definedName name="CONSOLIDATED_98_99" localSheetId="8">#REF!</definedName>
    <definedName name="CONSOLIDATED_98_99" localSheetId="13">#REF!</definedName>
    <definedName name="CONSOLIDATED_98_99" localSheetId="16">#REF!</definedName>
    <definedName name="CONSOLIDATED_98_99" localSheetId="17">#REF!</definedName>
    <definedName name="CONSOLIDATED_98_99">#REF!</definedName>
    <definedName name="CONSOLIDATED_99_00" localSheetId="8">#REF!</definedName>
    <definedName name="CONSOLIDATED_99_00" localSheetId="13">#REF!</definedName>
    <definedName name="CONSOLIDATED_99_00" localSheetId="16">#REF!</definedName>
    <definedName name="CONSOLIDATED_99_00" localSheetId="17">#REF!</definedName>
    <definedName name="CONSOLIDATED_99_00">#REF!</definedName>
    <definedName name="CONSOLIDATED_COMPLETE" localSheetId="8">#REF!</definedName>
    <definedName name="CONSOLIDATED_COMPLETE" localSheetId="13">#REF!</definedName>
    <definedName name="CONSOLIDATED_COMPLETE" localSheetId="16">#REF!</definedName>
    <definedName name="CONSOLIDATED_COMPLETE" localSheetId="17">#REF!</definedName>
    <definedName name="CONSOLIDATED_COMPLETE">#REF!</definedName>
    <definedName name="ENGG_BREAKDOWN" localSheetId="8">#REF!</definedName>
    <definedName name="ENGG_BREAKDOWN" localSheetId="13">#REF!</definedName>
    <definedName name="ENGG_BREAKDOWN" localSheetId="16">#REF!</definedName>
    <definedName name="ENGG_BREAKDOWN" localSheetId="17">#REF!</definedName>
    <definedName name="ENGG_BREAKDOWN">#REF!</definedName>
    <definedName name="FOS_ADMIN" localSheetId="8">#REF!</definedName>
    <definedName name="FOS_ADMIN" localSheetId="13">#REF!</definedName>
    <definedName name="FOS_ADMIN" localSheetId="16">#REF!</definedName>
    <definedName name="FOS_ADMIN" localSheetId="17">#REF!</definedName>
    <definedName name="FOS_ADMIN">#REF!</definedName>
    <definedName name="FOS_ENGG" localSheetId="8">#REF!</definedName>
    <definedName name="FOS_ENGG" localSheetId="13">#REF!</definedName>
    <definedName name="FOS_ENGG" localSheetId="16">#REF!</definedName>
    <definedName name="FOS_ENGG" localSheetId="17">#REF!</definedName>
    <definedName name="FOS_ENGG">#REF!</definedName>
    <definedName name="FOS_OPERMAINT" localSheetId="8">#REF!</definedName>
    <definedName name="FOS_OPERMAINT" localSheetId="13">#REF!</definedName>
    <definedName name="FOS_OPERMAINT" localSheetId="16">#REF!</definedName>
    <definedName name="FOS_OPERMAINT" localSheetId="17">#REF!</definedName>
    <definedName name="FOS_OPERMAINT">#REF!</definedName>
    <definedName name="FOW_ADMIN" localSheetId="8">#REF!</definedName>
    <definedName name="FOW_ADMIN" localSheetId="13">#REF!</definedName>
    <definedName name="FOW_ADMIN" localSheetId="16">#REF!</definedName>
    <definedName name="FOW_ADMIN" localSheetId="17">#REF!</definedName>
    <definedName name="FOW_ADMIN">#REF!</definedName>
    <definedName name="FOW_CONSER" localSheetId="8">#REF!</definedName>
    <definedName name="FOW_CONSER" localSheetId="13">#REF!</definedName>
    <definedName name="FOW_CONSER" localSheetId="16">#REF!</definedName>
    <definedName name="FOW_CONSER" localSheetId="17">#REF!</definedName>
    <definedName name="FOW_CONSER">#REF!</definedName>
    <definedName name="FOW_ENGG" localSheetId="8">#REF!</definedName>
    <definedName name="FOW_ENGG" localSheetId="13">#REF!</definedName>
    <definedName name="FOW_ENGG" localSheetId="16">#REF!</definedName>
    <definedName name="FOW_ENGG" localSheetId="17">#REF!</definedName>
    <definedName name="FOW_ENGG">#REF!</definedName>
    <definedName name="FOW_FOS_COMPLETE" localSheetId="8">#REF!</definedName>
    <definedName name="FOW_FOS_COMPLETE" localSheetId="13">#REF!</definedName>
    <definedName name="FOW_FOS_COMPLETE" localSheetId="16">#REF!</definedName>
    <definedName name="FOW_FOS_COMPLETE" localSheetId="17">#REF!</definedName>
    <definedName name="FOW_FOS_COMPLETE">#REF!</definedName>
    <definedName name="FOW_LAB" localSheetId="8">#REF!</definedName>
    <definedName name="FOW_LAB" localSheetId="13">#REF!</definedName>
    <definedName name="FOW_LAB" localSheetId="16">#REF!</definedName>
    <definedName name="FOW_LAB" localSheetId="17">#REF!</definedName>
    <definedName name="FOW_LAB">#REF!</definedName>
    <definedName name="FOW_OPERMAINT" localSheetId="8">#REF!</definedName>
    <definedName name="FOW_OPERMAINT" localSheetId="13">#REF!</definedName>
    <definedName name="FOW_OPERMAINT" localSheetId="16">#REF!</definedName>
    <definedName name="FOW_OPERMAINT" localSheetId="17">#REF!</definedName>
    <definedName name="FOW_OPERMAINT">#REF!</definedName>
    <definedName name="LAB_BREAKDOWN" localSheetId="8">#REF!</definedName>
    <definedName name="LAB_BREAKDOWN" localSheetId="13">#REF!</definedName>
    <definedName name="LAB_BREAKDOWN" localSheetId="16">#REF!</definedName>
    <definedName name="LAB_BREAKDOWN" localSheetId="17">#REF!</definedName>
    <definedName name="LAB_BREAKDOWN">#REF!</definedName>
    <definedName name="MS_ADMIN" localSheetId="8">#REF!</definedName>
    <definedName name="MS_ADMIN" localSheetId="13">#REF!</definedName>
    <definedName name="MS_ADMIN" localSheetId="16">#REF!</definedName>
    <definedName name="MS_ADMIN" localSheetId="17">#REF!</definedName>
    <definedName name="MS_ADMIN">#REF!</definedName>
    <definedName name="MS_ENGG" localSheetId="8">#REF!</definedName>
    <definedName name="MS_ENGG" localSheetId="13">#REF!</definedName>
    <definedName name="MS_ENGG" localSheetId="16">#REF!</definedName>
    <definedName name="MS_ENGG" localSheetId="17">#REF!</definedName>
    <definedName name="MS_ENGG">#REF!</definedName>
    <definedName name="MS_OPERMAINT" localSheetId="8">#REF!</definedName>
    <definedName name="MS_OPERMAINT" localSheetId="13">#REF!</definedName>
    <definedName name="MS_OPERMAINT" localSheetId="16">#REF!</definedName>
    <definedName name="MS_OPERMAINT" localSheetId="17">#REF!</definedName>
    <definedName name="MS_OPERMAINT">#REF!</definedName>
    <definedName name="MW_ADMIN" localSheetId="8">#REF!</definedName>
    <definedName name="MW_ADMIN" localSheetId="13">#REF!</definedName>
    <definedName name="MW_ADMIN" localSheetId="16">#REF!</definedName>
    <definedName name="MW_ADMIN" localSheetId="17">#REF!</definedName>
    <definedName name="MW_ADMIN">#REF!</definedName>
    <definedName name="MW_ADMIN_BREAKDOWN" localSheetId="8">#REF!</definedName>
    <definedName name="MW_ADMIN_BREAKDOWN" localSheetId="13">#REF!</definedName>
    <definedName name="MW_ADMIN_BREAKDOWN" localSheetId="16">#REF!</definedName>
    <definedName name="MW_ADMIN_BREAKDOWN" localSheetId="17">#REF!</definedName>
    <definedName name="MW_ADMIN_BREAKDOWN">#REF!</definedName>
    <definedName name="MW_CONSER" localSheetId="8">#REF!</definedName>
    <definedName name="MW_CONSER" localSheetId="13">#REF!</definedName>
    <definedName name="MW_CONSER" localSheetId="16">#REF!</definedName>
    <definedName name="MW_CONSER" localSheetId="17">#REF!</definedName>
    <definedName name="MW_CONSER">#REF!</definedName>
    <definedName name="MW_ENGG" localSheetId="8">#REF!</definedName>
    <definedName name="MW_ENGG" localSheetId="13">#REF!</definedName>
    <definedName name="MW_ENGG" localSheetId="16">#REF!</definedName>
    <definedName name="MW_ENGG" localSheetId="17">#REF!</definedName>
    <definedName name="MW_ENGG">#REF!</definedName>
    <definedName name="MW_LAB" localSheetId="8">#REF!</definedName>
    <definedName name="MW_LAB" localSheetId="13">#REF!</definedName>
    <definedName name="MW_LAB" localSheetId="16">#REF!</definedName>
    <definedName name="MW_LAB" localSheetId="17">#REF!</definedName>
    <definedName name="MW_LAB">#REF!</definedName>
    <definedName name="MW_MS_COMPLETE" localSheetId="8">#REF!</definedName>
    <definedName name="MW_MS_COMPLETE" localSheetId="13">#REF!</definedName>
    <definedName name="MW_MS_COMPLETE" localSheetId="16">#REF!</definedName>
    <definedName name="MW_MS_COMPLETE" localSheetId="17">#REF!</definedName>
    <definedName name="MW_MS_COMPLETE">#REF!</definedName>
    <definedName name="MW_OPERMAINT" localSheetId="8">#REF!</definedName>
    <definedName name="MW_OPERMAINT" localSheetId="13">#REF!</definedName>
    <definedName name="MW_OPERMAINT" localSheetId="16">#REF!</definedName>
    <definedName name="MW_OPERMAINT" localSheetId="17">#REF!</definedName>
    <definedName name="MW_OPERMAINT">#REF!</definedName>
    <definedName name="MW_REVENUE" localSheetId="8">#REF!</definedName>
    <definedName name="MW_REVENUE" localSheetId="13">#REF!</definedName>
    <definedName name="MW_REVENUE" localSheetId="16">#REF!</definedName>
    <definedName name="MW_REVENUE" localSheetId="17">#REF!</definedName>
    <definedName name="MW_REVENUE">#REF!</definedName>
    <definedName name="MW_Salary" localSheetId="8">#REF!,#REF!,#REF!,#REF!,#REF!</definedName>
    <definedName name="MW_Salary" localSheetId="13">#REF!,#REF!,#REF!,#REF!,#REF!</definedName>
    <definedName name="MW_Salary" localSheetId="16">#REF!,#REF!,#REF!,#REF!,#REF!</definedName>
    <definedName name="MW_Salary" localSheetId="17">#REF!,#REF!,#REF!,#REF!,#REF!</definedName>
    <definedName name="MW_Salary">#REF!,#REF!,#REF!,#REF!,#REF!</definedName>
    <definedName name="OPERMAINT_BREAKDOWN" localSheetId="8">#REF!</definedName>
    <definedName name="OPERMAINT_BREAKDOWN" localSheetId="13">#REF!</definedName>
    <definedName name="OPERMAINT_BREAKDOWN" localSheetId="16">#REF!</definedName>
    <definedName name="OPERMAINT_BREAKDOWN" localSheetId="17">#REF!</definedName>
    <definedName name="OPERMAINT_BREAKDOWN">#REF!</definedName>
    <definedName name="_xlnm.Print_Area" localSheetId="2">'All Departments'!$A$1:$Y$77</definedName>
    <definedName name="_xlnm.Print_Area" localSheetId="9">CIP!$O$5:$Y$36</definedName>
    <definedName name="_xlnm.Print_Area" localSheetId="12">Debt!$A$1:$O$33</definedName>
    <definedName name="_xlnm.Print_Area" localSheetId="7">Eng!$A$1:$AP$41</definedName>
    <definedName name="_xlnm.Print_Area" localSheetId="8">'General CIP'!$O$5:$Y$14</definedName>
    <definedName name="_xlnm.Print_Area" localSheetId="11">GIC!$A$1:$O$20</definedName>
    <definedName name="_xlnm.Print_Area" localSheetId="10">Investments!$A$1:$O$54</definedName>
    <definedName name="_xlnm.Print_Area" localSheetId="5">Lab!$C$1:$R$46</definedName>
    <definedName name="_xlnm.Print_Area" localSheetId="4">Opm!$C$8:$AD$127</definedName>
    <definedName name="_xlnm.Print_Area" localSheetId="13">Reserves!$A$1:$L$36</definedName>
    <definedName name="_xlnm.Print_Area" localSheetId="1">Revenue!$A$1:$Y$47</definedName>
    <definedName name="_xlnm.Print_Area" localSheetId="0">Summary!$A$1:$L$51</definedName>
    <definedName name="_xlnm.Print_Titles" localSheetId="3">Adm!$A:$A</definedName>
    <definedName name="_xlnm.Print_Titles" localSheetId="2">'All Departments'!$A:$A,'All Departments'!$1:$7</definedName>
    <definedName name="_xlnm.Print_Titles" localSheetId="9">CIP!$A:$A,CIP!$1:$7</definedName>
    <definedName name="_xlnm.Print_Titles" localSheetId="6">Con!$A:$A,Con!$1:$8</definedName>
    <definedName name="_xlnm.Print_Titles" localSheetId="7">Eng!$A:$A,Eng!$1:$8</definedName>
    <definedName name="_xlnm.Print_Titles" localSheetId="8">'General CIP'!$A:$A,'General CIP'!$1:$4</definedName>
    <definedName name="_xlnm.Print_Titles" localSheetId="5">Lab!$A:$A,Lab!$1:$7</definedName>
    <definedName name="_xlnm.Print_Titles" localSheetId="4">Opm!$A:$A,Opm!$1:$7</definedName>
    <definedName name="_xlnm.Print_Titles" localSheetId="1">Revenue!$A:$A,Revenue!$1:$8</definedName>
    <definedName name="_xlnm.Print_Titles" localSheetId="0">Summary!$1:$4</definedName>
    <definedName name="Salary" localSheetId="8">#REF!</definedName>
    <definedName name="Salary" localSheetId="13">#REF!</definedName>
    <definedName name="Salary" localSheetId="16">#REF!</definedName>
    <definedName name="Salary" localSheetId="17">#REF!</definedName>
    <definedName name="Salary">#REF!</definedName>
    <definedName name="temp0" localSheetId="8">#REF!</definedName>
    <definedName name="temp0" localSheetId="13">#REF!</definedName>
    <definedName name="temp0" localSheetId="16">#REF!</definedName>
    <definedName name="temp0" localSheetId="17">#REF!</definedName>
    <definedName name="temp0">#REF!</definedName>
    <definedName name="temp1" localSheetId="8">#REF!</definedName>
    <definedName name="temp1" localSheetId="13">#REF!</definedName>
    <definedName name="temp1" localSheetId="16">#REF!</definedName>
    <definedName name="temp1" localSheetId="17">#REF!</definedName>
    <definedName name="temp1">#REF!</definedName>
    <definedName name="temp10" localSheetId="8">#REF!</definedName>
    <definedName name="temp10" localSheetId="13">#REF!</definedName>
    <definedName name="temp10" localSheetId="16">#REF!</definedName>
    <definedName name="temp10" localSheetId="17">#REF!</definedName>
    <definedName name="temp10">#REF!</definedName>
    <definedName name="temp11" localSheetId="8">#REF!</definedName>
    <definedName name="temp11" localSheetId="13">#REF!</definedName>
    <definedName name="temp11" localSheetId="16">#REF!</definedName>
    <definedName name="temp11" localSheetId="17">#REF!</definedName>
    <definedName name="temp11">#REF!</definedName>
    <definedName name="temp12" localSheetId="8">#REF!</definedName>
    <definedName name="temp12" localSheetId="13">#REF!</definedName>
    <definedName name="temp12" localSheetId="16">#REF!</definedName>
    <definedName name="temp12" localSheetId="17">#REF!</definedName>
    <definedName name="temp12">#REF!</definedName>
    <definedName name="temp13" localSheetId="8">#REF!</definedName>
    <definedName name="temp13" localSheetId="13">#REF!</definedName>
    <definedName name="temp13" localSheetId="16">#REF!</definedName>
    <definedName name="temp13" localSheetId="17">#REF!</definedName>
    <definedName name="temp13">#REF!</definedName>
    <definedName name="temp14" localSheetId="8">#REF!</definedName>
    <definedName name="temp14" localSheetId="13">#REF!</definedName>
    <definedName name="temp14" localSheetId="16">#REF!</definedName>
    <definedName name="temp14" localSheetId="17">#REF!</definedName>
    <definedName name="temp14">#REF!</definedName>
    <definedName name="temp15" localSheetId="8">#REF!</definedName>
    <definedName name="temp15" localSheetId="13">#REF!</definedName>
    <definedName name="temp15" localSheetId="16">#REF!</definedName>
    <definedName name="temp15" localSheetId="17">#REF!</definedName>
    <definedName name="temp15">#REF!</definedName>
    <definedName name="temp16" localSheetId="8">#REF!</definedName>
    <definedName name="temp16" localSheetId="13">#REF!</definedName>
    <definedName name="temp16" localSheetId="16">#REF!</definedName>
    <definedName name="temp16" localSheetId="17">#REF!</definedName>
    <definedName name="temp16">#REF!</definedName>
    <definedName name="temp17" localSheetId="8">#REF!</definedName>
    <definedName name="temp17" localSheetId="13">#REF!</definedName>
    <definedName name="temp17" localSheetId="16">#REF!</definedName>
    <definedName name="temp17" localSheetId="17">#REF!</definedName>
    <definedName name="temp17">#REF!</definedName>
    <definedName name="temp18" localSheetId="8">#REF!</definedName>
    <definedName name="temp18" localSheetId="13">#REF!</definedName>
    <definedName name="temp18" localSheetId="16">#REF!</definedName>
    <definedName name="temp18" localSheetId="17">#REF!</definedName>
    <definedName name="temp18">#REF!</definedName>
    <definedName name="temp19" localSheetId="8">#REF!</definedName>
    <definedName name="temp19" localSheetId="13">#REF!</definedName>
    <definedName name="temp19" localSheetId="16">#REF!</definedName>
    <definedName name="temp19" localSheetId="17">#REF!</definedName>
    <definedName name="temp19">#REF!</definedName>
    <definedName name="temp2" localSheetId="8">#REF!</definedName>
    <definedName name="temp2" localSheetId="13">#REF!</definedName>
    <definedName name="temp2" localSheetId="16">#REF!</definedName>
    <definedName name="temp2" localSheetId="17">#REF!</definedName>
    <definedName name="temp2">#REF!</definedName>
    <definedName name="temp20" localSheetId="8">#REF!</definedName>
    <definedName name="temp20" localSheetId="13">#REF!</definedName>
    <definedName name="temp20" localSheetId="16">#REF!</definedName>
    <definedName name="temp20" localSheetId="17">#REF!</definedName>
    <definedName name="temp20">#REF!</definedName>
    <definedName name="temp21" localSheetId="8">#REF!</definedName>
    <definedName name="temp21" localSheetId="13">#REF!</definedName>
    <definedName name="temp21" localSheetId="16">#REF!</definedName>
    <definedName name="temp21" localSheetId="17">#REF!</definedName>
    <definedName name="temp21">#REF!</definedName>
    <definedName name="temp22" localSheetId="8">#REF!</definedName>
    <definedName name="temp22" localSheetId="13">#REF!</definedName>
    <definedName name="temp22" localSheetId="16">#REF!</definedName>
    <definedName name="temp22" localSheetId="17">#REF!</definedName>
    <definedName name="temp22">#REF!</definedName>
    <definedName name="temp23" localSheetId="8">#REF!</definedName>
    <definedName name="temp23" localSheetId="13">#REF!</definedName>
    <definedName name="temp23" localSheetId="16">#REF!</definedName>
    <definedName name="temp23" localSheetId="17">#REF!</definedName>
    <definedName name="temp23">#REF!</definedName>
    <definedName name="temp24" localSheetId="8">#REF!</definedName>
    <definedName name="temp24" localSheetId="13">#REF!</definedName>
    <definedName name="temp24" localSheetId="16">#REF!</definedName>
    <definedName name="temp24" localSheetId="17">#REF!</definedName>
    <definedName name="temp24">#REF!</definedName>
    <definedName name="temp25" localSheetId="8">#REF!</definedName>
    <definedName name="temp25" localSheetId="13">#REF!</definedName>
    <definedName name="temp25" localSheetId="16">#REF!</definedName>
    <definedName name="temp25" localSheetId="17">#REF!</definedName>
    <definedName name="temp25">#REF!</definedName>
    <definedName name="temp26" localSheetId="8">#REF!</definedName>
    <definedName name="temp26" localSheetId="13">#REF!</definedName>
    <definedName name="temp26" localSheetId="16">#REF!</definedName>
    <definedName name="temp26" localSheetId="17">#REF!</definedName>
    <definedName name="temp26">#REF!</definedName>
    <definedName name="temp27" localSheetId="8">#REF!</definedName>
    <definedName name="temp27" localSheetId="13">#REF!</definedName>
    <definedName name="temp27" localSheetId="16">#REF!</definedName>
    <definedName name="temp27" localSheetId="17">#REF!</definedName>
    <definedName name="temp27">#REF!</definedName>
    <definedName name="temp28" localSheetId="8">#REF!</definedName>
    <definedName name="temp28" localSheetId="13">#REF!</definedName>
    <definedName name="temp28" localSheetId="16">#REF!</definedName>
    <definedName name="temp28" localSheetId="17">#REF!</definedName>
    <definedName name="temp28">#REF!</definedName>
    <definedName name="temp3" localSheetId="8">#REF!</definedName>
    <definedName name="temp3" localSheetId="13">#REF!</definedName>
    <definedName name="temp3" localSheetId="16">#REF!</definedName>
    <definedName name="temp3" localSheetId="17">#REF!</definedName>
    <definedName name="temp3">#REF!</definedName>
    <definedName name="temp4" localSheetId="8">#REF!</definedName>
    <definedName name="temp4" localSheetId="13">#REF!</definedName>
    <definedName name="temp4" localSheetId="16">#REF!</definedName>
    <definedName name="temp4" localSheetId="17">#REF!</definedName>
    <definedName name="temp4">#REF!</definedName>
    <definedName name="temp5" localSheetId="8">#REF!</definedName>
    <definedName name="temp5" localSheetId="13">#REF!</definedName>
    <definedName name="temp5" localSheetId="16">#REF!</definedName>
    <definedName name="temp5" localSheetId="17">#REF!</definedName>
    <definedName name="temp5">#REF!</definedName>
    <definedName name="temp6" localSheetId="8">#REF!</definedName>
    <definedName name="temp6" localSheetId="13">#REF!</definedName>
    <definedName name="temp6" localSheetId="16">#REF!</definedName>
    <definedName name="temp6" localSheetId="17">#REF!</definedName>
    <definedName name="temp6">#REF!</definedName>
    <definedName name="temp7" localSheetId="8">#REF!</definedName>
    <definedName name="temp7" localSheetId="13">#REF!</definedName>
    <definedName name="temp7" localSheetId="16">#REF!</definedName>
    <definedName name="temp7" localSheetId="17">#REF!</definedName>
    <definedName name="temp7">#REF!</definedName>
    <definedName name="temp8" localSheetId="8">#REF!</definedName>
    <definedName name="temp8" localSheetId="13">#REF!</definedName>
    <definedName name="temp8" localSheetId="16">#REF!</definedName>
    <definedName name="temp8" localSheetId="17">#REF!</definedName>
    <definedName name="temp8">#REF!</definedName>
    <definedName name="temp9" localSheetId="8">#REF!</definedName>
    <definedName name="temp9" localSheetId="13">#REF!</definedName>
    <definedName name="temp9" localSheetId="16">#REF!</definedName>
    <definedName name="temp9" localSheetId="17">#REF!</definedName>
    <definedName name="temp9">#REF!</definedName>
    <definedName name="Title_Period">[1]Multiples!$A$3</definedName>
  </definedNames>
  <calcPr calcId="152511"/>
</workbook>
</file>

<file path=xl/calcChain.xml><?xml version="1.0" encoding="utf-8"?>
<calcChain xmlns="http://schemas.openxmlformats.org/spreadsheetml/2006/main">
  <c r="K42" i="89" l="1"/>
  <c r="K40" i="89"/>
  <c r="K38" i="89"/>
  <c r="K23" i="89"/>
  <c r="L25" i="92"/>
  <c r="J42" i="89"/>
  <c r="J40" i="89"/>
  <c r="J38" i="89"/>
  <c r="J23" i="89"/>
  <c r="O20" i="92"/>
  <c r="AG12" i="87"/>
  <c r="AG9" i="87"/>
  <c r="AH9" i="87" s="1"/>
  <c r="AA9" i="87"/>
  <c r="AB9" i="87" s="1"/>
  <c r="AA12" i="87"/>
  <c r="AB12" i="87" s="1"/>
  <c r="AA10" i="87"/>
  <c r="AA11" i="87"/>
  <c r="AB11" i="87" s="1"/>
  <c r="AD11" i="87" s="1"/>
  <c r="AE11" i="87" s="1"/>
  <c r="U12" i="87"/>
  <c r="U11" i="87"/>
  <c r="U10" i="87"/>
  <c r="V10" i="87" s="1"/>
  <c r="O12" i="87"/>
  <c r="O11" i="87"/>
  <c r="O10" i="87"/>
  <c r="O9" i="87"/>
  <c r="P9" i="87" s="1"/>
  <c r="P14" i="87" s="1"/>
  <c r="I12" i="87"/>
  <c r="J12" i="87" s="1"/>
  <c r="I11" i="87"/>
  <c r="J11" i="87" s="1"/>
  <c r="I10" i="87"/>
  <c r="I9" i="87"/>
  <c r="I14" i="87" s="1"/>
  <c r="C12" i="87"/>
  <c r="C11" i="87"/>
  <c r="C10" i="87"/>
  <c r="C9" i="87"/>
  <c r="A50" i="92"/>
  <c r="A51" i="92"/>
  <c r="A52" i="92"/>
  <c r="A53" i="92"/>
  <c r="A54" i="92"/>
  <c r="A55" i="92"/>
  <c r="A56" i="92"/>
  <c r="A57" i="92"/>
  <c r="A58" i="92"/>
  <c r="A59" i="92"/>
  <c r="A60" i="92"/>
  <c r="A61" i="92"/>
  <c r="A62" i="92"/>
  <c r="A63" i="92"/>
  <c r="A64" i="92"/>
  <c r="A65" i="92"/>
  <c r="A66" i="92"/>
  <c r="A67" i="92"/>
  <c r="A68" i="92"/>
  <c r="A69" i="92"/>
  <c r="A70" i="92"/>
  <c r="A71" i="92"/>
  <c r="A72" i="92"/>
  <c r="A73" i="92"/>
  <c r="A74" i="92"/>
  <c r="A75" i="92"/>
  <c r="A76" i="92"/>
  <c r="A77" i="92"/>
  <c r="A78" i="92"/>
  <c r="A79" i="92"/>
  <c r="A80" i="92"/>
  <c r="A81" i="92"/>
  <c r="A82" i="92"/>
  <c r="A83" i="92"/>
  <c r="A84" i="92"/>
  <c r="A85" i="92"/>
  <c r="A86" i="92"/>
  <c r="A87" i="92"/>
  <c r="A88" i="92"/>
  <c r="A89" i="92"/>
  <c r="O6" i="92" s="1"/>
  <c r="A90" i="92"/>
  <c r="A91" i="92"/>
  <c r="A92" i="92"/>
  <c r="A93" i="92"/>
  <c r="A94" i="92"/>
  <c r="A95" i="92"/>
  <c r="A96" i="92"/>
  <c r="A97" i="92"/>
  <c r="O7" i="92" s="1"/>
  <c r="A98" i="92"/>
  <c r="A99" i="92"/>
  <c r="A100" i="92"/>
  <c r="A101" i="92"/>
  <c r="A102" i="92"/>
  <c r="A103" i="92"/>
  <c r="A104" i="92"/>
  <c r="A105" i="92"/>
  <c r="O9" i="92" s="1"/>
  <c r="A106" i="92"/>
  <c r="A107" i="92"/>
  <c r="A108" i="92"/>
  <c r="A109" i="92"/>
  <c r="A110" i="92"/>
  <c r="A111" i="92"/>
  <c r="A112" i="92"/>
  <c r="A49" i="92"/>
  <c r="J19" i="92"/>
  <c r="J28" i="92" s="1"/>
  <c r="E19" i="92"/>
  <c r="E28" i="92" s="1"/>
  <c r="I19" i="92"/>
  <c r="I28" i="92" s="1"/>
  <c r="H19" i="92"/>
  <c r="H28" i="92" s="1"/>
  <c r="AG10" i="83"/>
  <c r="AH10" i="83" s="1"/>
  <c r="AI10" i="83"/>
  <c r="AG11" i="83"/>
  <c r="AH11" i="83" s="1"/>
  <c r="AI11" i="83"/>
  <c r="AJ11" i="83" s="1"/>
  <c r="AK11" i="83" s="1"/>
  <c r="AG12" i="83"/>
  <c r="AH12" i="83" s="1"/>
  <c r="AI12" i="83"/>
  <c r="AG13" i="83"/>
  <c r="AH13" i="83" s="1"/>
  <c r="AI13" i="83"/>
  <c r="AG14" i="83"/>
  <c r="AH14" i="83" s="1"/>
  <c r="AI14" i="83"/>
  <c r="AG15" i="83"/>
  <c r="AH15" i="83" s="1"/>
  <c r="AI15" i="83"/>
  <c r="AN15" i="83" s="1"/>
  <c r="AG16" i="83"/>
  <c r="AH16" i="83" s="1"/>
  <c r="AI16" i="83"/>
  <c r="AG17" i="83"/>
  <c r="AH17" i="83" s="1"/>
  <c r="AI17" i="83"/>
  <c r="AG18" i="83"/>
  <c r="AH18" i="83" s="1"/>
  <c r="AI18" i="83"/>
  <c r="AG19" i="83"/>
  <c r="AH19" i="83" s="1"/>
  <c r="AI19" i="83"/>
  <c r="AJ19" i="83" s="1"/>
  <c r="AK19" i="83" s="1"/>
  <c r="AG20" i="83"/>
  <c r="AH20" i="83" s="1"/>
  <c r="AI20" i="83"/>
  <c r="AG21" i="83"/>
  <c r="AH21" i="83" s="1"/>
  <c r="AI21" i="83"/>
  <c r="AG22" i="83"/>
  <c r="AH22" i="83" s="1"/>
  <c r="AI22" i="83"/>
  <c r="AG23" i="83"/>
  <c r="AH23" i="83" s="1"/>
  <c r="AI23" i="83"/>
  <c r="AJ23" i="83" s="1"/>
  <c r="AK23" i="83" s="1"/>
  <c r="AG24" i="83"/>
  <c r="AH24" i="83" s="1"/>
  <c r="AI24" i="83"/>
  <c r="AG25" i="83"/>
  <c r="AH25" i="83"/>
  <c r="AI25" i="83"/>
  <c r="AG26" i="83"/>
  <c r="AH26" i="83" s="1"/>
  <c r="AG27" i="83"/>
  <c r="AH27" i="83" s="1"/>
  <c r="AI27" i="83"/>
  <c r="AG28" i="83"/>
  <c r="AH28" i="83" s="1"/>
  <c r="AI28" i="83"/>
  <c r="AG29" i="83"/>
  <c r="AH29" i="83" s="1"/>
  <c r="AI29" i="83"/>
  <c r="AG30" i="83"/>
  <c r="AH30" i="83" s="1"/>
  <c r="AG31" i="83"/>
  <c r="AH31" i="83" s="1"/>
  <c r="AI31" i="83"/>
  <c r="AG32" i="83"/>
  <c r="AI32" i="83"/>
  <c r="AG33" i="83"/>
  <c r="AH33" i="83" s="1"/>
  <c r="AI33" i="83"/>
  <c r="AG34" i="83"/>
  <c r="AH34" i="83" s="1"/>
  <c r="AI34" i="83"/>
  <c r="AA10" i="83"/>
  <c r="AB10" i="83" s="1"/>
  <c r="AC10" i="83"/>
  <c r="AA11" i="83"/>
  <c r="AB11" i="83" s="1"/>
  <c r="AC11" i="83"/>
  <c r="AA12" i="83"/>
  <c r="AB12" i="83" s="1"/>
  <c r="AC12" i="83"/>
  <c r="AA13" i="83"/>
  <c r="AB13" i="83" s="1"/>
  <c r="AC13" i="83"/>
  <c r="AA14" i="83"/>
  <c r="AB14" i="83" s="1"/>
  <c r="AC14" i="83"/>
  <c r="AA15" i="83"/>
  <c r="AB15" i="83" s="1"/>
  <c r="AC15" i="83"/>
  <c r="AA16" i="83"/>
  <c r="AB16" i="83" s="1"/>
  <c r="AC16" i="83"/>
  <c r="AA17" i="83"/>
  <c r="AB17" i="83" s="1"/>
  <c r="AC17" i="83"/>
  <c r="AA18" i="83"/>
  <c r="AB18" i="83" s="1"/>
  <c r="AC18" i="83"/>
  <c r="AA19" i="83"/>
  <c r="AC19" i="83"/>
  <c r="AA20" i="83"/>
  <c r="AB20" i="83" s="1"/>
  <c r="AC20" i="83"/>
  <c r="AA21" i="83"/>
  <c r="AB21" i="83" s="1"/>
  <c r="AC21" i="83"/>
  <c r="AA22" i="83"/>
  <c r="AB22" i="83" s="1"/>
  <c r="AC22" i="83"/>
  <c r="AA23" i="83"/>
  <c r="AC23" i="83"/>
  <c r="AA24" i="83"/>
  <c r="AB24" i="83"/>
  <c r="AC24" i="83"/>
  <c r="AA25" i="83"/>
  <c r="AB25" i="83" s="1"/>
  <c r="AC25" i="83"/>
  <c r="AA27" i="83"/>
  <c r="AB27" i="83" s="1"/>
  <c r="AC27" i="83"/>
  <c r="AD27" i="83" s="1"/>
  <c r="AE27" i="83" s="1"/>
  <c r="AA28" i="83"/>
  <c r="AB28" i="83" s="1"/>
  <c r="AC28" i="83"/>
  <c r="AA30" i="83"/>
  <c r="AB30" i="83" s="1"/>
  <c r="AC30" i="83"/>
  <c r="AA32" i="83"/>
  <c r="AB32" i="83" s="1"/>
  <c r="AC32" i="83"/>
  <c r="AA33" i="83"/>
  <c r="AB33" i="83" s="1"/>
  <c r="AC33" i="83"/>
  <c r="AD33" i="83" s="1"/>
  <c r="AE33" i="83" s="1"/>
  <c r="AA34" i="83"/>
  <c r="AB34" i="83" s="1"/>
  <c r="AC34" i="83"/>
  <c r="U10" i="83"/>
  <c r="V10" i="83" s="1"/>
  <c r="W10" i="83"/>
  <c r="U11" i="83"/>
  <c r="V11" i="83" s="1"/>
  <c r="W11" i="83"/>
  <c r="U12" i="83"/>
  <c r="V12" i="83" s="1"/>
  <c r="W12" i="83"/>
  <c r="X12" i="83" s="1"/>
  <c r="Y12" i="83" s="1"/>
  <c r="U13" i="83"/>
  <c r="V13" i="83" s="1"/>
  <c r="W13" i="83"/>
  <c r="U14" i="83"/>
  <c r="V14" i="83" s="1"/>
  <c r="W14" i="83"/>
  <c r="U15" i="83"/>
  <c r="V15" i="83" s="1"/>
  <c r="W15" i="83"/>
  <c r="X15" i="83" s="1"/>
  <c r="Y15" i="83" s="1"/>
  <c r="U16" i="83"/>
  <c r="V16" i="83" s="1"/>
  <c r="W16" i="83"/>
  <c r="U17" i="83"/>
  <c r="V17" i="83" s="1"/>
  <c r="W17" i="83"/>
  <c r="U18" i="83"/>
  <c r="V18" i="83" s="1"/>
  <c r="W18" i="83"/>
  <c r="U19" i="83"/>
  <c r="V19" i="83" s="1"/>
  <c r="W19" i="83"/>
  <c r="U20" i="83"/>
  <c r="V20" i="83" s="1"/>
  <c r="W20" i="83"/>
  <c r="U22" i="83"/>
  <c r="V22" i="83" s="1"/>
  <c r="U23" i="83"/>
  <c r="V23" i="83" s="1"/>
  <c r="U25" i="83"/>
  <c r="V25" i="83" s="1"/>
  <c r="W25" i="83"/>
  <c r="U26" i="83"/>
  <c r="V26" i="83"/>
  <c r="X26" i="83" s="1"/>
  <c r="Y26" i="83" s="1"/>
  <c r="W26" i="83"/>
  <c r="U27" i="83"/>
  <c r="V27" i="83" s="1"/>
  <c r="W27" i="83"/>
  <c r="U28" i="83"/>
  <c r="V28" i="83" s="1"/>
  <c r="W28" i="83"/>
  <c r="U29" i="83"/>
  <c r="V29" i="83" s="1"/>
  <c r="W29" i="83"/>
  <c r="U30" i="83"/>
  <c r="V30" i="83" s="1"/>
  <c r="AM30" i="83" s="1"/>
  <c r="W30" i="83"/>
  <c r="U31" i="83"/>
  <c r="V31" i="83" s="1"/>
  <c r="U32" i="83"/>
  <c r="V32" i="83" s="1"/>
  <c r="U33" i="83"/>
  <c r="V33" i="83" s="1"/>
  <c r="U34" i="83"/>
  <c r="V34" i="83" s="1"/>
  <c r="W34" i="83"/>
  <c r="O10" i="83"/>
  <c r="P10" i="83" s="1"/>
  <c r="Q10" i="83"/>
  <c r="O11" i="83"/>
  <c r="P11" i="83" s="1"/>
  <c r="Q11" i="83"/>
  <c r="O12" i="83"/>
  <c r="P12" i="83" s="1"/>
  <c r="Q12" i="83"/>
  <c r="O13" i="83"/>
  <c r="P13" i="83" s="1"/>
  <c r="Q13" i="83"/>
  <c r="O17" i="83"/>
  <c r="P17" i="83"/>
  <c r="O19" i="83"/>
  <c r="P19" i="83" s="1"/>
  <c r="Q19" i="83"/>
  <c r="O20" i="83"/>
  <c r="P20" i="83" s="1"/>
  <c r="O21" i="83"/>
  <c r="P21" i="83" s="1"/>
  <c r="Q21" i="83"/>
  <c r="O22" i="83"/>
  <c r="P22" i="83"/>
  <c r="Q22" i="83"/>
  <c r="AN22" i="83" s="1"/>
  <c r="O23" i="83"/>
  <c r="P23" i="83" s="1"/>
  <c r="Q23" i="83"/>
  <c r="O24" i="83"/>
  <c r="P24" i="83" s="1"/>
  <c r="Q24" i="83"/>
  <c r="O25" i="83"/>
  <c r="P25" i="83" s="1"/>
  <c r="O26" i="83"/>
  <c r="P26" i="83" s="1"/>
  <c r="Q26" i="83"/>
  <c r="O28" i="83"/>
  <c r="P28" i="83" s="1"/>
  <c r="O29" i="83"/>
  <c r="P29" i="83" s="1"/>
  <c r="Q29" i="83"/>
  <c r="O30" i="83"/>
  <c r="P30" i="83" s="1"/>
  <c r="Q30" i="83"/>
  <c r="O31" i="83"/>
  <c r="P31" i="83" s="1"/>
  <c r="O32" i="83"/>
  <c r="P32" i="83" s="1"/>
  <c r="O33" i="83"/>
  <c r="AL33" i="83" s="1"/>
  <c r="P33" i="83"/>
  <c r="AM33" i="83" s="1"/>
  <c r="I10" i="83"/>
  <c r="J10" i="83" s="1"/>
  <c r="K10" i="83"/>
  <c r="I11" i="83"/>
  <c r="J11" i="83" s="1"/>
  <c r="K11" i="83"/>
  <c r="I12" i="83"/>
  <c r="J12" i="83" s="1"/>
  <c r="I13" i="83"/>
  <c r="J13" i="83" s="1"/>
  <c r="I14" i="83"/>
  <c r="J14" i="83" s="1"/>
  <c r="AM14" i="83" s="1"/>
  <c r="K14" i="83"/>
  <c r="AN14" i="83" s="1"/>
  <c r="I15" i="83"/>
  <c r="J15" i="83" s="1"/>
  <c r="K15" i="83"/>
  <c r="I16" i="83"/>
  <c r="J16" i="83" s="1"/>
  <c r="K16" i="83"/>
  <c r="I17" i="83"/>
  <c r="J17" i="83" s="1"/>
  <c r="K17" i="83"/>
  <c r="I18" i="83"/>
  <c r="K18" i="83"/>
  <c r="I19" i="83"/>
  <c r="J19" i="83" s="1"/>
  <c r="K19" i="83"/>
  <c r="L19" i="83" s="1"/>
  <c r="M19" i="83" s="1"/>
  <c r="I20" i="83"/>
  <c r="J20" i="83" s="1"/>
  <c r="K20" i="83"/>
  <c r="I21" i="83"/>
  <c r="J21" i="83" s="1"/>
  <c r="K21" i="83"/>
  <c r="I22" i="83"/>
  <c r="J22" i="83" s="1"/>
  <c r="L22" i="83" s="1"/>
  <c r="M22" i="83" s="1"/>
  <c r="K22" i="83"/>
  <c r="I23" i="83"/>
  <c r="J23" i="83" s="1"/>
  <c r="K23" i="83"/>
  <c r="I24" i="83"/>
  <c r="J24" i="83" s="1"/>
  <c r="K24" i="83"/>
  <c r="I25" i="83"/>
  <c r="J25" i="83" s="1"/>
  <c r="K25" i="83"/>
  <c r="I26" i="83"/>
  <c r="J26" i="83" s="1"/>
  <c r="L26" i="83" s="1"/>
  <c r="M26" i="83" s="1"/>
  <c r="K26" i="83"/>
  <c r="I27" i="83"/>
  <c r="J27" i="83" s="1"/>
  <c r="K27" i="83"/>
  <c r="L27" i="83" s="1"/>
  <c r="M27" i="83" s="1"/>
  <c r="I28" i="83"/>
  <c r="J28" i="83"/>
  <c r="K28" i="83"/>
  <c r="I29" i="83"/>
  <c r="J29" i="83" s="1"/>
  <c r="K29" i="83"/>
  <c r="L29" i="83" s="1"/>
  <c r="M29" i="83" s="1"/>
  <c r="I30" i="83"/>
  <c r="J30" i="83" s="1"/>
  <c r="K30" i="83"/>
  <c r="I31" i="83"/>
  <c r="I32" i="83"/>
  <c r="J32" i="83" s="1"/>
  <c r="I33" i="83"/>
  <c r="J33" i="83" s="1"/>
  <c r="I34" i="83"/>
  <c r="J34" i="83" s="1"/>
  <c r="K34" i="83"/>
  <c r="C12" i="83"/>
  <c r="D12" i="83" s="1"/>
  <c r="AM12" i="83" s="1"/>
  <c r="E12" i="83"/>
  <c r="C13" i="83"/>
  <c r="E13" i="83"/>
  <c r="AN13" i="83" s="1"/>
  <c r="AO13" i="83" s="1"/>
  <c r="C14" i="83"/>
  <c r="D14" i="83" s="1"/>
  <c r="E14" i="83"/>
  <c r="C15" i="83"/>
  <c r="D15" i="83" s="1"/>
  <c r="E15" i="83"/>
  <c r="C16" i="83"/>
  <c r="D16" i="83" s="1"/>
  <c r="E16" i="83"/>
  <c r="C17" i="83"/>
  <c r="E17" i="83"/>
  <c r="F17" i="83" s="1"/>
  <c r="C18" i="83"/>
  <c r="D18" i="83" s="1"/>
  <c r="E18" i="83"/>
  <c r="C19" i="83"/>
  <c r="E19" i="83"/>
  <c r="C20" i="83"/>
  <c r="E20" i="83"/>
  <c r="C21" i="83"/>
  <c r="D21" i="83" s="1"/>
  <c r="E21" i="83"/>
  <c r="C22" i="83"/>
  <c r="D22" i="83"/>
  <c r="E22" i="83"/>
  <c r="C23" i="83"/>
  <c r="E23" i="83"/>
  <c r="C24" i="83"/>
  <c r="D24" i="83" s="1"/>
  <c r="E24" i="83"/>
  <c r="C25" i="83"/>
  <c r="AL25" i="83" s="1"/>
  <c r="C26" i="83"/>
  <c r="D26" i="83" s="1"/>
  <c r="E26" i="83"/>
  <c r="C27" i="83"/>
  <c r="D27" i="83"/>
  <c r="E27" i="83"/>
  <c r="C28" i="83"/>
  <c r="D28" i="83" s="1"/>
  <c r="C29" i="83"/>
  <c r="E29" i="83"/>
  <c r="C30" i="83"/>
  <c r="D30" i="83" s="1"/>
  <c r="E30" i="83"/>
  <c r="C31" i="83"/>
  <c r="D31" i="83"/>
  <c r="C32" i="83"/>
  <c r="C33" i="83"/>
  <c r="D33" i="83"/>
  <c r="C34" i="83"/>
  <c r="D34" i="83"/>
  <c r="E34" i="83"/>
  <c r="V11" i="87"/>
  <c r="V12" i="87"/>
  <c r="P10" i="87"/>
  <c r="P11" i="87"/>
  <c r="P12" i="87"/>
  <c r="J10" i="87"/>
  <c r="D10" i="87"/>
  <c r="D11" i="87"/>
  <c r="D12" i="87"/>
  <c r="AG33" i="48"/>
  <c r="AH33" i="48"/>
  <c r="AI33" i="48"/>
  <c r="AG34" i="48"/>
  <c r="AH34" i="48" s="1"/>
  <c r="AI34" i="48"/>
  <c r="AG35" i="48"/>
  <c r="AH35" i="48" s="1"/>
  <c r="AI35" i="48"/>
  <c r="AI39" i="48" s="1"/>
  <c r="AG36" i="48"/>
  <c r="AH36" i="48" s="1"/>
  <c r="AI36" i="48"/>
  <c r="AG37" i="48"/>
  <c r="AI37" i="48"/>
  <c r="AG10" i="48"/>
  <c r="AH10" i="48" s="1"/>
  <c r="AI10" i="48"/>
  <c r="AG11" i="48"/>
  <c r="AH11" i="48" s="1"/>
  <c r="AI11" i="48"/>
  <c r="AG12" i="48"/>
  <c r="AH12" i="48" s="1"/>
  <c r="AI12" i="48"/>
  <c r="AG13" i="48"/>
  <c r="AH13" i="48" s="1"/>
  <c r="AJ13" i="48" s="1"/>
  <c r="AI13" i="48"/>
  <c r="AG14" i="48"/>
  <c r="AH14" i="48" s="1"/>
  <c r="AI14" i="48"/>
  <c r="AG15" i="48"/>
  <c r="AH15" i="48" s="1"/>
  <c r="AI15" i="48"/>
  <c r="AG16" i="48"/>
  <c r="AH16" i="48" s="1"/>
  <c r="AI16" i="48"/>
  <c r="AG17" i="48"/>
  <c r="AH17" i="48" s="1"/>
  <c r="AI17" i="48"/>
  <c r="AG18" i="48"/>
  <c r="AH18" i="48" s="1"/>
  <c r="AI18" i="48"/>
  <c r="AG19" i="48"/>
  <c r="AH19" i="48" s="1"/>
  <c r="AI19" i="48"/>
  <c r="AG20" i="48"/>
  <c r="AH20" i="48" s="1"/>
  <c r="AI20" i="48"/>
  <c r="AG21" i="48"/>
  <c r="AH21" i="48" s="1"/>
  <c r="AI21" i="48"/>
  <c r="AG22" i="48"/>
  <c r="AH22" i="48"/>
  <c r="AI22" i="48"/>
  <c r="AG23" i="48"/>
  <c r="AH23" i="48" s="1"/>
  <c r="AI23" i="48"/>
  <c r="AG24" i="48"/>
  <c r="AH24" i="48" s="1"/>
  <c r="AI24" i="48"/>
  <c r="AG25" i="48"/>
  <c r="AH25" i="48" s="1"/>
  <c r="AI25" i="48"/>
  <c r="AG26" i="48"/>
  <c r="AH26" i="48" s="1"/>
  <c r="AJ26" i="48" s="1"/>
  <c r="AK26" i="48" s="1"/>
  <c r="AI26" i="48"/>
  <c r="AG27" i="48"/>
  <c r="AH27" i="48" s="1"/>
  <c r="AJ27" i="48" s="1"/>
  <c r="AI27" i="48"/>
  <c r="AG28" i="48"/>
  <c r="AH28" i="48" s="1"/>
  <c r="AI28" i="48"/>
  <c r="AA33" i="48"/>
  <c r="AB33" i="48" s="1"/>
  <c r="AC33" i="48"/>
  <c r="AA34" i="48"/>
  <c r="AC34" i="48"/>
  <c r="AA35" i="48"/>
  <c r="AB35" i="48" s="1"/>
  <c r="AC35" i="48"/>
  <c r="AA36" i="48"/>
  <c r="AB36" i="48" s="1"/>
  <c r="AC36" i="48"/>
  <c r="AA37" i="48"/>
  <c r="AB37" i="48" s="1"/>
  <c r="AC37" i="48"/>
  <c r="AA10" i="48"/>
  <c r="AB10" i="48" s="1"/>
  <c r="AD10" i="48" s="1"/>
  <c r="AE10" i="48" s="1"/>
  <c r="AC10" i="48"/>
  <c r="AA11" i="48"/>
  <c r="AB11" i="48" s="1"/>
  <c r="AC11" i="48"/>
  <c r="AA12" i="48"/>
  <c r="AB12" i="48" s="1"/>
  <c r="AC12" i="48"/>
  <c r="AA13" i="48"/>
  <c r="AB13" i="48" s="1"/>
  <c r="AC13" i="48"/>
  <c r="AA14" i="48"/>
  <c r="AC14" i="48"/>
  <c r="AA15" i="48"/>
  <c r="AB15" i="48" s="1"/>
  <c r="AC15" i="48"/>
  <c r="AA16" i="48"/>
  <c r="AB16" i="48" s="1"/>
  <c r="AC16" i="48"/>
  <c r="AA17" i="48"/>
  <c r="AB17" i="48" s="1"/>
  <c r="AC17" i="48"/>
  <c r="AA18" i="48"/>
  <c r="AC18" i="48"/>
  <c r="AA19" i="48"/>
  <c r="AB19" i="48" s="1"/>
  <c r="AC19" i="48"/>
  <c r="AA20" i="48"/>
  <c r="AB20" i="48" s="1"/>
  <c r="AC20" i="48"/>
  <c r="AA21" i="48"/>
  <c r="AB21" i="48" s="1"/>
  <c r="AC21" i="48"/>
  <c r="AA22" i="48"/>
  <c r="AB22" i="48" s="1"/>
  <c r="AD22" i="48" s="1"/>
  <c r="AE22" i="48" s="1"/>
  <c r="AC22" i="48"/>
  <c r="AA23" i="48"/>
  <c r="AB23" i="48" s="1"/>
  <c r="AC23" i="48"/>
  <c r="AA24" i="48"/>
  <c r="AB24" i="48"/>
  <c r="AC24" i="48"/>
  <c r="AA25" i="48"/>
  <c r="AB25" i="48" s="1"/>
  <c r="AC25" i="48"/>
  <c r="AD25" i="48" s="1"/>
  <c r="AE25" i="48" s="1"/>
  <c r="AA26" i="48"/>
  <c r="AB26" i="48" s="1"/>
  <c r="AC26" i="48"/>
  <c r="AA27" i="48"/>
  <c r="AB27" i="48" s="1"/>
  <c r="AC27" i="48"/>
  <c r="AA28" i="48"/>
  <c r="AC28" i="48"/>
  <c r="C41" i="45"/>
  <c r="E41" i="45"/>
  <c r="U46" i="44"/>
  <c r="V46" i="44" s="1"/>
  <c r="X46" i="44" s="1"/>
  <c r="Y46" i="44" s="1"/>
  <c r="W46" i="44"/>
  <c r="U47" i="44"/>
  <c r="W47" i="44"/>
  <c r="U48" i="44"/>
  <c r="V48" i="44" s="1"/>
  <c r="W48" i="44"/>
  <c r="U49" i="44"/>
  <c r="W49" i="44"/>
  <c r="U50" i="44"/>
  <c r="V50" i="44" s="1"/>
  <c r="W50" i="44"/>
  <c r="U51" i="44"/>
  <c r="W51" i="44"/>
  <c r="U52" i="44"/>
  <c r="V52" i="44" s="1"/>
  <c r="W52" i="44"/>
  <c r="U53" i="44"/>
  <c r="W53" i="44"/>
  <c r="X53" i="44" s="1"/>
  <c r="Y53" i="44" s="1"/>
  <c r="U54" i="44"/>
  <c r="V54" i="44" s="1"/>
  <c r="W54" i="44"/>
  <c r="U55" i="44"/>
  <c r="W55" i="44"/>
  <c r="U56" i="44"/>
  <c r="V56" i="44" s="1"/>
  <c r="W56" i="44"/>
  <c r="X56" i="44" s="1"/>
  <c r="Y56" i="44" s="1"/>
  <c r="U57" i="44"/>
  <c r="W57" i="44"/>
  <c r="U58" i="44"/>
  <c r="V58" i="44" s="1"/>
  <c r="W58" i="44"/>
  <c r="U59" i="44"/>
  <c r="W59" i="44"/>
  <c r="U60" i="44"/>
  <c r="V60" i="44" s="1"/>
  <c r="W60" i="44"/>
  <c r="AB60" i="44" s="1"/>
  <c r="U61" i="44"/>
  <c r="W61" i="44"/>
  <c r="U62" i="44"/>
  <c r="V62" i="44" s="1"/>
  <c r="W62" i="44"/>
  <c r="U63" i="44"/>
  <c r="W63" i="44"/>
  <c r="U64" i="44"/>
  <c r="V64" i="44" s="1"/>
  <c r="W64" i="44"/>
  <c r="U65" i="44"/>
  <c r="V65" i="44" s="1"/>
  <c r="W65" i="44"/>
  <c r="U66" i="44"/>
  <c r="W66" i="44"/>
  <c r="U67" i="44"/>
  <c r="V67" i="44" s="1"/>
  <c r="W67" i="44"/>
  <c r="U68" i="44"/>
  <c r="W68" i="44"/>
  <c r="AB68" i="44" s="1"/>
  <c r="AC68" i="44" s="1"/>
  <c r="AD68" i="44" s="1"/>
  <c r="U69" i="44"/>
  <c r="V69" i="44" s="1"/>
  <c r="W69" i="44"/>
  <c r="U70" i="44"/>
  <c r="W70" i="44"/>
  <c r="U71" i="44"/>
  <c r="V71" i="44" s="1"/>
  <c r="W71" i="44"/>
  <c r="U72" i="44"/>
  <c r="W72" i="44"/>
  <c r="U73" i="44"/>
  <c r="V73" i="44" s="1"/>
  <c r="W73" i="44"/>
  <c r="U74" i="44"/>
  <c r="W74" i="44"/>
  <c r="U75" i="44"/>
  <c r="V75" i="44" s="1"/>
  <c r="W75" i="44"/>
  <c r="U76" i="44"/>
  <c r="W76" i="44"/>
  <c r="AB76" i="44" s="1"/>
  <c r="U77" i="44"/>
  <c r="V77" i="44" s="1"/>
  <c r="W77" i="44"/>
  <c r="U78" i="44"/>
  <c r="W78" i="44"/>
  <c r="U79" i="44"/>
  <c r="V79" i="44" s="1"/>
  <c r="W79" i="44"/>
  <c r="U80" i="44"/>
  <c r="W80" i="44"/>
  <c r="AB80" i="44" s="1"/>
  <c r="AC80" i="44" s="1"/>
  <c r="AD80" i="44" s="1"/>
  <c r="U81" i="44"/>
  <c r="V81" i="44" s="1"/>
  <c r="W81" i="44"/>
  <c r="U82" i="44"/>
  <c r="W82" i="44"/>
  <c r="U83" i="44"/>
  <c r="V83" i="44" s="1"/>
  <c r="W83" i="44"/>
  <c r="X83" i="44" s="1"/>
  <c r="U84" i="44"/>
  <c r="V84" i="44" s="1"/>
  <c r="W84" i="44"/>
  <c r="U85" i="44"/>
  <c r="V85" i="44" s="1"/>
  <c r="W85" i="44"/>
  <c r="X85" i="44"/>
  <c r="U86" i="44"/>
  <c r="V86" i="44"/>
  <c r="W86" i="44"/>
  <c r="U87" i="44"/>
  <c r="W87" i="44"/>
  <c r="AB87" i="44" s="1"/>
  <c r="U88" i="44"/>
  <c r="V88" i="44" s="1"/>
  <c r="W88" i="44"/>
  <c r="U89" i="44"/>
  <c r="V89" i="44" s="1"/>
  <c r="W89" i="44"/>
  <c r="O47" i="44"/>
  <c r="P47" i="44" s="1"/>
  <c r="Q47" i="44"/>
  <c r="O48" i="44"/>
  <c r="P48" i="44" s="1"/>
  <c r="AA48" i="44" s="1"/>
  <c r="Q48" i="44"/>
  <c r="R48" i="44" s="1"/>
  <c r="S48" i="44" s="1"/>
  <c r="O49" i="44"/>
  <c r="P49" i="44" s="1"/>
  <c r="Q49" i="44"/>
  <c r="O50" i="44"/>
  <c r="P50" i="44" s="1"/>
  <c r="Q50" i="44"/>
  <c r="O51" i="44"/>
  <c r="P51" i="44" s="1"/>
  <c r="Q51" i="44"/>
  <c r="O52" i="44"/>
  <c r="P52" i="44" s="1"/>
  <c r="Q52" i="44"/>
  <c r="R52" i="44" s="1"/>
  <c r="S52" i="44" s="1"/>
  <c r="O53" i="44"/>
  <c r="P53" i="44" s="1"/>
  <c r="Q53" i="44"/>
  <c r="R53" i="44" s="1"/>
  <c r="S53" i="44" s="1"/>
  <c r="O54" i="44"/>
  <c r="P54" i="44" s="1"/>
  <c r="Q54" i="44"/>
  <c r="O55" i="44"/>
  <c r="P55" i="44" s="1"/>
  <c r="Q55" i="44"/>
  <c r="O56" i="44"/>
  <c r="P56" i="44" s="1"/>
  <c r="R56" i="44" s="1"/>
  <c r="S56" i="44" s="1"/>
  <c r="Q56" i="44"/>
  <c r="O57" i="44"/>
  <c r="P57" i="44" s="1"/>
  <c r="Q57" i="44"/>
  <c r="R57" i="44" s="1"/>
  <c r="S57" i="44" s="1"/>
  <c r="O58" i="44"/>
  <c r="P58" i="44" s="1"/>
  <c r="Q58" i="44"/>
  <c r="O59" i="44"/>
  <c r="P59" i="44" s="1"/>
  <c r="Q59" i="44"/>
  <c r="O60" i="44"/>
  <c r="P60" i="44" s="1"/>
  <c r="R60" i="44" s="1"/>
  <c r="S60" i="44" s="1"/>
  <c r="Q60" i="44"/>
  <c r="O61" i="44"/>
  <c r="P61" i="44" s="1"/>
  <c r="Q61" i="44"/>
  <c r="O62" i="44"/>
  <c r="P62" i="44" s="1"/>
  <c r="Q62" i="44"/>
  <c r="O63" i="44"/>
  <c r="P63" i="44" s="1"/>
  <c r="Q63" i="44"/>
  <c r="O64" i="44"/>
  <c r="P64" i="44" s="1"/>
  <c r="R64" i="44" s="1"/>
  <c r="S64" i="44" s="1"/>
  <c r="Q64" i="44"/>
  <c r="O65" i="44"/>
  <c r="P65" i="44"/>
  <c r="Q65" i="44"/>
  <c r="O66" i="44"/>
  <c r="P66" i="44" s="1"/>
  <c r="Q66" i="44"/>
  <c r="O67" i="44"/>
  <c r="P67" i="44" s="1"/>
  <c r="Q67" i="44"/>
  <c r="R67" i="44" s="1"/>
  <c r="S67" i="44" s="1"/>
  <c r="O68" i="44"/>
  <c r="P68" i="44" s="1"/>
  <c r="Q68" i="44"/>
  <c r="O69" i="44"/>
  <c r="Q69" i="44"/>
  <c r="O90" i="44"/>
  <c r="P90" i="44" s="1"/>
  <c r="Q90" i="44"/>
  <c r="O91" i="44"/>
  <c r="P91" i="44" s="1"/>
  <c r="Q91" i="44"/>
  <c r="AB91" i="44" s="1"/>
  <c r="O92" i="44"/>
  <c r="P92" i="44" s="1"/>
  <c r="Q92" i="44"/>
  <c r="O93" i="44"/>
  <c r="Q93" i="44"/>
  <c r="O94" i="44"/>
  <c r="P94" i="44" s="1"/>
  <c r="Q94" i="44"/>
  <c r="O95" i="44"/>
  <c r="P95" i="44" s="1"/>
  <c r="Q95" i="44"/>
  <c r="O96" i="44"/>
  <c r="P96" i="44" s="1"/>
  <c r="Q96" i="44"/>
  <c r="O97" i="44"/>
  <c r="Q97" i="44"/>
  <c r="O98" i="44"/>
  <c r="P98" i="44" s="1"/>
  <c r="Q98" i="44"/>
  <c r="O99" i="44"/>
  <c r="P99" i="44" s="1"/>
  <c r="Q99" i="44"/>
  <c r="O100" i="44"/>
  <c r="P100" i="44" s="1"/>
  <c r="Q100" i="44"/>
  <c r="O101" i="44"/>
  <c r="P101" i="44" s="1"/>
  <c r="Q101" i="44"/>
  <c r="O102" i="44"/>
  <c r="P102" i="44" s="1"/>
  <c r="Q102" i="44"/>
  <c r="O103" i="44"/>
  <c r="P103" i="44" s="1"/>
  <c r="Q103" i="44"/>
  <c r="O104" i="44"/>
  <c r="P104" i="44" s="1"/>
  <c r="Q104" i="44"/>
  <c r="O105" i="44"/>
  <c r="P105" i="44"/>
  <c r="Q105" i="44"/>
  <c r="O106" i="44"/>
  <c r="P106" i="44" s="1"/>
  <c r="Q106" i="44"/>
  <c r="O107" i="44"/>
  <c r="P107" i="44" s="1"/>
  <c r="Q107" i="44"/>
  <c r="O108" i="44"/>
  <c r="P108" i="44" s="1"/>
  <c r="Q108" i="44"/>
  <c r="O109" i="44"/>
  <c r="P109" i="44" s="1"/>
  <c r="Q109" i="44"/>
  <c r="O110" i="44"/>
  <c r="P110" i="44" s="1"/>
  <c r="Q110" i="44"/>
  <c r="O111" i="44"/>
  <c r="P111" i="44" s="1"/>
  <c r="Q111" i="44"/>
  <c r="O112" i="44"/>
  <c r="P112" i="44" s="1"/>
  <c r="Q112" i="44"/>
  <c r="O113" i="44"/>
  <c r="P113" i="44" s="1"/>
  <c r="Q113" i="44"/>
  <c r="O114" i="44"/>
  <c r="P114" i="44" s="1"/>
  <c r="Q114" i="44"/>
  <c r="O115" i="44"/>
  <c r="P115" i="44" s="1"/>
  <c r="Q115" i="44"/>
  <c r="O116" i="44"/>
  <c r="P116" i="44" s="1"/>
  <c r="Q116" i="44"/>
  <c r="O117" i="44"/>
  <c r="P117" i="44"/>
  <c r="Q117" i="44"/>
  <c r="O118" i="44"/>
  <c r="P118" i="44" s="1"/>
  <c r="Q118" i="44"/>
  <c r="O119" i="44"/>
  <c r="P119" i="44" s="1"/>
  <c r="Q119" i="44"/>
  <c r="O120" i="44"/>
  <c r="P120" i="44" s="1"/>
  <c r="Q120" i="44"/>
  <c r="O121" i="44"/>
  <c r="P121" i="44" s="1"/>
  <c r="Q121" i="44"/>
  <c r="I46" i="44"/>
  <c r="J46" i="44" s="1"/>
  <c r="K46" i="44"/>
  <c r="I47" i="44"/>
  <c r="J47" i="44" s="1"/>
  <c r="K47" i="44"/>
  <c r="I48" i="44"/>
  <c r="J48" i="44" s="1"/>
  <c r="K48" i="44"/>
  <c r="L48" i="44" s="1"/>
  <c r="I49" i="44"/>
  <c r="J49" i="44" s="1"/>
  <c r="K49" i="44"/>
  <c r="I50" i="44"/>
  <c r="J50" i="44" s="1"/>
  <c r="K50" i="44"/>
  <c r="I51" i="44"/>
  <c r="J51" i="44" s="1"/>
  <c r="K51" i="44"/>
  <c r="I52" i="44"/>
  <c r="J52" i="44" s="1"/>
  <c r="K52" i="44"/>
  <c r="I53" i="44"/>
  <c r="J53" i="44" s="1"/>
  <c r="K53" i="44"/>
  <c r="I54" i="44"/>
  <c r="J54" i="44" s="1"/>
  <c r="K54" i="44"/>
  <c r="I55" i="44"/>
  <c r="J55" i="44"/>
  <c r="K55" i="44"/>
  <c r="I56" i="44"/>
  <c r="J56" i="44" s="1"/>
  <c r="K56" i="44"/>
  <c r="I57" i="44"/>
  <c r="J57" i="44" s="1"/>
  <c r="K57" i="44"/>
  <c r="I58" i="44"/>
  <c r="J58" i="44" s="1"/>
  <c r="K58" i="44"/>
  <c r="I59" i="44"/>
  <c r="J59" i="44" s="1"/>
  <c r="K59" i="44"/>
  <c r="I60" i="44"/>
  <c r="J60" i="44" s="1"/>
  <c r="K60" i="44"/>
  <c r="I61" i="44"/>
  <c r="J61" i="44" s="1"/>
  <c r="K61" i="44"/>
  <c r="I70" i="44"/>
  <c r="J70" i="44" s="1"/>
  <c r="K70" i="44"/>
  <c r="I71" i="44"/>
  <c r="J71" i="44" s="1"/>
  <c r="K71" i="44"/>
  <c r="I72" i="44"/>
  <c r="J72" i="44" s="1"/>
  <c r="K72" i="44"/>
  <c r="I73" i="44"/>
  <c r="J73" i="44" s="1"/>
  <c r="K73" i="44"/>
  <c r="I74" i="44"/>
  <c r="J74" i="44" s="1"/>
  <c r="K74" i="44"/>
  <c r="L74" i="44" s="1"/>
  <c r="M74" i="44" s="1"/>
  <c r="I75" i="44"/>
  <c r="J75" i="44" s="1"/>
  <c r="K75" i="44"/>
  <c r="I76" i="44"/>
  <c r="J76" i="44" s="1"/>
  <c r="K76" i="44"/>
  <c r="I77" i="44"/>
  <c r="J77" i="44" s="1"/>
  <c r="K77" i="44"/>
  <c r="I78" i="44"/>
  <c r="J78" i="44" s="1"/>
  <c r="K78" i="44"/>
  <c r="I79" i="44"/>
  <c r="J79" i="44" s="1"/>
  <c r="K79" i="44"/>
  <c r="I80" i="44"/>
  <c r="J80" i="44" s="1"/>
  <c r="K80" i="44"/>
  <c r="I81" i="44"/>
  <c r="J81" i="44" s="1"/>
  <c r="K81" i="44"/>
  <c r="I82" i="44"/>
  <c r="J82" i="44" s="1"/>
  <c r="K82" i="44"/>
  <c r="AB82" i="44" s="1"/>
  <c r="I83" i="44"/>
  <c r="J83" i="44"/>
  <c r="K83" i="44"/>
  <c r="I84" i="44"/>
  <c r="J84" i="44" s="1"/>
  <c r="K84" i="44"/>
  <c r="I85" i="44"/>
  <c r="J85" i="44" s="1"/>
  <c r="K85" i="44"/>
  <c r="I86" i="44"/>
  <c r="K86" i="44"/>
  <c r="I87" i="44"/>
  <c r="J87" i="44" s="1"/>
  <c r="K87" i="44"/>
  <c r="I88" i="44"/>
  <c r="J88" i="44" s="1"/>
  <c r="K88" i="44"/>
  <c r="I89" i="44"/>
  <c r="J89" i="44" s="1"/>
  <c r="K89" i="44"/>
  <c r="I90" i="44"/>
  <c r="J90" i="44" s="1"/>
  <c r="AA90" i="44" s="1"/>
  <c r="K90" i="44"/>
  <c r="I91" i="44"/>
  <c r="J91" i="44" s="1"/>
  <c r="K91" i="44"/>
  <c r="I92" i="44"/>
  <c r="J92" i="44" s="1"/>
  <c r="K92" i="44"/>
  <c r="I93" i="44"/>
  <c r="J93" i="44" s="1"/>
  <c r="K93" i="44"/>
  <c r="I94" i="44"/>
  <c r="J94" i="44" s="1"/>
  <c r="L94" i="44" s="1"/>
  <c r="M94" i="44" s="1"/>
  <c r="K94" i="44"/>
  <c r="I95" i="44"/>
  <c r="J95" i="44"/>
  <c r="K95" i="44"/>
  <c r="I96" i="44"/>
  <c r="J96" i="44" s="1"/>
  <c r="K96" i="44"/>
  <c r="I97" i="44"/>
  <c r="J97" i="44" s="1"/>
  <c r="K97" i="44"/>
  <c r="L97" i="44" s="1"/>
  <c r="M97" i="44" s="1"/>
  <c r="I98" i="44"/>
  <c r="J98" i="44" s="1"/>
  <c r="K98" i="44"/>
  <c r="I99" i="44"/>
  <c r="J99" i="44" s="1"/>
  <c r="K99" i="44"/>
  <c r="I100" i="44"/>
  <c r="J100" i="44" s="1"/>
  <c r="K100" i="44"/>
  <c r="I101" i="44"/>
  <c r="J101" i="44" s="1"/>
  <c r="K101" i="44"/>
  <c r="L101" i="44" s="1"/>
  <c r="M101" i="44" s="1"/>
  <c r="I102" i="44"/>
  <c r="J102" i="44" s="1"/>
  <c r="K102" i="44"/>
  <c r="I103" i="44"/>
  <c r="J103" i="44"/>
  <c r="K103" i="44"/>
  <c r="I104" i="44"/>
  <c r="J104" i="44" s="1"/>
  <c r="K104" i="44"/>
  <c r="I105" i="44"/>
  <c r="J105" i="44" s="1"/>
  <c r="L105" i="44" s="1"/>
  <c r="M105" i="44" s="1"/>
  <c r="K105" i="44"/>
  <c r="I106" i="44"/>
  <c r="J106" i="44" s="1"/>
  <c r="K106" i="44"/>
  <c r="I107" i="44"/>
  <c r="J107" i="44" s="1"/>
  <c r="K107" i="44"/>
  <c r="I108" i="44"/>
  <c r="J108" i="44" s="1"/>
  <c r="K108" i="44"/>
  <c r="I109" i="44"/>
  <c r="J109" i="44" s="1"/>
  <c r="L109" i="44" s="1"/>
  <c r="M109" i="44" s="1"/>
  <c r="K109" i="44"/>
  <c r="I110" i="44"/>
  <c r="J110" i="44" s="1"/>
  <c r="K110" i="44"/>
  <c r="I111" i="44"/>
  <c r="J111" i="44" s="1"/>
  <c r="K111" i="44"/>
  <c r="I112" i="44"/>
  <c r="J112" i="44" s="1"/>
  <c r="K112" i="44"/>
  <c r="I113" i="44"/>
  <c r="J113" i="44" s="1"/>
  <c r="L113" i="44" s="1"/>
  <c r="M113" i="44" s="1"/>
  <c r="K113" i="44"/>
  <c r="I114" i="44"/>
  <c r="J114" i="44" s="1"/>
  <c r="K114" i="44"/>
  <c r="I115" i="44"/>
  <c r="J115" i="44"/>
  <c r="K115" i="44"/>
  <c r="I116" i="44"/>
  <c r="J116" i="44" s="1"/>
  <c r="K116" i="44"/>
  <c r="L116" i="44" s="1"/>
  <c r="M116" i="44" s="1"/>
  <c r="I117" i="44"/>
  <c r="J117" i="44" s="1"/>
  <c r="K117" i="44"/>
  <c r="I118" i="44"/>
  <c r="J118" i="44" s="1"/>
  <c r="K118" i="44"/>
  <c r="I119" i="44"/>
  <c r="J119" i="44" s="1"/>
  <c r="L119" i="44" s="1"/>
  <c r="M119" i="44" s="1"/>
  <c r="K119" i="44"/>
  <c r="I120" i="44"/>
  <c r="J120" i="44" s="1"/>
  <c r="K120" i="44"/>
  <c r="AB120" i="44" s="1"/>
  <c r="I121" i="44"/>
  <c r="J121" i="44" s="1"/>
  <c r="K121" i="44"/>
  <c r="C62" i="44"/>
  <c r="D62" i="44" s="1"/>
  <c r="E62" i="44"/>
  <c r="C63" i="44"/>
  <c r="D63" i="44" s="1"/>
  <c r="E63" i="44"/>
  <c r="C64" i="44"/>
  <c r="D64" i="44" s="1"/>
  <c r="E64" i="44"/>
  <c r="AB64" i="44" s="1"/>
  <c r="C65" i="44"/>
  <c r="D65" i="44" s="1"/>
  <c r="E65" i="44"/>
  <c r="C66" i="44"/>
  <c r="D66" i="44" s="1"/>
  <c r="E66" i="44"/>
  <c r="C67" i="44"/>
  <c r="D67" i="44" s="1"/>
  <c r="E67" i="44"/>
  <c r="C68" i="44"/>
  <c r="D68" i="44" s="1"/>
  <c r="F68" i="44" s="1"/>
  <c r="G68" i="44" s="1"/>
  <c r="E68" i="44"/>
  <c r="C69" i="44"/>
  <c r="D69" i="44" s="1"/>
  <c r="E69" i="44"/>
  <c r="C70" i="44"/>
  <c r="D70" i="44" s="1"/>
  <c r="E70" i="44"/>
  <c r="C71" i="44"/>
  <c r="D71" i="44" s="1"/>
  <c r="E71" i="44"/>
  <c r="C72" i="44"/>
  <c r="D72" i="44" s="1"/>
  <c r="F72" i="44" s="1"/>
  <c r="G72" i="44" s="1"/>
  <c r="E72" i="44"/>
  <c r="C73" i="44"/>
  <c r="D73" i="44" s="1"/>
  <c r="E73" i="44"/>
  <c r="C74" i="44"/>
  <c r="D74" i="44" s="1"/>
  <c r="E74" i="44"/>
  <c r="C75" i="44"/>
  <c r="D75" i="44" s="1"/>
  <c r="E75" i="44"/>
  <c r="C76" i="44"/>
  <c r="D76" i="44" s="1"/>
  <c r="E76" i="44"/>
  <c r="C77" i="44"/>
  <c r="D77" i="44" s="1"/>
  <c r="E77" i="44"/>
  <c r="C78" i="44"/>
  <c r="D78" i="44" s="1"/>
  <c r="E78" i="44"/>
  <c r="C79" i="44"/>
  <c r="D79" i="44" s="1"/>
  <c r="E79" i="44"/>
  <c r="C80" i="44"/>
  <c r="D80" i="44" s="1"/>
  <c r="E80" i="44"/>
  <c r="C81" i="44"/>
  <c r="E81" i="44"/>
  <c r="C82" i="44"/>
  <c r="D82" i="44" s="1"/>
  <c r="E82" i="44"/>
  <c r="C83" i="44"/>
  <c r="D83" i="44" s="1"/>
  <c r="E83" i="44"/>
  <c r="C84" i="44"/>
  <c r="D84" i="44" s="1"/>
  <c r="E84" i="44"/>
  <c r="C85" i="44"/>
  <c r="D85" i="44" s="1"/>
  <c r="E85" i="44"/>
  <c r="C86" i="44"/>
  <c r="D86" i="44" s="1"/>
  <c r="E86" i="44"/>
  <c r="C87" i="44"/>
  <c r="D87" i="44" s="1"/>
  <c r="E87" i="44"/>
  <c r="C88" i="44"/>
  <c r="D88" i="44" s="1"/>
  <c r="E88" i="44"/>
  <c r="C89" i="44"/>
  <c r="E89" i="44"/>
  <c r="C90" i="44"/>
  <c r="D90" i="44" s="1"/>
  <c r="E90" i="44"/>
  <c r="C91" i="44"/>
  <c r="D91" i="44" s="1"/>
  <c r="E91" i="44"/>
  <c r="C92" i="44"/>
  <c r="D92" i="44" s="1"/>
  <c r="E92" i="44"/>
  <c r="C93" i="44"/>
  <c r="E93" i="44"/>
  <c r="C94" i="44"/>
  <c r="D94" i="44" s="1"/>
  <c r="E94" i="44"/>
  <c r="C95" i="44"/>
  <c r="D95" i="44" s="1"/>
  <c r="E95" i="44"/>
  <c r="C96" i="44"/>
  <c r="D96" i="44" s="1"/>
  <c r="E96" i="44"/>
  <c r="C97" i="44"/>
  <c r="D97" i="44" s="1"/>
  <c r="E97" i="44"/>
  <c r="C98" i="44"/>
  <c r="D98" i="44" s="1"/>
  <c r="E98" i="44"/>
  <c r="C99" i="44"/>
  <c r="D99" i="44" s="1"/>
  <c r="E99" i="44"/>
  <c r="C100" i="44"/>
  <c r="D100" i="44" s="1"/>
  <c r="E100" i="44"/>
  <c r="C101" i="44"/>
  <c r="D101" i="44" s="1"/>
  <c r="E101" i="44"/>
  <c r="C102" i="44"/>
  <c r="D102" i="44" s="1"/>
  <c r="E102" i="44"/>
  <c r="C103" i="44"/>
  <c r="D103" i="44" s="1"/>
  <c r="E103" i="44"/>
  <c r="C104" i="44"/>
  <c r="D104" i="44" s="1"/>
  <c r="E104" i="44"/>
  <c r="F104" i="44" s="1"/>
  <c r="G104" i="44" s="1"/>
  <c r="C105" i="44"/>
  <c r="D105" i="44" s="1"/>
  <c r="E105" i="44"/>
  <c r="C106" i="44"/>
  <c r="D106" i="44" s="1"/>
  <c r="E106" i="44"/>
  <c r="C107" i="44"/>
  <c r="D107" i="44" s="1"/>
  <c r="E107" i="44"/>
  <c r="C108" i="44"/>
  <c r="D108" i="44" s="1"/>
  <c r="E108" i="44"/>
  <c r="F108" i="44" s="1"/>
  <c r="G108" i="44" s="1"/>
  <c r="C109" i="44"/>
  <c r="D109" i="44" s="1"/>
  <c r="E109" i="44"/>
  <c r="C110" i="44"/>
  <c r="D110" i="44" s="1"/>
  <c r="E110" i="44"/>
  <c r="C111" i="44"/>
  <c r="D111" i="44" s="1"/>
  <c r="E111" i="44"/>
  <c r="C112" i="44"/>
  <c r="D112" i="44" s="1"/>
  <c r="E112" i="44"/>
  <c r="F112" i="44" s="1"/>
  <c r="G112" i="44" s="1"/>
  <c r="C113" i="44"/>
  <c r="D113" i="44" s="1"/>
  <c r="E113" i="44"/>
  <c r="C114" i="44"/>
  <c r="D114" i="44" s="1"/>
  <c r="E114" i="44"/>
  <c r="C115" i="44"/>
  <c r="E115" i="44"/>
  <c r="C116" i="44"/>
  <c r="D116" i="44"/>
  <c r="E116" i="44"/>
  <c r="C117" i="44"/>
  <c r="D117" i="44" s="1"/>
  <c r="E117" i="44"/>
  <c r="C118" i="44"/>
  <c r="D118" i="44" s="1"/>
  <c r="E118" i="44"/>
  <c r="C119" i="44"/>
  <c r="E119" i="44"/>
  <c r="C120" i="44"/>
  <c r="E120" i="44"/>
  <c r="C121" i="44"/>
  <c r="D121" i="44" s="1"/>
  <c r="E121" i="44"/>
  <c r="AG34" i="80"/>
  <c r="AH34" i="80" s="1"/>
  <c r="AI34" i="80"/>
  <c r="AG35" i="80"/>
  <c r="AH35" i="80" s="1"/>
  <c r="AI35" i="80"/>
  <c r="AG36" i="80"/>
  <c r="AH36" i="80" s="1"/>
  <c r="AI36" i="80"/>
  <c r="AG37" i="80"/>
  <c r="AH37" i="80" s="1"/>
  <c r="AJ37" i="80" s="1"/>
  <c r="AK37" i="80" s="1"/>
  <c r="AI37" i="80"/>
  <c r="AG38" i="80"/>
  <c r="AH38" i="80" s="1"/>
  <c r="AI38" i="80"/>
  <c r="AG39" i="80"/>
  <c r="AH39" i="80" s="1"/>
  <c r="AI39" i="80"/>
  <c r="AJ39" i="80" s="1"/>
  <c r="AK39" i="80" s="1"/>
  <c r="AG40" i="80"/>
  <c r="AH40" i="80" s="1"/>
  <c r="AJ40" i="80" s="1"/>
  <c r="AK40" i="80" s="1"/>
  <c r="AI40" i="80"/>
  <c r="AG41" i="80"/>
  <c r="AH41" i="80" s="1"/>
  <c r="AI41" i="80"/>
  <c r="AG42" i="80"/>
  <c r="AH42" i="80" s="1"/>
  <c r="AI42" i="80"/>
  <c r="AG43" i="80"/>
  <c r="AH43" i="80" s="1"/>
  <c r="AI43" i="80"/>
  <c r="AJ43" i="80" s="1"/>
  <c r="AK43" i="80" s="1"/>
  <c r="AG44" i="80"/>
  <c r="AH44" i="80" s="1"/>
  <c r="AJ44" i="80" s="1"/>
  <c r="AK44" i="80" s="1"/>
  <c r="AI44" i="80"/>
  <c r="AG45" i="80"/>
  <c r="AH45" i="80" s="1"/>
  <c r="AI45" i="80"/>
  <c r="AG46" i="80"/>
  <c r="AH46" i="80" s="1"/>
  <c r="AI46" i="80"/>
  <c r="AG47" i="80"/>
  <c r="AH47" i="80" s="1"/>
  <c r="AI47" i="80"/>
  <c r="AG48" i="80"/>
  <c r="AH48" i="80" s="1"/>
  <c r="AJ48" i="80" s="1"/>
  <c r="AK48" i="80" s="1"/>
  <c r="AI48" i="80"/>
  <c r="AG49" i="80"/>
  <c r="AH49" i="80"/>
  <c r="AI49" i="80"/>
  <c r="AG50" i="80"/>
  <c r="AH50" i="80" s="1"/>
  <c r="AI50" i="80"/>
  <c r="AG51" i="80"/>
  <c r="AH51" i="80" s="1"/>
  <c r="AI51" i="80"/>
  <c r="AG52" i="80"/>
  <c r="AH52" i="80" s="1"/>
  <c r="AI52" i="80"/>
  <c r="AG53" i="80"/>
  <c r="AH53" i="80" s="1"/>
  <c r="AI53" i="80"/>
  <c r="AG54" i="80"/>
  <c r="AH54" i="80" s="1"/>
  <c r="AI54" i="80"/>
  <c r="AG55" i="80"/>
  <c r="AH55" i="80" s="1"/>
  <c r="AI55" i="80"/>
  <c r="AJ55" i="80" s="1"/>
  <c r="AK55" i="80" s="1"/>
  <c r="AG56" i="80"/>
  <c r="AH56" i="80" s="1"/>
  <c r="AI56" i="80"/>
  <c r="AG57" i="80"/>
  <c r="AH57" i="80" s="1"/>
  <c r="AI57" i="80"/>
  <c r="AG58" i="80"/>
  <c r="AH58" i="80" s="1"/>
  <c r="AI58" i="80"/>
  <c r="AG59" i="80"/>
  <c r="AH59" i="80" s="1"/>
  <c r="AI59" i="80"/>
  <c r="AG60" i="80"/>
  <c r="AH60" i="80" s="1"/>
  <c r="AI60" i="80"/>
  <c r="AG61" i="80"/>
  <c r="AH61" i="80" s="1"/>
  <c r="AI61" i="80"/>
  <c r="AG62" i="80"/>
  <c r="AH62" i="80" s="1"/>
  <c r="AI62" i="80"/>
  <c r="AG63" i="80"/>
  <c r="AH63" i="80" s="1"/>
  <c r="AJ63" i="80" s="1"/>
  <c r="AK63" i="80" s="1"/>
  <c r="AI63" i="80"/>
  <c r="AG64" i="80"/>
  <c r="AH64" i="80" s="1"/>
  <c r="AI64" i="80"/>
  <c r="AJ64" i="80" s="1"/>
  <c r="AK64" i="80" s="1"/>
  <c r="AG65" i="80"/>
  <c r="AH65" i="80" s="1"/>
  <c r="AI65" i="80"/>
  <c r="AG66" i="80"/>
  <c r="AH66" i="80" s="1"/>
  <c r="AI66" i="80"/>
  <c r="AG67" i="80"/>
  <c r="AH67" i="80" s="1"/>
  <c r="AJ67" i="80" s="1"/>
  <c r="AK67" i="80" s="1"/>
  <c r="AI67" i="80"/>
  <c r="AG68" i="80"/>
  <c r="AH68" i="80" s="1"/>
  <c r="AI68" i="80"/>
  <c r="AJ68" i="80" s="1"/>
  <c r="AK68" i="80" s="1"/>
  <c r="AG69" i="80"/>
  <c r="AH69" i="80"/>
  <c r="AI69" i="80"/>
  <c r="AG70" i="80"/>
  <c r="AH70" i="80" s="1"/>
  <c r="AI70" i="80"/>
  <c r="AJ70" i="80" s="1"/>
  <c r="AK70" i="80" s="1"/>
  <c r="AG71" i="80"/>
  <c r="AH71" i="80" s="1"/>
  <c r="AI71" i="80"/>
  <c r="AG72" i="80"/>
  <c r="AH72" i="80" s="1"/>
  <c r="AJ72" i="80" s="1"/>
  <c r="AK72" i="80" s="1"/>
  <c r="AI72" i="80"/>
  <c r="AG73" i="80"/>
  <c r="AH73" i="80" s="1"/>
  <c r="AI73" i="80"/>
  <c r="AG74" i="80"/>
  <c r="AH74" i="80" s="1"/>
  <c r="AI74" i="80"/>
  <c r="AJ74" i="80" s="1"/>
  <c r="AK74" i="80" s="1"/>
  <c r="AG75" i="80"/>
  <c r="AH75" i="80" s="1"/>
  <c r="AI75" i="80"/>
  <c r="AG76" i="80"/>
  <c r="AH76" i="80" s="1"/>
  <c r="AJ76" i="80" s="1"/>
  <c r="AK76" i="80" s="1"/>
  <c r="AI76" i="80"/>
  <c r="AG77" i="80"/>
  <c r="AH77" i="80" s="1"/>
  <c r="AI77" i="80"/>
  <c r="AG78" i="80"/>
  <c r="AH78" i="80" s="1"/>
  <c r="AI78" i="80"/>
  <c r="AJ78" i="80" s="1"/>
  <c r="AK78" i="80" s="1"/>
  <c r="AG79" i="80"/>
  <c r="AH79" i="80" s="1"/>
  <c r="AI79" i="80"/>
  <c r="AA34" i="80"/>
  <c r="AC34" i="80"/>
  <c r="AA35" i="80"/>
  <c r="AB35" i="80"/>
  <c r="AC35" i="80"/>
  <c r="AA36" i="80"/>
  <c r="AB36" i="80" s="1"/>
  <c r="AC36" i="80"/>
  <c r="AA37" i="80"/>
  <c r="AB37" i="80" s="1"/>
  <c r="AC37" i="80"/>
  <c r="AD37" i="80" s="1"/>
  <c r="AE37" i="80" s="1"/>
  <c r="AA38" i="80"/>
  <c r="AB38" i="80" s="1"/>
  <c r="AC38" i="80"/>
  <c r="AA39" i="80"/>
  <c r="AB39" i="80" s="1"/>
  <c r="AC39" i="80"/>
  <c r="AA40" i="80"/>
  <c r="AB40" i="80" s="1"/>
  <c r="AD40" i="80" s="1"/>
  <c r="AE40" i="80" s="1"/>
  <c r="AC40" i="80"/>
  <c r="AA41" i="80"/>
  <c r="AB41" i="80" s="1"/>
  <c r="AC41" i="80"/>
  <c r="AD41" i="80" s="1"/>
  <c r="AE41" i="80" s="1"/>
  <c r="AA42" i="80"/>
  <c r="AB42" i="80" s="1"/>
  <c r="AC42" i="80"/>
  <c r="AA43" i="80"/>
  <c r="AB43" i="80" s="1"/>
  <c r="AC43" i="80"/>
  <c r="AA44" i="80"/>
  <c r="AB44" i="80" s="1"/>
  <c r="AD44" i="80" s="1"/>
  <c r="AE44" i="80" s="1"/>
  <c r="AC44" i="80"/>
  <c r="AA45" i="80"/>
  <c r="AB45" i="80" s="1"/>
  <c r="AC45" i="80"/>
  <c r="AD45" i="80" s="1"/>
  <c r="AE45" i="80" s="1"/>
  <c r="AA46" i="80"/>
  <c r="AB46" i="80" s="1"/>
  <c r="AC46" i="80"/>
  <c r="AA47" i="80"/>
  <c r="AB47" i="80" s="1"/>
  <c r="AC47" i="80"/>
  <c r="AA48" i="80"/>
  <c r="AB48" i="80" s="1"/>
  <c r="AD48" i="80" s="1"/>
  <c r="AE48" i="80" s="1"/>
  <c r="AC48" i="80"/>
  <c r="AA49" i="80"/>
  <c r="AB49" i="80" s="1"/>
  <c r="AC49" i="80"/>
  <c r="AD49" i="80" s="1"/>
  <c r="AE49" i="80" s="1"/>
  <c r="AA50" i="80"/>
  <c r="AB50" i="80" s="1"/>
  <c r="AC50" i="80"/>
  <c r="AD50" i="80" s="1"/>
  <c r="AA51" i="80"/>
  <c r="AB51" i="80"/>
  <c r="AC51" i="80"/>
  <c r="AD51" i="80" s="1"/>
  <c r="AE51" i="80" s="1"/>
  <c r="AA52" i="80"/>
  <c r="AB52" i="80" s="1"/>
  <c r="AC52" i="80"/>
  <c r="AA53" i="80"/>
  <c r="AB53" i="80" s="1"/>
  <c r="AC53" i="80"/>
  <c r="AA54" i="80"/>
  <c r="AB54" i="80" s="1"/>
  <c r="AC54" i="80"/>
  <c r="AA55" i="80"/>
  <c r="AB55" i="80" s="1"/>
  <c r="AC55" i="80"/>
  <c r="AD55" i="80" s="1"/>
  <c r="AE55" i="80" s="1"/>
  <c r="AA58" i="80"/>
  <c r="AB58" i="80" s="1"/>
  <c r="AC58" i="80"/>
  <c r="AA59" i="80"/>
  <c r="AC59" i="80"/>
  <c r="AA60" i="80"/>
  <c r="AB60" i="80" s="1"/>
  <c r="AC60" i="80"/>
  <c r="AA61" i="80"/>
  <c r="AB61" i="80"/>
  <c r="AC61" i="80"/>
  <c r="AA62" i="80"/>
  <c r="AB62" i="80" s="1"/>
  <c r="AC62" i="80"/>
  <c r="AD62" i="80" s="1"/>
  <c r="AE62" i="80" s="1"/>
  <c r="AA63" i="80"/>
  <c r="AB63" i="80" s="1"/>
  <c r="AC63" i="80"/>
  <c r="AA64" i="80"/>
  <c r="AB64" i="80" s="1"/>
  <c r="AC64" i="80"/>
  <c r="AA65" i="80"/>
  <c r="AB65" i="80" s="1"/>
  <c r="AC65" i="80"/>
  <c r="AA66" i="80"/>
  <c r="AB66" i="80" s="1"/>
  <c r="AC66" i="80"/>
  <c r="AD66" i="80" s="1"/>
  <c r="AE66" i="80" s="1"/>
  <c r="AA67" i="80"/>
  <c r="AB67" i="80" s="1"/>
  <c r="AC67" i="80"/>
  <c r="AA68" i="80"/>
  <c r="AB68" i="80" s="1"/>
  <c r="AC68" i="80"/>
  <c r="AA69" i="80"/>
  <c r="AB69" i="80" s="1"/>
  <c r="AD69" i="80" s="1"/>
  <c r="AC69" i="80"/>
  <c r="AA71" i="80"/>
  <c r="AB71" i="80" s="1"/>
  <c r="AC71" i="80"/>
  <c r="AA72" i="80"/>
  <c r="AB72" i="80" s="1"/>
  <c r="AC72" i="80"/>
  <c r="AA73" i="80"/>
  <c r="AB73" i="80" s="1"/>
  <c r="AC73" i="80"/>
  <c r="AA74" i="80"/>
  <c r="AB74" i="80" s="1"/>
  <c r="AD74" i="80" s="1"/>
  <c r="AE74" i="80" s="1"/>
  <c r="AC74" i="80"/>
  <c r="AA75" i="80"/>
  <c r="AB75" i="80" s="1"/>
  <c r="AC75" i="80"/>
  <c r="AA76" i="80"/>
  <c r="AB76" i="80" s="1"/>
  <c r="AC76" i="80"/>
  <c r="AA77" i="80"/>
  <c r="AB77" i="80" s="1"/>
  <c r="AC77" i="80"/>
  <c r="AA78" i="80"/>
  <c r="AB78" i="80" s="1"/>
  <c r="AC78" i="80"/>
  <c r="AA79" i="80"/>
  <c r="AB79" i="80" s="1"/>
  <c r="AC79" i="80"/>
  <c r="W78" i="80"/>
  <c r="U78" i="80"/>
  <c r="V78" i="80" s="1"/>
  <c r="W77" i="80"/>
  <c r="U77" i="80"/>
  <c r="V77" i="80" s="1"/>
  <c r="W57" i="80"/>
  <c r="U57" i="80"/>
  <c r="V57" i="80" s="1"/>
  <c r="I36" i="80"/>
  <c r="J36" i="80" s="1"/>
  <c r="K36" i="80"/>
  <c r="I57" i="80"/>
  <c r="J57" i="80" s="1"/>
  <c r="K57" i="80"/>
  <c r="I69" i="80"/>
  <c r="J69" i="80" s="1"/>
  <c r="K69" i="80"/>
  <c r="I76" i="80"/>
  <c r="J76" i="80" s="1"/>
  <c r="K76" i="80"/>
  <c r="I77" i="80"/>
  <c r="J77" i="80" s="1"/>
  <c r="K77" i="80"/>
  <c r="I78" i="80"/>
  <c r="J78" i="80"/>
  <c r="K78" i="80"/>
  <c r="C36" i="80"/>
  <c r="D36" i="80" s="1"/>
  <c r="E36" i="80"/>
  <c r="C69" i="80"/>
  <c r="E69" i="80"/>
  <c r="C76" i="80"/>
  <c r="D76" i="80" s="1"/>
  <c r="E76" i="80"/>
  <c r="C77" i="80"/>
  <c r="D77" i="80" s="1"/>
  <c r="E77" i="80"/>
  <c r="C78" i="80"/>
  <c r="D78" i="80" s="1"/>
  <c r="E78" i="80"/>
  <c r="AG10" i="80"/>
  <c r="AH10" i="80" s="1"/>
  <c r="AI10" i="80"/>
  <c r="AG11" i="80"/>
  <c r="AH11" i="80" s="1"/>
  <c r="AI11" i="80"/>
  <c r="AG12" i="80"/>
  <c r="AH12" i="80" s="1"/>
  <c r="AI12" i="80"/>
  <c r="AG13" i="80"/>
  <c r="AH13" i="80" s="1"/>
  <c r="AI13" i="80"/>
  <c r="AG14" i="80"/>
  <c r="AH14" i="80" s="1"/>
  <c r="AI14" i="80"/>
  <c r="AG15" i="80"/>
  <c r="AH15" i="80" s="1"/>
  <c r="AI15" i="80"/>
  <c r="AG16" i="80"/>
  <c r="AH16" i="80"/>
  <c r="AI16" i="80"/>
  <c r="AG17" i="80"/>
  <c r="AH17" i="80" s="1"/>
  <c r="AI17" i="80"/>
  <c r="AG18" i="80"/>
  <c r="AH18" i="80" s="1"/>
  <c r="AI18" i="80"/>
  <c r="AG19" i="80"/>
  <c r="AH19" i="80" s="1"/>
  <c r="AI19" i="80"/>
  <c r="AG20" i="80"/>
  <c r="AH20" i="80" s="1"/>
  <c r="AI20" i="80"/>
  <c r="AG21" i="80"/>
  <c r="AH21" i="80" s="1"/>
  <c r="AI21" i="80"/>
  <c r="AG22" i="80"/>
  <c r="AH22" i="80" s="1"/>
  <c r="AI22" i="80"/>
  <c r="AG23" i="80"/>
  <c r="AH23" i="80" s="1"/>
  <c r="AI23" i="80"/>
  <c r="AG24" i="80"/>
  <c r="AH24" i="80"/>
  <c r="AI24" i="80"/>
  <c r="AG25" i="80"/>
  <c r="AH25" i="80" s="1"/>
  <c r="AI25" i="80"/>
  <c r="AG26" i="80"/>
  <c r="AH26" i="80" s="1"/>
  <c r="AI26" i="80"/>
  <c r="AG27" i="80"/>
  <c r="AH27" i="80" s="1"/>
  <c r="AI27" i="80"/>
  <c r="AG28" i="80"/>
  <c r="AH28" i="80" s="1"/>
  <c r="AI28" i="80"/>
  <c r="AG29" i="80"/>
  <c r="AH29" i="80" s="1"/>
  <c r="AI29" i="80"/>
  <c r="AA10" i="80"/>
  <c r="AB10" i="80" s="1"/>
  <c r="AC10" i="80"/>
  <c r="AA11" i="80"/>
  <c r="AB11" i="80" s="1"/>
  <c r="AC11" i="80"/>
  <c r="AA12" i="80"/>
  <c r="AB12" i="80" s="1"/>
  <c r="AC12" i="80"/>
  <c r="AA13" i="80"/>
  <c r="AB13" i="80" s="1"/>
  <c r="AC13" i="80"/>
  <c r="AA14" i="80"/>
  <c r="AB14" i="80" s="1"/>
  <c r="AC14" i="80"/>
  <c r="AA15" i="80"/>
  <c r="AB15" i="80" s="1"/>
  <c r="AC15" i="80"/>
  <c r="AA16" i="80"/>
  <c r="AB16" i="80" s="1"/>
  <c r="AC16" i="80"/>
  <c r="AA17" i="80"/>
  <c r="AB17" i="80" s="1"/>
  <c r="AC17" i="80"/>
  <c r="AA18" i="80"/>
  <c r="AB18" i="80" s="1"/>
  <c r="AC18" i="80"/>
  <c r="AA19" i="80"/>
  <c r="AB19" i="80" s="1"/>
  <c r="AC19" i="80"/>
  <c r="AA20" i="80"/>
  <c r="AB20" i="80" s="1"/>
  <c r="AC20" i="80"/>
  <c r="AA21" i="80"/>
  <c r="AB21" i="80" s="1"/>
  <c r="AD21" i="80" s="1"/>
  <c r="AE21" i="80" s="1"/>
  <c r="AC21" i="80"/>
  <c r="AA22" i="80"/>
  <c r="AB22" i="80" s="1"/>
  <c r="AC22" i="80"/>
  <c r="AA23" i="80"/>
  <c r="AB23" i="80" s="1"/>
  <c r="AC23" i="80"/>
  <c r="AA24" i="80"/>
  <c r="AB24" i="80" s="1"/>
  <c r="AC24" i="80"/>
  <c r="AA25" i="80"/>
  <c r="AB25" i="80" s="1"/>
  <c r="AD25" i="80" s="1"/>
  <c r="AE25" i="80" s="1"/>
  <c r="AC25" i="80"/>
  <c r="AA26" i="80"/>
  <c r="AB26" i="80" s="1"/>
  <c r="AC26" i="80"/>
  <c r="AA27" i="80"/>
  <c r="AB27" i="80" s="1"/>
  <c r="AC27" i="80"/>
  <c r="AA28" i="80"/>
  <c r="AB28" i="80" s="1"/>
  <c r="AC28" i="80"/>
  <c r="AA29" i="80"/>
  <c r="AB29" i="80" s="1"/>
  <c r="AC29" i="80"/>
  <c r="AA30" i="77"/>
  <c r="AB30" i="77" s="1"/>
  <c r="AC30" i="77"/>
  <c r="AA31" i="77"/>
  <c r="AB31" i="77" s="1"/>
  <c r="AC31" i="77"/>
  <c r="AA32" i="77"/>
  <c r="AB32" i="77" s="1"/>
  <c r="AC32" i="77"/>
  <c r="AN32" i="77" s="1"/>
  <c r="AA34" i="77"/>
  <c r="AB34" i="77" s="1"/>
  <c r="AC34" i="77"/>
  <c r="AA36" i="77"/>
  <c r="AB36" i="77" s="1"/>
  <c r="AC36" i="77"/>
  <c r="AA38" i="77"/>
  <c r="AB38" i="77" s="1"/>
  <c r="AC38" i="77"/>
  <c r="AA39" i="77"/>
  <c r="AB39" i="77"/>
  <c r="AD39" i="77" s="1"/>
  <c r="AE39" i="77" s="1"/>
  <c r="AC39" i="77"/>
  <c r="AA10" i="77"/>
  <c r="AB10" i="77" s="1"/>
  <c r="AC10" i="77"/>
  <c r="AA11" i="77"/>
  <c r="AB11" i="77" s="1"/>
  <c r="AC11" i="77"/>
  <c r="AA12" i="77"/>
  <c r="AB12" i="77" s="1"/>
  <c r="AC12" i="77"/>
  <c r="AA13" i="77"/>
  <c r="AC13" i="77"/>
  <c r="AA14" i="77"/>
  <c r="AB14" i="77" s="1"/>
  <c r="AC14" i="77"/>
  <c r="AA15" i="77"/>
  <c r="AB15" i="77" s="1"/>
  <c r="AC15" i="77"/>
  <c r="AA16" i="77"/>
  <c r="AB16" i="77" s="1"/>
  <c r="AC16" i="77"/>
  <c r="AA17" i="77"/>
  <c r="AC17" i="77"/>
  <c r="AA18" i="77"/>
  <c r="AB18" i="77" s="1"/>
  <c r="AC18" i="77"/>
  <c r="AA19" i="77"/>
  <c r="AB19" i="77" s="1"/>
  <c r="AC19" i="77"/>
  <c r="AA20" i="77"/>
  <c r="AB20" i="77" s="1"/>
  <c r="AC20" i="77"/>
  <c r="AA21" i="77"/>
  <c r="AB21" i="77" s="1"/>
  <c r="AD21" i="77" s="1"/>
  <c r="AE21" i="77" s="1"/>
  <c r="AC21" i="77"/>
  <c r="AA22" i="77"/>
  <c r="AB22" i="77" s="1"/>
  <c r="AC22" i="77"/>
  <c r="AA24" i="77"/>
  <c r="AB24" i="77" s="1"/>
  <c r="AC24" i="77"/>
  <c r="AA25" i="77"/>
  <c r="AB25" i="77" s="1"/>
  <c r="AC25" i="77"/>
  <c r="U32" i="77"/>
  <c r="V32" i="77" s="1"/>
  <c r="W32" i="77"/>
  <c r="U10" i="77"/>
  <c r="V10" i="77" s="1"/>
  <c r="W10" i="77"/>
  <c r="X10" i="77" s="1"/>
  <c r="Y10" i="77" s="1"/>
  <c r="U11" i="77"/>
  <c r="V11" i="77" s="1"/>
  <c r="W11" i="77"/>
  <c r="U12" i="77"/>
  <c r="V12" i="77" s="1"/>
  <c r="W12" i="77"/>
  <c r="U13" i="77"/>
  <c r="V13" i="77" s="1"/>
  <c r="W13" i="77"/>
  <c r="U14" i="77"/>
  <c r="V14" i="77" s="1"/>
  <c r="W14" i="77"/>
  <c r="U15" i="77"/>
  <c r="V15" i="77" s="1"/>
  <c r="W15" i="77"/>
  <c r="U17" i="77"/>
  <c r="V17" i="77" s="1"/>
  <c r="W17" i="77"/>
  <c r="U18" i="77"/>
  <c r="V18" i="77"/>
  <c r="W18" i="77"/>
  <c r="U19" i="77"/>
  <c r="V19" i="77" s="1"/>
  <c r="W19" i="77"/>
  <c r="U21" i="77"/>
  <c r="V21" i="77" s="1"/>
  <c r="W21" i="77"/>
  <c r="Q32" i="77"/>
  <c r="O32" i="77"/>
  <c r="P32" i="77" s="1"/>
  <c r="Q25" i="77"/>
  <c r="O25" i="77"/>
  <c r="P25" i="77" s="1"/>
  <c r="Q24" i="77"/>
  <c r="O24" i="77"/>
  <c r="P24" i="77" s="1"/>
  <c r="I10" i="77"/>
  <c r="J10" i="77"/>
  <c r="K10" i="77"/>
  <c r="I11" i="77"/>
  <c r="J11" i="77" s="1"/>
  <c r="K11" i="77"/>
  <c r="I12" i="77"/>
  <c r="J12" i="77" s="1"/>
  <c r="K12" i="77"/>
  <c r="I13" i="77"/>
  <c r="J13" i="77" s="1"/>
  <c r="K13" i="77"/>
  <c r="I14" i="77"/>
  <c r="J14" i="77" s="1"/>
  <c r="K14" i="77"/>
  <c r="I15" i="77"/>
  <c r="J15" i="77" s="1"/>
  <c r="K15" i="77"/>
  <c r="I17" i="77"/>
  <c r="J17" i="77" s="1"/>
  <c r="K17" i="77"/>
  <c r="I18" i="77"/>
  <c r="J18" i="77" s="1"/>
  <c r="K18" i="77"/>
  <c r="I19" i="77"/>
  <c r="J19" i="77" s="1"/>
  <c r="L19" i="77" s="1"/>
  <c r="M19" i="77" s="1"/>
  <c r="K19" i="77"/>
  <c r="I21" i="77"/>
  <c r="J21" i="77" s="1"/>
  <c r="K21" i="77"/>
  <c r="C15" i="77"/>
  <c r="E15" i="77"/>
  <c r="C18" i="77"/>
  <c r="D18" i="77" s="1"/>
  <c r="E18" i="77"/>
  <c r="C24" i="77"/>
  <c r="D24" i="77" s="1"/>
  <c r="E24" i="77"/>
  <c r="C25" i="77"/>
  <c r="D25" i="77" s="1"/>
  <c r="E25" i="77"/>
  <c r="J9" i="92"/>
  <c r="I9" i="92"/>
  <c r="G19" i="92"/>
  <c r="F19" i="92"/>
  <c r="F28" i="92" s="1"/>
  <c r="E16" i="92"/>
  <c r="F16" i="92"/>
  <c r="G16" i="92"/>
  <c r="H16" i="92"/>
  <c r="H15" i="92"/>
  <c r="G15" i="92"/>
  <c r="F15" i="92"/>
  <c r="E15" i="92"/>
  <c r="J14" i="92"/>
  <c r="J17" i="92" s="1"/>
  <c r="J24" i="92" s="1"/>
  <c r="J26" i="92" s="1"/>
  <c r="I14" i="92"/>
  <c r="I17" i="92" s="1"/>
  <c r="H14" i="92"/>
  <c r="G14" i="92"/>
  <c r="F14" i="92"/>
  <c r="E14" i="92"/>
  <c r="I10" i="92"/>
  <c r="H10" i="92"/>
  <c r="L10" i="92" s="1"/>
  <c r="J10" i="92"/>
  <c r="F10" i="92"/>
  <c r="E10" i="92"/>
  <c r="H9" i="92"/>
  <c r="G9" i="92"/>
  <c r="F9" i="92"/>
  <c r="E9" i="92"/>
  <c r="H8" i="92"/>
  <c r="G8" i="92"/>
  <c r="F8" i="92"/>
  <c r="E8" i="92"/>
  <c r="J7" i="92"/>
  <c r="I7" i="92"/>
  <c r="H7" i="92"/>
  <c r="G7" i="92"/>
  <c r="F7" i="92"/>
  <c r="E7" i="92"/>
  <c r="J221" i="85"/>
  <c r="M18" i="91"/>
  <c r="M32" i="86"/>
  <c r="M31" i="86"/>
  <c r="O31" i="86" s="1"/>
  <c r="O32" i="86" s="1"/>
  <c r="O33" i="86" s="1"/>
  <c r="M27" i="86"/>
  <c r="O27" i="86" s="1"/>
  <c r="M24" i="86"/>
  <c r="M19" i="86"/>
  <c r="M14" i="86"/>
  <c r="O14" i="86" s="1"/>
  <c r="O15" i="86" s="1"/>
  <c r="O16" i="86" s="1"/>
  <c r="H26" i="94"/>
  <c r="H258" i="94"/>
  <c r="H432" i="94"/>
  <c r="H676" i="94"/>
  <c r="H27" i="94"/>
  <c r="H433" i="94"/>
  <c r="H425" i="94"/>
  <c r="H670" i="94"/>
  <c r="F128" i="85"/>
  <c r="G128" i="85"/>
  <c r="H128" i="85"/>
  <c r="I128" i="85"/>
  <c r="F175" i="85"/>
  <c r="G175" i="85"/>
  <c r="H175" i="85"/>
  <c r="I175" i="85"/>
  <c r="A128" i="85"/>
  <c r="B128" i="85"/>
  <c r="A175" i="85"/>
  <c r="B175" i="85"/>
  <c r="F39" i="85"/>
  <c r="G39" i="85"/>
  <c r="H39" i="85"/>
  <c r="I39" i="85"/>
  <c r="F139" i="85"/>
  <c r="G139" i="85"/>
  <c r="H139" i="85"/>
  <c r="I139" i="85"/>
  <c r="A139" i="85"/>
  <c r="B139" i="85"/>
  <c r="A39" i="85"/>
  <c r="B39" i="85"/>
  <c r="AI12" i="87"/>
  <c r="AC12" i="87"/>
  <c r="AD12" i="87" s="1"/>
  <c r="AE12" i="87" s="1"/>
  <c r="AI9" i="87"/>
  <c r="AJ9" i="87" s="1"/>
  <c r="AK9" i="87" s="1"/>
  <c r="AC9" i="87"/>
  <c r="AD9" i="87"/>
  <c r="AE9" i="87" s="1"/>
  <c r="AI32" i="48"/>
  <c r="AG32" i="48"/>
  <c r="AH32" i="48" s="1"/>
  <c r="AC32" i="48"/>
  <c r="AA32" i="48"/>
  <c r="AB32" i="48" s="1"/>
  <c r="H834" i="94"/>
  <c r="H836" i="94"/>
  <c r="H71" i="94"/>
  <c r="F132" i="85"/>
  <c r="G132" i="85"/>
  <c r="H132" i="85"/>
  <c r="I132" i="85"/>
  <c r="F17" i="85"/>
  <c r="G17" i="85"/>
  <c r="H17" i="85"/>
  <c r="I17" i="85"/>
  <c r="A132" i="85"/>
  <c r="I217" i="85" s="1"/>
  <c r="B132" i="85"/>
  <c r="E206" i="85"/>
  <c r="F206" i="85"/>
  <c r="G206" i="85"/>
  <c r="H206" i="85"/>
  <c r="I206" i="85"/>
  <c r="E207" i="85"/>
  <c r="F207" i="85"/>
  <c r="G207" i="85"/>
  <c r="H207" i="85"/>
  <c r="I207" i="85"/>
  <c r="A206" i="85"/>
  <c r="B206" i="85"/>
  <c r="A207" i="85"/>
  <c r="B207" i="85"/>
  <c r="J669" i="79"/>
  <c r="C32" i="48" s="1"/>
  <c r="K669" i="79"/>
  <c r="L669" i="79"/>
  <c r="M669" i="79"/>
  <c r="N669" i="79"/>
  <c r="J696" i="79"/>
  <c r="K696" i="79"/>
  <c r="L696" i="79"/>
  <c r="M696" i="79"/>
  <c r="O696" i="79" s="1"/>
  <c r="N696" i="79"/>
  <c r="J723" i="79"/>
  <c r="K723" i="79"/>
  <c r="L723" i="79"/>
  <c r="M723" i="79"/>
  <c r="N723" i="79"/>
  <c r="J750" i="79"/>
  <c r="K750" i="79"/>
  <c r="L750" i="79"/>
  <c r="M750" i="79"/>
  <c r="N750" i="79"/>
  <c r="A22" i="79"/>
  <c r="C22" i="79"/>
  <c r="A668" i="79"/>
  <c r="C668" i="79" s="1"/>
  <c r="A89" i="79"/>
  <c r="D89" i="79" s="1"/>
  <c r="C89" i="79"/>
  <c r="A695" i="79"/>
  <c r="C695" i="79" s="1"/>
  <c r="A155" i="79"/>
  <c r="C155" i="79" s="1"/>
  <c r="A722" i="79"/>
  <c r="A227" i="79"/>
  <c r="C227" i="79" s="1"/>
  <c r="A749" i="79"/>
  <c r="D749" i="79" s="1"/>
  <c r="A21" i="79"/>
  <c r="C21" i="79"/>
  <c r="A667" i="79"/>
  <c r="A88" i="79"/>
  <c r="C88" i="79"/>
  <c r="A694" i="79"/>
  <c r="D694" i="79"/>
  <c r="A154" i="79"/>
  <c r="C154" i="79"/>
  <c r="A721" i="79"/>
  <c r="A226" i="79"/>
  <c r="C226" i="79"/>
  <c r="A748" i="79"/>
  <c r="D748" i="79" s="1"/>
  <c r="A669" i="79"/>
  <c r="C669" i="79" s="1"/>
  <c r="A696" i="79"/>
  <c r="D696" i="79" s="1"/>
  <c r="A723" i="79"/>
  <c r="C723" i="79" s="1"/>
  <c r="A750" i="79"/>
  <c r="A47" i="79"/>
  <c r="C47" i="79" s="1"/>
  <c r="A181" i="79"/>
  <c r="C181" i="79" s="1"/>
  <c r="B669" i="79"/>
  <c r="F669" i="79"/>
  <c r="B696" i="79"/>
  <c r="F696" i="79"/>
  <c r="B723" i="79"/>
  <c r="F723" i="79"/>
  <c r="B750" i="79"/>
  <c r="F750" i="79"/>
  <c r="H835" i="94"/>
  <c r="J22" i="79"/>
  <c r="C27" i="80" s="1"/>
  <c r="K22" i="79"/>
  <c r="L22" i="79"/>
  <c r="M22" i="79"/>
  <c r="N22" i="79"/>
  <c r="J668" i="79"/>
  <c r="C27" i="48" s="1"/>
  <c r="K668" i="79"/>
  <c r="L668" i="79"/>
  <c r="M668" i="79"/>
  <c r="N668" i="79"/>
  <c r="E27" i="48" s="1"/>
  <c r="J89" i="79"/>
  <c r="I27" i="80" s="1"/>
  <c r="J27" i="80" s="1"/>
  <c r="K89" i="79"/>
  <c r="L89" i="79"/>
  <c r="M89" i="79"/>
  <c r="N89" i="79"/>
  <c r="K27" i="80" s="1"/>
  <c r="J695" i="79"/>
  <c r="I27" i="48" s="1"/>
  <c r="J27" i="48" s="1"/>
  <c r="K695" i="79"/>
  <c r="L695" i="79"/>
  <c r="M695" i="79"/>
  <c r="N695" i="79"/>
  <c r="J155" i="79"/>
  <c r="O27" i="80" s="1"/>
  <c r="P27" i="80" s="1"/>
  <c r="K155" i="79"/>
  <c r="L155" i="79"/>
  <c r="M155" i="79"/>
  <c r="N155" i="79"/>
  <c r="Q27" i="80" s="1"/>
  <c r="J722" i="79"/>
  <c r="O27" i="48" s="1"/>
  <c r="P27" i="48" s="1"/>
  <c r="K722" i="79"/>
  <c r="L722" i="79"/>
  <c r="O722" i="79" s="1"/>
  <c r="M722" i="79"/>
  <c r="N722" i="79"/>
  <c r="Q27" i="48" s="1"/>
  <c r="J227" i="79"/>
  <c r="U27" i="80" s="1"/>
  <c r="V27" i="80" s="1"/>
  <c r="K227" i="79"/>
  <c r="L227" i="79"/>
  <c r="M227" i="79"/>
  <c r="N227" i="79"/>
  <c r="W27" i="80" s="1"/>
  <c r="X27" i="80" s="1"/>
  <c r="J749" i="79"/>
  <c r="U27" i="48" s="1"/>
  <c r="K749" i="79"/>
  <c r="L749" i="79"/>
  <c r="M749" i="79"/>
  <c r="N749" i="79"/>
  <c r="W27" i="48" s="1"/>
  <c r="J21" i="79"/>
  <c r="C26" i="80" s="1"/>
  <c r="K21" i="79"/>
  <c r="L21" i="79"/>
  <c r="M21" i="79"/>
  <c r="N21" i="79"/>
  <c r="J667" i="79"/>
  <c r="C26" i="48" s="1"/>
  <c r="K667" i="79"/>
  <c r="L667" i="79"/>
  <c r="M667" i="79"/>
  <c r="N667" i="79"/>
  <c r="E26" i="48" s="1"/>
  <c r="J88" i="79"/>
  <c r="I26" i="80" s="1"/>
  <c r="J26" i="80" s="1"/>
  <c r="K88" i="79"/>
  <c r="L88" i="79"/>
  <c r="O88" i="79" s="1"/>
  <c r="M88" i="79"/>
  <c r="N88" i="79"/>
  <c r="K26" i="80" s="1"/>
  <c r="J694" i="79"/>
  <c r="I26" i="48" s="1"/>
  <c r="J26" i="48" s="1"/>
  <c r="K694" i="79"/>
  <c r="L694" i="79"/>
  <c r="M694" i="79"/>
  <c r="N694" i="79"/>
  <c r="K26" i="48" s="1"/>
  <c r="L26" i="48" s="1"/>
  <c r="J154" i="79"/>
  <c r="O26" i="80" s="1"/>
  <c r="P26" i="80" s="1"/>
  <c r="R26" i="80" s="1"/>
  <c r="K154" i="79"/>
  <c r="L154" i="79"/>
  <c r="M154" i="79"/>
  <c r="N154" i="79"/>
  <c r="Q26" i="80" s="1"/>
  <c r="J721" i="79"/>
  <c r="O26" i="48" s="1"/>
  <c r="P26" i="48" s="1"/>
  <c r="K721" i="79"/>
  <c r="L721" i="79"/>
  <c r="M721" i="79"/>
  <c r="N721" i="79"/>
  <c r="Q26" i="48" s="1"/>
  <c r="J226" i="79"/>
  <c r="U26" i="80" s="1"/>
  <c r="V26" i="80" s="1"/>
  <c r="K226" i="79"/>
  <c r="L226" i="79"/>
  <c r="M226" i="79"/>
  <c r="N226" i="79"/>
  <c r="W26" i="80" s="1"/>
  <c r="J748" i="79"/>
  <c r="U26" i="48" s="1"/>
  <c r="V26" i="48" s="1"/>
  <c r="X26" i="48" s="1"/>
  <c r="K748" i="79"/>
  <c r="L748" i="79"/>
  <c r="M748" i="79"/>
  <c r="N748" i="79"/>
  <c r="W26" i="48" s="1"/>
  <c r="J47" i="79"/>
  <c r="C57" i="80" s="1"/>
  <c r="K47" i="79"/>
  <c r="L47" i="79"/>
  <c r="M47" i="79"/>
  <c r="N47" i="79"/>
  <c r="J181" i="79"/>
  <c r="K181" i="79"/>
  <c r="L181" i="79"/>
  <c r="M181" i="79"/>
  <c r="N181" i="79"/>
  <c r="B22" i="79"/>
  <c r="D22" i="79"/>
  <c r="F22" i="79"/>
  <c r="B668" i="79"/>
  <c r="F668" i="79"/>
  <c r="B89" i="79"/>
  <c r="F89" i="79"/>
  <c r="B695" i="79"/>
  <c r="D695" i="79"/>
  <c r="F695" i="79"/>
  <c r="B155" i="79"/>
  <c r="D155" i="79"/>
  <c r="F155" i="79"/>
  <c r="B722" i="79"/>
  <c r="F722" i="79"/>
  <c r="B227" i="79"/>
  <c r="F227" i="79"/>
  <c r="B749" i="79"/>
  <c r="F749" i="79"/>
  <c r="B21" i="79"/>
  <c r="D21" i="79"/>
  <c r="F21" i="79"/>
  <c r="B667" i="79"/>
  <c r="F667" i="79"/>
  <c r="B88" i="79"/>
  <c r="D88" i="79"/>
  <c r="F88" i="79"/>
  <c r="B694" i="79"/>
  <c r="F694" i="79"/>
  <c r="B154" i="79"/>
  <c r="D154" i="79"/>
  <c r="F154" i="79"/>
  <c r="B721" i="79"/>
  <c r="F721" i="79"/>
  <c r="B226" i="79"/>
  <c r="D226" i="79"/>
  <c r="F226" i="79"/>
  <c r="B748" i="79"/>
  <c r="C748" i="79"/>
  <c r="F748" i="79"/>
  <c r="B47" i="79"/>
  <c r="D47" i="79"/>
  <c r="G47" i="79" s="1"/>
  <c r="F47" i="79"/>
  <c r="B181" i="79"/>
  <c r="D181" i="79"/>
  <c r="F181" i="79"/>
  <c r="H845" i="94"/>
  <c r="H844" i="94"/>
  <c r="H692" i="94"/>
  <c r="H691" i="94"/>
  <c r="H690" i="94"/>
  <c r="H689" i="94"/>
  <c r="H688" i="94"/>
  <c r="H687" i="94"/>
  <c r="H686" i="94"/>
  <c r="H685" i="94"/>
  <c r="H684" i="94"/>
  <c r="H683" i="94"/>
  <c r="H682" i="94"/>
  <c r="H681" i="94"/>
  <c r="H457" i="94"/>
  <c r="H456" i="94"/>
  <c r="H455" i="94"/>
  <c r="H454" i="94"/>
  <c r="H453" i="94"/>
  <c r="H452" i="94"/>
  <c r="H451" i="94"/>
  <c r="H450" i="94"/>
  <c r="H449" i="94"/>
  <c r="H448" i="94"/>
  <c r="H447" i="94"/>
  <c r="H446" i="94"/>
  <c r="H445" i="94"/>
  <c r="H444" i="94"/>
  <c r="H443" i="94"/>
  <c r="H442" i="94"/>
  <c r="H441" i="94"/>
  <c r="H440" i="94"/>
  <c r="H439" i="94"/>
  <c r="H851" i="94"/>
  <c r="H850" i="94"/>
  <c r="H849" i="94"/>
  <c r="H848" i="94"/>
  <c r="H847" i="94"/>
  <c r="H843" i="94"/>
  <c r="H842" i="94"/>
  <c r="H841" i="94"/>
  <c r="H840" i="94"/>
  <c r="H680" i="94"/>
  <c r="H679" i="94"/>
  <c r="H678" i="94"/>
  <c r="H677" i="94"/>
  <c r="H675" i="94"/>
  <c r="H674" i="94"/>
  <c r="H673" i="94"/>
  <c r="H672" i="94"/>
  <c r="H671" i="94"/>
  <c r="H669" i="94"/>
  <c r="H668" i="94"/>
  <c r="H667" i="94"/>
  <c r="H666" i="94"/>
  <c r="H665" i="94"/>
  <c r="H664" i="94"/>
  <c r="H663" i="94"/>
  <c r="H662" i="94"/>
  <c r="H661" i="94"/>
  <c r="H660" i="94"/>
  <c r="H659" i="94"/>
  <c r="H658" i="94"/>
  <c r="H657" i="94"/>
  <c r="H656" i="94"/>
  <c r="H655" i="94"/>
  <c r="H654" i="94"/>
  <c r="H438" i="94"/>
  <c r="H437" i="94"/>
  <c r="H436" i="94"/>
  <c r="H435" i="94"/>
  <c r="H434" i="94"/>
  <c r="H431" i="94"/>
  <c r="H430" i="94"/>
  <c r="H429" i="94"/>
  <c r="H428" i="94"/>
  <c r="H427" i="94"/>
  <c r="H426" i="94"/>
  <c r="H424" i="94"/>
  <c r="H423" i="94"/>
  <c r="H422" i="94"/>
  <c r="H421" i="94"/>
  <c r="H420" i="94"/>
  <c r="H419" i="94"/>
  <c r="H418" i="94"/>
  <c r="H417" i="94"/>
  <c r="H416" i="94"/>
  <c r="H415" i="94"/>
  <c r="H414" i="94"/>
  <c r="H413" i="94"/>
  <c r="H412" i="94"/>
  <c r="H411" i="94"/>
  <c r="H410" i="94"/>
  <c r="H409" i="94"/>
  <c r="H408" i="94"/>
  <c r="H407" i="94"/>
  <c r="H406" i="94"/>
  <c r="H405" i="94"/>
  <c r="H404" i="94"/>
  <c r="H403" i="94"/>
  <c r="H402" i="94"/>
  <c r="H401" i="94"/>
  <c r="H400" i="94"/>
  <c r="H399" i="94"/>
  <c r="H398" i="94"/>
  <c r="H277" i="94"/>
  <c r="H276" i="94"/>
  <c r="H275" i="94"/>
  <c r="H274" i="94"/>
  <c r="H273" i="94"/>
  <c r="H272" i="94"/>
  <c r="H271" i="94"/>
  <c r="H270" i="94"/>
  <c r="H269" i="94"/>
  <c r="H268" i="94"/>
  <c r="H267" i="94"/>
  <c r="H263" i="94"/>
  <c r="H264" i="94"/>
  <c r="H265" i="94"/>
  <c r="H266" i="94"/>
  <c r="H261" i="94"/>
  <c r="H262" i="94"/>
  <c r="H238" i="94"/>
  <c r="H239" i="94"/>
  <c r="H240" i="94"/>
  <c r="H241" i="94"/>
  <c r="H242" i="94"/>
  <c r="H243" i="94"/>
  <c r="H244" i="94"/>
  <c r="H245" i="94"/>
  <c r="H246" i="94"/>
  <c r="H247" i="94"/>
  <c r="H248" i="94"/>
  <c r="H249" i="94"/>
  <c r="H250" i="94"/>
  <c r="H251" i="94"/>
  <c r="H252" i="94"/>
  <c r="H253" i="94"/>
  <c r="H254" i="94"/>
  <c r="H255" i="94"/>
  <c r="H256" i="94"/>
  <c r="H257" i="94"/>
  <c r="H259" i="94"/>
  <c r="H260" i="94"/>
  <c r="H237" i="94"/>
  <c r="H392" i="94"/>
  <c r="H55" i="94"/>
  <c r="H56" i="94"/>
  <c r="H57" i="94"/>
  <c r="H58" i="94"/>
  <c r="H59" i="94"/>
  <c r="H60" i="94"/>
  <c r="H61" i="94"/>
  <c r="H62" i="94"/>
  <c r="H63" i="94"/>
  <c r="H64" i="94"/>
  <c r="H65" i="94"/>
  <c r="H66" i="94"/>
  <c r="H67" i="94"/>
  <c r="H68" i="94"/>
  <c r="H69" i="94"/>
  <c r="H70" i="94"/>
  <c r="H72" i="94"/>
  <c r="H73" i="94"/>
  <c r="H74" i="94"/>
  <c r="H75" i="94"/>
  <c r="H76" i="94"/>
  <c r="H77" i="94"/>
  <c r="H78" i="94"/>
  <c r="H79" i="94"/>
  <c r="H80" i="94"/>
  <c r="H81" i="94"/>
  <c r="H82" i="94"/>
  <c r="H83" i="94"/>
  <c r="H84" i="94"/>
  <c r="H85" i="94"/>
  <c r="H86" i="94"/>
  <c r="H87" i="94"/>
  <c r="H88" i="94"/>
  <c r="H89" i="94"/>
  <c r="H90" i="94"/>
  <c r="H91" i="94"/>
  <c r="H92" i="94"/>
  <c r="H93" i="94"/>
  <c r="H94" i="94"/>
  <c r="H95" i="94"/>
  <c r="H96" i="94"/>
  <c r="H97" i="94"/>
  <c r="H98" i="94"/>
  <c r="H99" i="94"/>
  <c r="H100" i="94"/>
  <c r="H101" i="94"/>
  <c r="H102" i="94"/>
  <c r="H103" i="94"/>
  <c r="H104" i="94"/>
  <c r="H105" i="94"/>
  <c r="H106" i="94"/>
  <c r="H107" i="94"/>
  <c r="H108" i="94"/>
  <c r="H109" i="94"/>
  <c r="H110" i="94"/>
  <c r="H111" i="94"/>
  <c r="H112" i="94"/>
  <c r="H113" i="94"/>
  <c r="H114" i="94"/>
  <c r="H115" i="94"/>
  <c r="H116" i="94"/>
  <c r="H117" i="94"/>
  <c r="H118" i="94"/>
  <c r="H119" i="94"/>
  <c r="H120" i="94"/>
  <c r="H121" i="94"/>
  <c r="H122" i="94"/>
  <c r="H123" i="94"/>
  <c r="H124" i="94"/>
  <c r="H125" i="94"/>
  <c r="H126" i="94"/>
  <c r="H127" i="94"/>
  <c r="H128" i="94"/>
  <c r="H129" i="94"/>
  <c r="H130" i="94"/>
  <c r="H131" i="94"/>
  <c r="H132" i="94"/>
  <c r="H133" i="94"/>
  <c r="H134" i="94"/>
  <c r="H135" i="94"/>
  <c r="H136" i="94"/>
  <c r="H137" i="94"/>
  <c r="H138" i="94"/>
  <c r="H139" i="94"/>
  <c r="H140" i="94"/>
  <c r="H141" i="94"/>
  <c r="H142" i="94"/>
  <c r="H143" i="94"/>
  <c r="H144" i="94"/>
  <c r="H145" i="94"/>
  <c r="H146" i="94"/>
  <c r="H147" i="94"/>
  <c r="H148" i="94"/>
  <c r="H149" i="94"/>
  <c r="H150" i="94"/>
  <c r="H151" i="94"/>
  <c r="H152" i="94"/>
  <c r="H153" i="94"/>
  <c r="H154" i="94"/>
  <c r="H155" i="94"/>
  <c r="H156" i="94"/>
  <c r="H157" i="94"/>
  <c r="H158" i="94"/>
  <c r="H159" i="94"/>
  <c r="H160" i="94"/>
  <c r="H161" i="94"/>
  <c r="H162" i="94"/>
  <c r="H163" i="94"/>
  <c r="H164" i="94"/>
  <c r="H165" i="94"/>
  <c r="H166" i="94"/>
  <c r="H167" i="94"/>
  <c r="H168" i="94"/>
  <c r="H169" i="94"/>
  <c r="H170" i="94"/>
  <c r="H171" i="94"/>
  <c r="H172" i="94"/>
  <c r="H173" i="94"/>
  <c r="H174" i="94"/>
  <c r="H175" i="94"/>
  <c r="H176" i="94"/>
  <c r="H177" i="94"/>
  <c r="H178" i="94"/>
  <c r="H179" i="94"/>
  <c r="H180" i="94"/>
  <c r="H181" i="94"/>
  <c r="H182" i="94"/>
  <c r="H183" i="94"/>
  <c r="H184" i="94"/>
  <c r="H185" i="94"/>
  <c r="H186" i="94"/>
  <c r="H187" i="94"/>
  <c r="H188" i="94"/>
  <c r="H189" i="94"/>
  <c r="H190" i="94"/>
  <c r="H191" i="94"/>
  <c r="H192" i="94"/>
  <c r="H193" i="94"/>
  <c r="H194" i="94"/>
  <c r="H195" i="94"/>
  <c r="H196" i="94"/>
  <c r="H197" i="94"/>
  <c r="H198" i="94"/>
  <c r="H199" i="94"/>
  <c r="H200" i="94"/>
  <c r="H201" i="94"/>
  <c r="H202" i="94"/>
  <c r="H203" i="94"/>
  <c r="H204" i="94"/>
  <c r="H205" i="94"/>
  <c r="H206" i="94"/>
  <c r="H207" i="94"/>
  <c r="H208" i="94"/>
  <c r="H209" i="94"/>
  <c r="H210" i="94"/>
  <c r="H211" i="94"/>
  <c r="H212" i="94"/>
  <c r="H213" i="94"/>
  <c r="H214" i="94"/>
  <c r="H215" i="94"/>
  <c r="H216" i="94"/>
  <c r="H217" i="94"/>
  <c r="H218" i="94"/>
  <c r="H219" i="94"/>
  <c r="H220" i="94"/>
  <c r="H221" i="94"/>
  <c r="H222" i="94"/>
  <c r="H223" i="94"/>
  <c r="H224" i="94"/>
  <c r="H225" i="94"/>
  <c r="H226" i="94"/>
  <c r="H227" i="94"/>
  <c r="H228" i="94"/>
  <c r="H229" i="94"/>
  <c r="H230" i="94"/>
  <c r="H231" i="94"/>
  <c r="H232" i="94"/>
  <c r="H233" i="94"/>
  <c r="H234" i="94"/>
  <c r="H235" i="94"/>
  <c r="H236" i="94"/>
  <c r="H278" i="94"/>
  <c r="H279" i="94"/>
  <c r="H280" i="94"/>
  <c r="H281" i="94"/>
  <c r="H282" i="94"/>
  <c r="H283" i="94"/>
  <c r="H284" i="94"/>
  <c r="H285" i="94"/>
  <c r="H286" i="94"/>
  <c r="H287" i="94"/>
  <c r="H288" i="94"/>
  <c r="H289" i="94"/>
  <c r="H290" i="94"/>
  <c r="H291" i="94"/>
  <c r="H292" i="94"/>
  <c r="H293" i="94"/>
  <c r="H294" i="94"/>
  <c r="H295" i="94"/>
  <c r="H296" i="94"/>
  <c r="H297" i="94"/>
  <c r="H298" i="94"/>
  <c r="H299" i="94"/>
  <c r="H300" i="94"/>
  <c r="H301" i="94"/>
  <c r="H302" i="94"/>
  <c r="H303" i="94"/>
  <c r="H304" i="94"/>
  <c r="H305" i="94"/>
  <c r="H306" i="94"/>
  <c r="H307" i="94"/>
  <c r="H308" i="94"/>
  <c r="H309" i="94"/>
  <c r="H310" i="94"/>
  <c r="H311" i="94"/>
  <c r="H312" i="94"/>
  <c r="H313" i="94"/>
  <c r="H314" i="94"/>
  <c r="H315" i="94"/>
  <c r="H316" i="94"/>
  <c r="H317" i="94"/>
  <c r="H318" i="94"/>
  <c r="H319" i="94"/>
  <c r="H320" i="94"/>
  <c r="H321" i="94"/>
  <c r="H322" i="94"/>
  <c r="H323" i="94"/>
  <c r="H324" i="94"/>
  <c r="H325" i="94"/>
  <c r="H326" i="94"/>
  <c r="H327" i="94"/>
  <c r="H328" i="94"/>
  <c r="H329" i="94"/>
  <c r="H330" i="94"/>
  <c r="H331" i="94"/>
  <c r="H332" i="94"/>
  <c r="H333" i="94"/>
  <c r="H334" i="94"/>
  <c r="H335" i="94"/>
  <c r="H336" i="94"/>
  <c r="H337" i="94"/>
  <c r="H338" i="94"/>
  <c r="H339" i="94"/>
  <c r="H340" i="94"/>
  <c r="H341" i="94"/>
  <c r="H342" i="94"/>
  <c r="H343" i="94"/>
  <c r="H344" i="94"/>
  <c r="H345" i="94"/>
  <c r="H346" i="94"/>
  <c r="H347" i="94"/>
  <c r="H348" i="94"/>
  <c r="H349" i="94"/>
  <c r="H350" i="94"/>
  <c r="H351" i="94"/>
  <c r="H352" i="94"/>
  <c r="H353" i="94"/>
  <c r="H354" i="94"/>
  <c r="H355" i="94"/>
  <c r="H356" i="94"/>
  <c r="H357" i="94"/>
  <c r="H358" i="94"/>
  <c r="H359" i="94"/>
  <c r="H360" i="94"/>
  <c r="H361" i="94"/>
  <c r="H362" i="94"/>
  <c r="H363" i="94"/>
  <c r="H364" i="94"/>
  <c r="H365" i="94"/>
  <c r="H366" i="94"/>
  <c r="H367" i="94"/>
  <c r="H368" i="94"/>
  <c r="H369" i="94"/>
  <c r="H370" i="94"/>
  <c r="H371" i="94"/>
  <c r="H372" i="94"/>
  <c r="H373" i="94"/>
  <c r="H374" i="94"/>
  <c r="H375" i="94"/>
  <c r="H376" i="94"/>
  <c r="H377" i="94"/>
  <c r="H378" i="94"/>
  <c r="H379" i="94"/>
  <c r="H380" i="94"/>
  <c r="H381" i="94"/>
  <c r="H382" i="94"/>
  <c r="H383" i="94"/>
  <c r="H384" i="94"/>
  <c r="H385" i="94"/>
  <c r="H386" i="94"/>
  <c r="H387" i="94"/>
  <c r="H388" i="94"/>
  <c r="H389" i="94"/>
  <c r="H390" i="94"/>
  <c r="H391" i="94"/>
  <c r="H393" i="94"/>
  <c r="H394" i="94"/>
  <c r="H395" i="94"/>
  <c r="H396" i="94"/>
  <c r="H397" i="94"/>
  <c r="H458" i="94"/>
  <c r="H459" i="94"/>
  <c r="H460" i="94"/>
  <c r="H461" i="94"/>
  <c r="H462" i="94"/>
  <c r="H463" i="94"/>
  <c r="H464" i="94"/>
  <c r="H465" i="94"/>
  <c r="H466" i="94"/>
  <c r="H467" i="94"/>
  <c r="H468" i="94"/>
  <c r="H469" i="94"/>
  <c r="H470" i="94"/>
  <c r="H471" i="94"/>
  <c r="H472" i="94"/>
  <c r="H473" i="94"/>
  <c r="H474" i="94"/>
  <c r="H475" i="94"/>
  <c r="H476" i="94"/>
  <c r="H477" i="94"/>
  <c r="H478" i="94"/>
  <c r="H479" i="94"/>
  <c r="H480" i="94"/>
  <c r="H481" i="94"/>
  <c r="H482" i="94"/>
  <c r="H483" i="94"/>
  <c r="H484" i="94"/>
  <c r="H485" i="94"/>
  <c r="H486" i="94"/>
  <c r="H487" i="94"/>
  <c r="H488" i="94"/>
  <c r="H489" i="94"/>
  <c r="H490" i="94"/>
  <c r="H491" i="94"/>
  <c r="H492" i="94"/>
  <c r="H493" i="94"/>
  <c r="H494" i="94"/>
  <c r="H495" i="94"/>
  <c r="H496" i="94"/>
  <c r="H497" i="94"/>
  <c r="H498" i="94"/>
  <c r="H499" i="94"/>
  <c r="H500" i="94"/>
  <c r="H501" i="94"/>
  <c r="H502" i="94"/>
  <c r="H503" i="94"/>
  <c r="H504" i="94"/>
  <c r="H505" i="94"/>
  <c r="H506" i="94"/>
  <c r="H507" i="94"/>
  <c r="H508" i="94"/>
  <c r="H509" i="94"/>
  <c r="H510" i="94"/>
  <c r="H511" i="94"/>
  <c r="H512" i="94"/>
  <c r="H513" i="94"/>
  <c r="H514" i="94"/>
  <c r="H515" i="94"/>
  <c r="H516" i="94"/>
  <c r="H517" i="94"/>
  <c r="H518" i="94"/>
  <c r="H519" i="94"/>
  <c r="H520" i="94"/>
  <c r="H521" i="94"/>
  <c r="H522" i="94"/>
  <c r="H523" i="94"/>
  <c r="H524" i="94"/>
  <c r="H525" i="94"/>
  <c r="H526" i="94"/>
  <c r="H527" i="94"/>
  <c r="H528" i="94"/>
  <c r="H529" i="94"/>
  <c r="H530" i="94"/>
  <c r="H531" i="94"/>
  <c r="H532" i="94"/>
  <c r="H533" i="94"/>
  <c r="H534" i="94"/>
  <c r="H535" i="94"/>
  <c r="H536" i="94"/>
  <c r="H537" i="94"/>
  <c r="H538" i="94"/>
  <c r="H539" i="94"/>
  <c r="H540" i="94"/>
  <c r="H541" i="94"/>
  <c r="H542" i="94"/>
  <c r="H543" i="94"/>
  <c r="H544" i="94"/>
  <c r="H545" i="94"/>
  <c r="H546" i="94"/>
  <c r="H547" i="94"/>
  <c r="H548" i="94"/>
  <c r="H549" i="94"/>
  <c r="H550" i="94"/>
  <c r="H551" i="94"/>
  <c r="H552" i="94"/>
  <c r="H553" i="94"/>
  <c r="H554" i="94"/>
  <c r="H555" i="94"/>
  <c r="H556" i="94"/>
  <c r="H557" i="94"/>
  <c r="H558" i="94"/>
  <c r="H559" i="94"/>
  <c r="H560" i="94"/>
  <c r="H561" i="94"/>
  <c r="H562" i="94"/>
  <c r="H563" i="94"/>
  <c r="H564" i="94"/>
  <c r="H565" i="94"/>
  <c r="H566" i="94"/>
  <c r="H567" i="94"/>
  <c r="H568" i="94"/>
  <c r="H569" i="94"/>
  <c r="H570" i="94"/>
  <c r="H571" i="94"/>
  <c r="H572" i="94"/>
  <c r="H573" i="94"/>
  <c r="H574" i="94"/>
  <c r="H575" i="94"/>
  <c r="H576" i="94"/>
  <c r="H577" i="94"/>
  <c r="H578" i="94"/>
  <c r="H579" i="94"/>
  <c r="H580" i="94"/>
  <c r="H581" i="94"/>
  <c r="H582" i="94"/>
  <c r="H583" i="94"/>
  <c r="H584" i="94"/>
  <c r="H585" i="94"/>
  <c r="H586" i="94"/>
  <c r="H587" i="94"/>
  <c r="H588" i="94"/>
  <c r="H589" i="94"/>
  <c r="H590" i="94"/>
  <c r="H591" i="94"/>
  <c r="H592" i="94"/>
  <c r="H593" i="94"/>
  <c r="H594" i="94"/>
  <c r="H595" i="94"/>
  <c r="H596" i="94"/>
  <c r="H597" i="94"/>
  <c r="H598" i="94"/>
  <c r="H599" i="94"/>
  <c r="H600" i="94"/>
  <c r="H601" i="94"/>
  <c r="H602" i="94"/>
  <c r="H603" i="94"/>
  <c r="H604" i="94"/>
  <c r="H605" i="94"/>
  <c r="H606" i="94"/>
  <c r="H607" i="94"/>
  <c r="H608" i="94"/>
  <c r="H609" i="94"/>
  <c r="H610" i="94"/>
  <c r="H611" i="94"/>
  <c r="H612" i="94"/>
  <c r="H613" i="94"/>
  <c r="H614" i="94"/>
  <c r="H615" i="94"/>
  <c r="H616" i="94"/>
  <c r="H617" i="94"/>
  <c r="H618" i="94"/>
  <c r="H619" i="94"/>
  <c r="H620" i="94"/>
  <c r="H621" i="94"/>
  <c r="H622" i="94"/>
  <c r="H623" i="94"/>
  <c r="H624" i="94"/>
  <c r="H625" i="94"/>
  <c r="H626" i="94"/>
  <c r="H627" i="94"/>
  <c r="H628" i="94"/>
  <c r="H629" i="94"/>
  <c r="H630" i="94"/>
  <c r="H631" i="94"/>
  <c r="H632" i="94"/>
  <c r="H633" i="94"/>
  <c r="H634" i="94"/>
  <c r="H635" i="94"/>
  <c r="H636" i="94"/>
  <c r="H637" i="94"/>
  <c r="H638" i="94"/>
  <c r="H639" i="94"/>
  <c r="H640" i="94"/>
  <c r="H641" i="94"/>
  <c r="H642" i="94"/>
  <c r="H643" i="94"/>
  <c r="H644" i="94"/>
  <c r="H645" i="94"/>
  <c r="H646" i="94"/>
  <c r="H647" i="94"/>
  <c r="H648" i="94"/>
  <c r="H649" i="94"/>
  <c r="H650" i="94"/>
  <c r="H651" i="94"/>
  <c r="H652" i="94"/>
  <c r="H653" i="94"/>
  <c r="H693" i="94"/>
  <c r="H694" i="94"/>
  <c r="H695" i="94"/>
  <c r="H696" i="94"/>
  <c r="H697" i="94"/>
  <c r="H698" i="94"/>
  <c r="H699" i="94"/>
  <c r="H700" i="94"/>
  <c r="H701" i="94"/>
  <c r="H702" i="94"/>
  <c r="H703" i="94"/>
  <c r="H704" i="94"/>
  <c r="H705" i="94"/>
  <c r="H706" i="94"/>
  <c r="H707" i="94"/>
  <c r="H708" i="94"/>
  <c r="H709" i="94"/>
  <c r="H710" i="94"/>
  <c r="H711" i="94"/>
  <c r="H712" i="94"/>
  <c r="H713" i="94"/>
  <c r="H714" i="94"/>
  <c r="H715" i="94"/>
  <c r="H716" i="94"/>
  <c r="H717" i="94"/>
  <c r="H718" i="94"/>
  <c r="H719" i="94"/>
  <c r="H720" i="94"/>
  <c r="H721" i="94"/>
  <c r="H722" i="94"/>
  <c r="H723" i="94"/>
  <c r="H724" i="94"/>
  <c r="H725" i="94"/>
  <c r="H726" i="94"/>
  <c r="H727" i="94"/>
  <c r="H728" i="94"/>
  <c r="H729" i="94"/>
  <c r="H730" i="94"/>
  <c r="H731" i="94"/>
  <c r="H732" i="94"/>
  <c r="H733" i="94"/>
  <c r="H734" i="94"/>
  <c r="H735" i="94"/>
  <c r="H736" i="94"/>
  <c r="H737" i="94"/>
  <c r="H738" i="94"/>
  <c r="H739" i="94"/>
  <c r="H740" i="94"/>
  <c r="H741" i="94"/>
  <c r="H742" i="94"/>
  <c r="H743" i="94"/>
  <c r="H744" i="94"/>
  <c r="H745" i="94"/>
  <c r="H746" i="94"/>
  <c r="H747" i="94"/>
  <c r="H748" i="94"/>
  <c r="H749" i="94"/>
  <c r="H750" i="94"/>
  <c r="H751" i="94"/>
  <c r="H752" i="94"/>
  <c r="H753" i="94"/>
  <c r="H754" i="94"/>
  <c r="H755" i="94"/>
  <c r="H756" i="94"/>
  <c r="H757" i="94"/>
  <c r="H758" i="94"/>
  <c r="H759" i="94"/>
  <c r="H760" i="94"/>
  <c r="H761" i="94"/>
  <c r="H762" i="94"/>
  <c r="H763" i="94"/>
  <c r="H764" i="94"/>
  <c r="H765" i="94"/>
  <c r="H766" i="94"/>
  <c r="H767" i="94"/>
  <c r="H768" i="94"/>
  <c r="H769" i="94"/>
  <c r="H770" i="94"/>
  <c r="H771" i="94"/>
  <c r="H772" i="94"/>
  <c r="H773" i="94"/>
  <c r="H774" i="94"/>
  <c r="H775" i="94"/>
  <c r="H776" i="94"/>
  <c r="H777" i="94"/>
  <c r="H778" i="94"/>
  <c r="H779" i="94"/>
  <c r="H780" i="94"/>
  <c r="H781" i="94"/>
  <c r="H782" i="94"/>
  <c r="H783" i="94"/>
  <c r="H784" i="94"/>
  <c r="H785" i="94"/>
  <c r="H786" i="94"/>
  <c r="H787" i="94"/>
  <c r="H788" i="94"/>
  <c r="H789" i="94"/>
  <c r="H790" i="94"/>
  <c r="H791" i="94"/>
  <c r="H792" i="94"/>
  <c r="H793" i="94"/>
  <c r="H794" i="94"/>
  <c r="H795" i="94"/>
  <c r="H796" i="94"/>
  <c r="H797" i="94"/>
  <c r="H798" i="94"/>
  <c r="H799" i="94"/>
  <c r="H800" i="94"/>
  <c r="H801" i="94"/>
  <c r="H802" i="94"/>
  <c r="H803" i="94"/>
  <c r="H804" i="94"/>
  <c r="H805" i="94"/>
  <c r="H806" i="94"/>
  <c r="H807" i="94"/>
  <c r="H808" i="94"/>
  <c r="H809" i="94"/>
  <c r="H810" i="94"/>
  <c r="H811" i="94"/>
  <c r="H812" i="94"/>
  <c r="H813" i="94"/>
  <c r="H814" i="94"/>
  <c r="H815" i="94"/>
  <c r="H816" i="94"/>
  <c r="H817" i="94"/>
  <c r="H818" i="94"/>
  <c r="H819" i="94"/>
  <c r="H820" i="94"/>
  <c r="H821" i="94"/>
  <c r="H822" i="94"/>
  <c r="H823" i="94"/>
  <c r="H824" i="94"/>
  <c r="H825" i="94"/>
  <c r="H826" i="94"/>
  <c r="H827" i="94"/>
  <c r="H828" i="94"/>
  <c r="H829" i="94"/>
  <c r="H830" i="94"/>
  <c r="H831" i="94"/>
  <c r="H832" i="94"/>
  <c r="H833" i="94"/>
  <c r="H837" i="94"/>
  <c r="H838" i="94"/>
  <c r="H839" i="94"/>
  <c r="H846" i="94"/>
  <c r="H54" i="94"/>
  <c r="H38" i="94"/>
  <c r="H39" i="94"/>
  <c r="H40" i="94"/>
  <c r="H41" i="94"/>
  <c r="H42" i="94"/>
  <c r="H43" i="94"/>
  <c r="H44" i="94"/>
  <c r="H45" i="94"/>
  <c r="H46" i="94"/>
  <c r="H47" i="94"/>
  <c r="H48" i="94"/>
  <c r="H49" i="94"/>
  <c r="H50" i="94"/>
  <c r="H51" i="94"/>
  <c r="H52" i="94"/>
  <c r="H53" i="94"/>
  <c r="H37" i="94"/>
  <c r="H3" i="94"/>
  <c r="H4" i="94"/>
  <c r="H5" i="94"/>
  <c r="H6" i="94"/>
  <c r="H7" i="94"/>
  <c r="H8" i="94"/>
  <c r="H9" i="94"/>
  <c r="H10" i="94"/>
  <c r="H11" i="94"/>
  <c r="H12" i="94"/>
  <c r="H13" i="94"/>
  <c r="H14" i="94"/>
  <c r="H15" i="94"/>
  <c r="H16" i="94"/>
  <c r="H17" i="94"/>
  <c r="H18" i="94"/>
  <c r="H19" i="94"/>
  <c r="H20" i="94"/>
  <c r="H21" i="94"/>
  <c r="H22" i="94"/>
  <c r="H23" i="94"/>
  <c r="H24" i="94"/>
  <c r="H25" i="94"/>
  <c r="H28" i="94"/>
  <c r="H29" i="94"/>
  <c r="H30" i="94"/>
  <c r="H31" i="94"/>
  <c r="H32" i="94"/>
  <c r="H33" i="94"/>
  <c r="H34" i="94"/>
  <c r="H35" i="94"/>
  <c r="H36" i="94"/>
  <c r="H2" i="94"/>
  <c r="D852" i="94"/>
  <c r="E852" i="94"/>
  <c r="F852" i="94"/>
  <c r="G852" i="94"/>
  <c r="C852" i="94"/>
  <c r="E3" i="85"/>
  <c r="F3" i="85"/>
  <c r="G3" i="85"/>
  <c r="H3" i="85"/>
  <c r="I3" i="85"/>
  <c r="E4" i="85"/>
  <c r="F4" i="85"/>
  <c r="G4" i="85"/>
  <c r="H4" i="85"/>
  <c r="K4" i="85" s="1"/>
  <c r="I4" i="85"/>
  <c r="E5" i="85"/>
  <c r="F5" i="85"/>
  <c r="G5" i="85"/>
  <c r="H5" i="85"/>
  <c r="I5" i="85"/>
  <c r="E6" i="85"/>
  <c r="F6" i="85"/>
  <c r="G6" i="85"/>
  <c r="H6" i="85"/>
  <c r="I6" i="85"/>
  <c r="E7" i="85"/>
  <c r="F7" i="85"/>
  <c r="G7" i="85"/>
  <c r="H7" i="85"/>
  <c r="I7" i="85"/>
  <c r="E8" i="85"/>
  <c r="F8" i="85"/>
  <c r="G8" i="85"/>
  <c r="H8" i="85"/>
  <c r="K8" i="85" s="1"/>
  <c r="I8" i="85"/>
  <c r="E9" i="85"/>
  <c r="F9" i="85"/>
  <c r="G9" i="85"/>
  <c r="H9" i="85"/>
  <c r="I9" i="85"/>
  <c r="F10" i="85"/>
  <c r="G10" i="85"/>
  <c r="H10" i="85"/>
  <c r="I10" i="85"/>
  <c r="F11" i="85"/>
  <c r="G11" i="85"/>
  <c r="H11" i="85"/>
  <c r="I11" i="85"/>
  <c r="E12" i="85"/>
  <c r="F12" i="85"/>
  <c r="G12" i="85"/>
  <c r="H12" i="85"/>
  <c r="I12" i="85"/>
  <c r="E13" i="85"/>
  <c r="F13" i="85"/>
  <c r="G13" i="85"/>
  <c r="H13" i="85"/>
  <c r="I13" i="85"/>
  <c r="E14" i="85"/>
  <c r="F14" i="85"/>
  <c r="G14" i="85"/>
  <c r="H14" i="85"/>
  <c r="K14" i="85" s="1"/>
  <c r="I14" i="85"/>
  <c r="F15" i="85"/>
  <c r="G15" i="85"/>
  <c r="H15" i="85"/>
  <c r="I15" i="85"/>
  <c r="E16" i="85"/>
  <c r="F16" i="85"/>
  <c r="G16" i="85"/>
  <c r="K16" i="85" s="1"/>
  <c r="H16" i="85"/>
  <c r="I16" i="85"/>
  <c r="E18" i="85"/>
  <c r="F18" i="85"/>
  <c r="G18" i="85"/>
  <c r="H18" i="85"/>
  <c r="I18" i="85"/>
  <c r="E19" i="85"/>
  <c r="F19" i="85"/>
  <c r="G19" i="85"/>
  <c r="H19" i="85"/>
  <c r="I19" i="85"/>
  <c r="E20" i="85"/>
  <c r="F20" i="85"/>
  <c r="G20" i="85"/>
  <c r="H20" i="85"/>
  <c r="K20" i="85" s="1"/>
  <c r="I20" i="85"/>
  <c r="E21" i="85"/>
  <c r="F21" i="85"/>
  <c r="G21" i="85"/>
  <c r="H21" i="85"/>
  <c r="I21" i="85"/>
  <c r="E22" i="85"/>
  <c r="F22" i="85"/>
  <c r="G22" i="85"/>
  <c r="H22" i="85"/>
  <c r="I22" i="85"/>
  <c r="E23" i="85"/>
  <c r="F23" i="85"/>
  <c r="G23" i="85"/>
  <c r="H23" i="85"/>
  <c r="I23" i="85"/>
  <c r="E24" i="85"/>
  <c r="F24" i="85"/>
  <c r="G24" i="85"/>
  <c r="H24" i="85"/>
  <c r="K24" i="85" s="1"/>
  <c r="I24" i="85"/>
  <c r="E25" i="85"/>
  <c r="C10" i="83" s="1"/>
  <c r="F25" i="85"/>
  <c r="G25" i="85"/>
  <c r="K25" i="85" s="1"/>
  <c r="E10" i="83" s="1"/>
  <c r="H25" i="85"/>
  <c r="I25" i="85"/>
  <c r="E26" i="85"/>
  <c r="C11" i="83" s="1"/>
  <c r="F26" i="85"/>
  <c r="G26" i="85"/>
  <c r="H26" i="85"/>
  <c r="I26" i="85"/>
  <c r="E27" i="85"/>
  <c r="F27" i="85"/>
  <c r="G27" i="85"/>
  <c r="H27" i="85"/>
  <c r="I27" i="85"/>
  <c r="E28" i="85"/>
  <c r="F28" i="85"/>
  <c r="G28" i="85"/>
  <c r="H28" i="85"/>
  <c r="I28" i="85"/>
  <c r="E29" i="85"/>
  <c r="F29" i="85"/>
  <c r="G29" i="85"/>
  <c r="H29" i="85"/>
  <c r="I29" i="85"/>
  <c r="E30" i="85"/>
  <c r="F30" i="85"/>
  <c r="G30" i="85"/>
  <c r="H30" i="85"/>
  <c r="I30" i="85"/>
  <c r="E31" i="85"/>
  <c r="F31" i="85"/>
  <c r="G31" i="85"/>
  <c r="H31" i="85"/>
  <c r="I31" i="85"/>
  <c r="F32" i="85"/>
  <c r="G32" i="85"/>
  <c r="H32" i="85"/>
  <c r="I32" i="85"/>
  <c r="E33" i="85"/>
  <c r="F33" i="85"/>
  <c r="G33" i="85"/>
  <c r="H33" i="85"/>
  <c r="K33" i="85" s="1"/>
  <c r="I33" i="85"/>
  <c r="F34" i="85"/>
  <c r="G34" i="85"/>
  <c r="H34" i="85"/>
  <c r="I34" i="85"/>
  <c r="E35" i="85"/>
  <c r="F35" i="85"/>
  <c r="G35" i="85"/>
  <c r="K35" i="85" s="1"/>
  <c r="H35" i="85"/>
  <c r="I35" i="85"/>
  <c r="E36" i="85"/>
  <c r="F36" i="85"/>
  <c r="G36" i="85"/>
  <c r="H36" i="85"/>
  <c r="I36" i="85"/>
  <c r="E37" i="85"/>
  <c r="F37" i="85"/>
  <c r="G37" i="85"/>
  <c r="H37" i="85"/>
  <c r="I37" i="85"/>
  <c r="F38" i="85"/>
  <c r="G38" i="85"/>
  <c r="H38" i="85"/>
  <c r="I38" i="85"/>
  <c r="E40" i="85"/>
  <c r="F40" i="85"/>
  <c r="G40" i="85"/>
  <c r="H40" i="85"/>
  <c r="I40" i="85"/>
  <c r="E41" i="85"/>
  <c r="F41" i="85"/>
  <c r="G41" i="85"/>
  <c r="K41" i="85" s="1"/>
  <c r="H41" i="85"/>
  <c r="I41" i="85"/>
  <c r="E42" i="85"/>
  <c r="F42" i="85"/>
  <c r="G42" i="85"/>
  <c r="H42" i="85"/>
  <c r="I42" i="85"/>
  <c r="E43" i="85"/>
  <c r="F43" i="85"/>
  <c r="G43" i="85"/>
  <c r="H43" i="85"/>
  <c r="I43" i="85"/>
  <c r="F44" i="85"/>
  <c r="G44" i="85"/>
  <c r="H44" i="85"/>
  <c r="I44" i="85"/>
  <c r="E45" i="85"/>
  <c r="F45" i="85"/>
  <c r="G45" i="85"/>
  <c r="H45" i="85"/>
  <c r="I45" i="85"/>
  <c r="E46" i="85"/>
  <c r="F46" i="85"/>
  <c r="G46" i="85"/>
  <c r="K46" i="85" s="1"/>
  <c r="H46" i="85"/>
  <c r="I46" i="85"/>
  <c r="E47" i="85"/>
  <c r="F47" i="85"/>
  <c r="G47" i="85"/>
  <c r="K47" i="85" s="1"/>
  <c r="H47" i="85"/>
  <c r="I47" i="85"/>
  <c r="E48" i="85"/>
  <c r="F48" i="85"/>
  <c r="G48" i="85"/>
  <c r="H48" i="85"/>
  <c r="I48" i="85"/>
  <c r="E49" i="85"/>
  <c r="F49" i="85"/>
  <c r="G49" i="85"/>
  <c r="H49" i="85"/>
  <c r="K49" i="85" s="1"/>
  <c r="I49" i="85"/>
  <c r="E50" i="85"/>
  <c r="F50" i="85"/>
  <c r="G50" i="85"/>
  <c r="H50" i="85"/>
  <c r="I50" i="85"/>
  <c r="E51" i="85"/>
  <c r="F51" i="85"/>
  <c r="G51" i="85"/>
  <c r="H51" i="85"/>
  <c r="I51" i="85"/>
  <c r="E52" i="85"/>
  <c r="F52" i="85"/>
  <c r="G52" i="85"/>
  <c r="H52" i="85"/>
  <c r="I52" i="85"/>
  <c r="E53" i="85"/>
  <c r="F53" i="85"/>
  <c r="G53" i="85"/>
  <c r="H53" i="85"/>
  <c r="I53" i="85"/>
  <c r="E54" i="85"/>
  <c r="F54" i="85"/>
  <c r="G54" i="85"/>
  <c r="K54" i="85" s="1"/>
  <c r="H54" i="85"/>
  <c r="I54" i="85"/>
  <c r="E55" i="85"/>
  <c r="F55" i="85"/>
  <c r="G55" i="85"/>
  <c r="K55" i="85" s="1"/>
  <c r="H55" i="85"/>
  <c r="I55" i="85"/>
  <c r="E56" i="85"/>
  <c r="F56" i="85"/>
  <c r="G56" i="85"/>
  <c r="H56" i="85"/>
  <c r="I56" i="85"/>
  <c r="E57" i="85"/>
  <c r="F57" i="85"/>
  <c r="G57" i="85"/>
  <c r="H57" i="85"/>
  <c r="K57" i="85" s="1"/>
  <c r="I57" i="85"/>
  <c r="E58" i="85"/>
  <c r="F58" i="85"/>
  <c r="G58" i="85"/>
  <c r="H58" i="85"/>
  <c r="I58" i="85"/>
  <c r="E59" i="85"/>
  <c r="F59" i="85"/>
  <c r="G59" i="85"/>
  <c r="H59" i="85"/>
  <c r="I59" i="85"/>
  <c r="F60" i="85"/>
  <c r="G60" i="85"/>
  <c r="H60" i="85"/>
  <c r="I60" i="85"/>
  <c r="F61" i="85"/>
  <c r="G61" i="85"/>
  <c r="H61" i="85"/>
  <c r="I61" i="85"/>
  <c r="E62" i="85"/>
  <c r="F62" i="85"/>
  <c r="G62" i="85"/>
  <c r="H62" i="85"/>
  <c r="I62" i="85"/>
  <c r="E63" i="85"/>
  <c r="F63" i="85"/>
  <c r="G63" i="85"/>
  <c r="H63" i="85"/>
  <c r="K63" i="85" s="1"/>
  <c r="I63" i="85"/>
  <c r="F64" i="85"/>
  <c r="G64" i="85"/>
  <c r="H64" i="85"/>
  <c r="I64" i="85"/>
  <c r="E65" i="85"/>
  <c r="F65" i="85"/>
  <c r="G65" i="85"/>
  <c r="H65" i="85"/>
  <c r="I65" i="85"/>
  <c r="F66" i="85"/>
  <c r="G66" i="85"/>
  <c r="H66" i="85"/>
  <c r="I66" i="85"/>
  <c r="E67" i="85"/>
  <c r="F67" i="85"/>
  <c r="G67" i="85"/>
  <c r="H67" i="85"/>
  <c r="I67" i="85"/>
  <c r="F68" i="85"/>
  <c r="G68" i="85"/>
  <c r="H68" i="85"/>
  <c r="I68" i="85"/>
  <c r="E69" i="85"/>
  <c r="F69" i="85"/>
  <c r="G69" i="85"/>
  <c r="H69" i="85"/>
  <c r="I69" i="85"/>
  <c r="E70" i="85"/>
  <c r="F70" i="85"/>
  <c r="G70" i="85"/>
  <c r="H70" i="85"/>
  <c r="K70" i="85" s="1"/>
  <c r="I70" i="85"/>
  <c r="E71" i="85"/>
  <c r="F71" i="85"/>
  <c r="G71" i="85"/>
  <c r="K71" i="85" s="1"/>
  <c r="H71" i="85"/>
  <c r="I71" i="85"/>
  <c r="E72" i="85"/>
  <c r="F72" i="85"/>
  <c r="G72" i="85"/>
  <c r="H72" i="85"/>
  <c r="I72" i="85"/>
  <c r="E73" i="85"/>
  <c r="F73" i="85"/>
  <c r="G73" i="85"/>
  <c r="H73" i="85"/>
  <c r="I73" i="85"/>
  <c r="E74" i="85"/>
  <c r="F74" i="85"/>
  <c r="G74" i="85"/>
  <c r="H74" i="85"/>
  <c r="K74" i="85" s="1"/>
  <c r="I74" i="85"/>
  <c r="F75" i="85"/>
  <c r="G75" i="85"/>
  <c r="H75" i="85"/>
  <c r="I75" i="85"/>
  <c r="E76" i="85"/>
  <c r="F76" i="85"/>
  <c r="G76" i="85"/>
  <c r="H76" i="85"/>
  <c r="I76" i="85"/>
  <c r="F77" i="85"/>
  <c r="G77" i="85"/>
  <c r="H77" i="85"/>
  <c r="I77" i="85"/>
  <c r="E78" i="85"/>
  <c r="F78" i="85"/>
  <c r="G78" i="85"/>
  <c r="H78" i="85"/>
  <c r="I78" i="85"/>
  <c r="F79" i="85"/>
  <c r="G79" i="85"/>
  <c r="K79" i="85" s="1"/>
  <c r="K31" i="83" s="1"/>
  <c r="H79" i="85"/>
  <c r="I79" i="85"/>
  <c r="E80" i="85"/>
  <c r="F80" i="85"/>
  <c r="G80" i="85"/>
  <c r="H80" i="85"/>
  <c r="I80" i="85"/>
  <c r="E81" i="85"/>
  <c r="F81" i="85"/>
  <c r="G81" i="85"/>
  <c r="H81" i="85"/>
  <c r="K81" i="85" s="1"/>
  <c r="I81" i="85"/>
  <c r="E82" i="85"/>
  <c r="F82" i="85"/>
  <c r="G82" i="85"/>
  <c r="H82" i="85"/>
  <c r="I82" i="85"/>
  <c r="F83" i="85"/>
  <c r="G83" i="85"/>
  <c r="K83" i="85" s="1"/>
  <c r="K33" i="83" s="1"/>
  <c r="L33" i="83" s="1"/>
  <c r="M33" i="83" s="1"/>
  <c r="H83" i="85"/>
  <c r="I83" i="85"/>
  <c r="E84" i="85"/>
  <c r="F84" i="85"/>
  <c r="G84" i="85"/>
  <c r="H84" i="85"/>
  <c r="I84" i="85"/>
  <c r="E85" i="85"/>
  <c r="F85" i="85"/>
  <c r="G85" i="85"/>
  <c r="H85" i="85"/>
  <c r="I85" i="85"/>
  <c r="E86" i="85"/>
  <c r="F86" i="85"/>
  <c r="G86" i="85"/>
  <c r="H86" i="85"/>
  <c r="K86" i="85" s="1"/>
  <c r="I86" i="85"/>
  <c r="E87" i="85"/>
  <c r="F87" i="85"/>
  <c r="G87" i="85"/>
  <c r="H87" i="85"/>
  <c r="I87" i="85"/>
  <c r="E88" i="85"/>
  <c r="F88" i="85"/>
  <c r="G88" i="85"/>
  <c r="H88" i="85"/>
  <c r="I88" i="85"/>
  <c r="E89" i="85"/>
  <c r="F89" i="85"/>
  <c r="G89" i="85"/>
  <c r="H89" i="85"/>
  <c r="I89" i="85"/>
  <c r="E90" i="85"/>
  <c r="F90" i="85"/>
  <c r="G90" i="85"/>
  <c r="H90" i="85"/>
  <c r="I90" i="85"/>
  <c r="E91" i="85"/>
  <c r="F91" i="85"/>
  <c r="G91" i="85"/>
  <c r="K91" i="85" s="1"/>
  <c r="H91" i="85"/>
  <c r="I91" i="85"/>
  <c r="E92" i="85"/>
  <c r="F92" i="85"/>
  <c r="G92" i="85"/>
  <c r="H92" i="85"/>
  <c r="I92" i="85"/>
  <c r="E93" i="85"/>
  <c r="F93" i="85"/>
  <c r="G93" i="85"/>
  <c r="H93" i="85"/>
  <c r="I93" i="85"/>
  <c r="E94" i="85"/>
  <c r="F94" i="85"/>
  <c r="G94" i="85"/>
  <c r="H94" i="85"/>
  <c r="K94" i="85" s="1"/>
  <c r="I94" i="85"/>
  <c r="E95" i="85"/>
  <c r="F95" i="85"/>
  <c r="G95" i="85"/>
  <c r="H95" i="85"/>
  <c r="I95" i="85"/>
  <c r="E96" i="85"/>
  <c r="F96" i="85"/>
  <c r="G96" i="85"/>
  <c r="H96" i="85"/>
  <c r="I96" i="85"/>
  <c r="F97" i="85"/>
  <c r="G97" i="85"/>
  <c r="K97" i="85" s="1"/>
  <c r="Q9" i="87" s="1"/>
  <c r="H97" i="85"/>
  <c r="I97" i="85"/>
  <c r="F98" i="85"/>
  <c r="G98" i="85"/>
  <c r="H98" i="85"/>
  <c r="I98" i="85"/>
  <c r="E99" i="85"/>
  <c r="F99" i="85"/>
  <c r="G99" i="85"/>
  <c r="H99" i="85"/>
  <c r="I99" i="85"/>
  <c r="E100" i="85"/>
  <c r="F100" i="85"/>
  <c r="G100" i="85"/>
  <c r="H100" i="85"/>
  <c r="I100" i="85"/>
  <c r="E101" i="85"/>
  <c r="F101" i="85"/>
  <c r="G101" i="85"/>
  <c r="H101" i="85"/>
  <c r="I101" i="85"/>
  <c r="E102" i="85"/>
  <c r="F102" i="85"/>
  <c r="G102" i="85"/>
  <c r="K102" i="85" s="1"/>
  <c r="H102" i="85"/>
  <c r="I102" i="85"/>
  <c r="F103" i="85"/>
  <c r="G103" i="85"/>
  <c r="H103" i="85"/>
  <c r="I103" i="85"/>
  <c r="E104" i="85"/>
  <c r="F104" i="85"/>
  <c r="G104" i="85"/>
  <c r="H104" i="85"/>
  <c r="I104" i="85"/>
  <c r="F105" i="85"/>
  <c r="G105" i="85"/>
  <c r="H105" i="85"/>
  <c r="I105" i="85"/>
  <c r="E106" i="85"/>
  <c r="F106" i="85"/>
  <c r="G106" i="85"/>
  <c r="H106" i="85"/>
  <c r="K106" i="85" s="1"/>
  <c r="I106" i="85"/>
  <c r="E107" i="85"/>
  <c r="F107" i="85"/>
  <c r="G107" i="85"/>
  <c r="H107" i="85"/>
  <c r="I107" i="85"/>
  <c r="E108" i="85"/>
  <c r="F108" i="85"/>
  <c r="G108" i="85"/>
  <c r="H108" i="85"/>
  <c r="I108" i="85"/>
  <c r="E109" i="85"/>
  <c r="F109" i="85"/>
  <c r="G109" i="85"/>
  <c r="H109" i="85"/>
  <c r="I109" i="85"/>
  <c r="E110" i="85"/>
  <c r="F110" i="85"/>
  <c r="G110" i="85"/>
  <c r="H110" i="85"/>
  <c r="K110" i="85" s="1"/>
  <c r="I110" i="85"/>
  <c r="E111" i="85"/>
  <c r="F111" i="85"/>
  <c r="G111" i="85"/>
  <c r="K111" i="85" s="1"/>
  <c r="H111" i="85"/>
  <c r="I111" i="85"/>
  <c r="E112" i="85"/>
  <c r="F112" i="85"/>
  <c r="G112" i="85"/>
  <c r="H112" i="85"/>
  <c r="I112" i="85"/>
  <c r="E113" i="85"/>
  <c r="F113" i="85"/>
  <c r="G113" i="85"/>
  <c r="H113" i="85"/>
  <c r="I113" i="85"/>
  <c r="E114" i="85"/>
  <c r="O34" i="83" s="1"/>
  <c r="P34" i="83" s="1"/>
  <c r="F114" i="85"/>
  <c r="G114" i="85"/>
  <c r="H114" i="85"/>
  <c r="K114" i="85" s="1"/>
  <c r="Q34" i="83" s="1"/>
  <c r="R34" i="83" s="1"/>
  <c r="I114" i="85"/>
  <c r="E115" i="85"/>
  <c r="F115" i="85"/>
  <c r="G115" i="85"/>
  <c r="H115" i="85"/>
  <c r="I115" i="85"/>
  <c r="E116" i="85"/>
  <c r="F116" i="85"/>
  <c r="G116" i="85"/>
  <c r="H116" i="85"/>
  <c r="I116" i="85"/>
  <c r="E117" i="85"/>
  <c r="O14" i="83" s="1"/>
  <c r="P14" i="83" s="1"/>
  <c r="F117" i="85"/>
  <c r="G117" i="85"/>
  <c r="H117" i="85"/>
  <c r="I117" i="85"/>
  <c r="E118" i="85"/>
  <c r="F118" i="85"/>
  <c r="G118" i="85"/>
  <c r="H118" i="85"/>
  <c r="K118" i="85" s="1"/>
  <c r="I118" i="85"/>
  <c r="E119" i="85"/>
  <c r="F119" i="85"/>
  <c r="G119" i="85"/>
  <c r="K119" i="85" s="1"/>
  <c r="H119" i="85"/>
  <c r="I119" i="85"/>
  <c r="F120" i="85"/>
  <c r="G120" i="85"/>
  <c r="H120" i="85"/>
  <c r="I120" i="85"/>
  <c r="E121" i="85"/>
  <c r="O15" i="83" s="1"/>
  <c r="P15" i="83" s="1"/>
  <c r="F121" i="85"/>
  <c r="G121" i="85"/>
  <c r="H121" i="85"/>
  <c r="I121" i="85"/>
  <c r="E122" i="85"/>
  <c r="F122" i="85"/>
  <c r="G122" i="85"/>
  <c r="H122" i="85"/>
  <c r="I122" i="85"/>
  <c r="E123" i="85"/>
  <c r="F123" i="85"/>
  <c r="G123" i="85"/>
  <c r="H123" i="85"/>
  <c r="I123" i="85"/>
  <c r="E124" i="85"/>
  <c r="F124" i="85"/>
  <c r="G124" i="85"/>
  <c r="K124" i="85" s="1"/>
  <c r="H124" i="85"/>
  <c r="I124" i="85"/>
  <c r="E125" i="85"/>
  <c r="F125" i="85"/>
  <c r="G125" i="85"/>
  <c r="H125" i="85"/>
  <c r="I125" i="85"/>
  <c r="E126" i="85"/>
  <c r="O16" i="83" s="1"/>
  <c r="P16" i="83" s="1"/>
  <c r="R16" i="83" s="1"/>
  <c r="S16" i="83" s="1"/>
  <c r="F126" i="85"/>
  <c r="G126" i="85"/>
  <c r="H126" i="85"/>
  <c r="K126" i="85" s="1"/>
  <c r="Q16" i="83" s="1"/>
  <c r="I126" i="85"/>
  <c r="E127" i="85"/>
  <c r="F127" i="85"/>
  <c r="G127" i="85"/>
  <c r="K127" i="85" s="1"/>
  <c r="H127" i="85"/>
  <c r="I127" i="85"/>
  <c r="E129" i="85"/>
  <c r="F129" i="85"/>
  <c r="G129" i="85"/>
  <c r="H129" i="85"/>
  <c r="I129" i="85"/>
  <c r="E130" i="85"/>
  <c r="O18" i="83" s="1"/>
  <c r="P18" i="83" s="1"/>
  <c r="F130" i="85"/>
  <c r="G130" i="85"/>
  <c r="H130" i="85"/>
  <c r="I130" i="85"/>
  <c r="E131" i="85"/>
  <c r="O27" i="83" s="1"/>
  <c r="P27" i="83" s="1"/>
  <c r="F131" i="85"/>
  <c r="G131" i="85"/>
  <c r="H131" i="85"/>
  <c r="I131" i="85"/>
  <c r="E133" i="85"/>
  <c r="F133" i="85"/>
  <c r="G133" i="85"/>
  <c r="H133" i="85"/>
  <c r="I133" i="85"/>
  <c r="F134" i="85"/>
  <c r="G134" i="85"/>
  <c r="H134" i="85"/>
  <c r="I134" i="85"/>
  <c r="E135" i="85"/>
  <c r="F135" i="85"/>
  <c r="G135" i="85"/>
  <c r="H135" i="85"/>
  <c r="I135" i="85"/>
  <c r="E136" i="85"/>
  <c r="F136" i="85"/>
  <c r="G136" i="85"/>
  <c r="H136" i="85"/>
  <c r="I136" i="85"/>
  <c r="E137" i="85"/>
  <c r="F137" i="85"/>
  <c r="G137" i="85"/>
  <c r="H137" i="85"/>
  <c r="K137" i="85" s="1"/>
  <c r="I137" i="85"/>
  <c r="F138" i="85"/>
  <c r="G138" i="85"/>
  <c r="H138" i="85"/>
  <c r="I138" i="85"/>
  <c r="E140" i="85"/>
  <c r="F140" i="85"/>
  <c r="G140" i="85"/>
  <c r="K140" i="85" s="1"/>
  <c r="H140" i="85"/>
  <c r="I140" i="85"/>
  <c r="E141" i="85"/>
  <c r="F141" i="85"/>
  <c r="G141" i="85"/>
  <c r="H141" i="85"/>
  <c r="I141" i="85"/>
  <c r="E142" i="85"/>
  <c r="F142" i="85"/>
  <c r="G142" i="85"/>
  <c r="H142" i="85"/>
  <c r="I142" i="85"/>
  <c r="E143" i="85"/>
  <c r="F143" i="85"/>
  <c r="G143" i="85"/>
  <c r="H143" i="85"/>
  <c r="I143" i="85"/>
  <c r="F144" i="85"/>
  <c r="G144" i="85"/>
  <c r="H144" i="85"/>
  <c r="I144" i="85"/>
  <c r="E145" i="85"/>
  <c r="F145" i="85"/>
  <c r="G145" i="85"/>
  <c r="K145" i="85" s="1"/>
  <c r="H145" i="85"/>
  <c r="I145" i="85"/>
  <c r="E146" i="85"/>
  <c r="F146" i="85"/>
  <c r="G146" i="85"/>
  <c r="K146" i="85" s="1"/>
  <c r="H146" i="85"/>
  <c r="I146" i="85"/>
  <c r="E147" i="85"/>
  <c r="F147" i="85"/>
  <c r="G147" i="85"/>
  <c r="H147" i="85"/>
  <c r="I147" i="85"/>
  <c r="E148" i="85"/>
  <c r="F148" i="85"/>
  <c r="G148" i="85"/>
  <c r="H148" i="85"/>
  <c r="K148" i="85" s="1"/>
  <c r="I148" i="85"/>
  <c r="E149" i="85"/>
  <c r="F149" i="85"/>
  <c r="G149" i="85"/>
  <c r="H149" i="85"/>
  <c r="I149" i="85"/>
  <c r="E150" i="85"/>
  <c r="F150" i="85"/>
  <c r="G150" i="85"/>
  <c r="H150" i="85"/>
  <c r="I150" i="85"/>
  <c r="E151" i="85"/>
  <c r="F151" i="85"/>
  <c r="G151" i="85"/>
  <c r="H151" i="85"/>
  <c r="I151" i="85"/>
  <c r="E152" i="85"/>
  <c r="F152" i="85"/>
  <c r="G152" i="85"/>
  <c r="H152" i="85"/>
  <c r="I152" i="85"/>
  <c r="E153" i="85"/>
  <c r="F153" i="85"/>
  <c r="G153" i="85"/>
  <c r="K153" i="85" s="1"/>
  <c r="H153" i="85"/>
  <c r="I153" i="85"/>
  <c r="E154" i="85"/>
  <c r="F154" i="85"/>
  <c r="G154" i="85"/>
  <c r="K154" i="85" s="1"/>
  <c r="H154" i="85"/>
  <c r="I154" i="85"/>
  <c r="E155" i="85"/>
  <c r="F155" i="85"/>
  <c r="G155" i="85"/>
  <c r="H155" i="85"/>
  <c r="I155" i="85"/>
  <c r="E156" i="85"/>
  <c r="F156" i="85"/>
  <c r="G156" i="85"/>
  <c r="H156" i="85"/>
  <c r="K156" i="85" s="1"/>
  <c r="I156" i="85"/>
  <c r="E157" i="85"/>
  <c r="F157" i="85"/>
  <c r="G157" i="85"/>
  <c r="H157" i="85"/>
  <c r="I157" i="85"/>
  <c r="E158" i="85"/>
  <c r="F158" i="85"/>
  <c r="G158" i="85"/>
  <c r="H158" i="85"/>
  <c r="I158" i="85"/>
  <c r="E159" i="85"/>
  <c r="U9" i="87" s="1"/>
  <c r="V9" i="87" s="1"/>
  <c r="V14" i="87" s="1"/>
  <c r="F159" i="85"/>
  <c r="G159" i="85"/>
  <c r="H159" i="85"/>
  <c r="I159" i="85"/>
  <c r="F160" i="85"/>
  <c r="G160" i="85"/>
  <c r="H160" i="85"/>
  <c r="I160" i="85"/>
  <c r="E161" i="85"/>
  <c r="F161" i="85"/>
  <c r="G161" i="85"/>
  <c r="H161" i="85"/>
  <c r="K161" i="85" s="1"/>
  <c r="I161" i="85"/>
  <c r="E162" i="85"/>
  <c r="F162" i="85"/>
  <c r="G162" i="85"/>
  <c r="K162" i="85" s="1"/>
  <c r="H162" i="85"/>
  <c r="I162" i="85"/>
  <c r="F163" i="85"/>
  <c r="G163" i="85"/>
  <c r="H163" i="85"/>
  <c r="I163" i="85"/>
  <c r="E164" i="85"/>
  <c r="F164" i="85"/>
  <c r="G164" i="85"/>
  <c r="K164" i="85" s="1"/>
  <c r="H164" i="85"/>
  <c r="I164" i="85"/>
  <c r="F165" i="85"/>
  <c r="G165" i="85"/>
  <c r="H165" i="85"/>
  <c r="I165" i="85"/>
  <c r="E166" i="85"/>
  <c r="F166" i="85"/>
  <c r="G166" i="85"/>
  <c r="H166" i="85"/>
  <c r="I166" i="85"/>
  <c r="E167" i="85"/>
  <c r="F167" i="85"/>
  <c r="G167" i="85"/>
  <c r="H167" i="85"/>
  <c r="I167" i="85"/>
  <c r="E168" i="85"/>
  <c r="F168" i="85"/>
  <c r="G168" i="85"/>
  <c r="H168" i="85"/>
  <c r="I168" i="85"/>
  <c r="E169" i="85"/>
  <c r="F169" i="85"/>
  <c r="G169" i="85"/>
  <c r="K169" i="85" s="1"/>
  <c r="H169" i="85"/>
  <c r="I169" i="85"/>
  <c r="E170" i="85"/>
  <c r="F170" i="85"/>
  <c r="G170" i="85"/>
  <c r="H170" i="85"/>
  <c r="I170" i="85"/>
  <c r="E171" i="85"/>
  <c r="F171" i="85"/>
  <c r="G171" i="85"/>
  <c r="H171" i="85"/>
  <c r="I171" i="85"/>
  <c r="E172" i="85"/>
  <c r="U21" i="83" s="1"/>
  <c r="V21" i="83" s="1"/>
  <c r="F172" i="85"/>
  <c r="G172" i="85"/>
  <c r="K172" i="85" s="1"/>
  <c r="W21" i="83" s="1"/>
  <c r="X21" i="83" s="1"/>
  <c r="Y21" i="83" s="1"/>
  <c r="H172" i="85"/>
  <c r="I172" i="85"/>
  <c r="F173" i="85"/>
  <c r="G173" i="85"/>
  <c r="H173" i="85"/>
  <c r="I173" i="85"/>
  <c r="E174" i="85"/>
  <c r="F174" i="85"/>
  <c r="G174" i="85"/>
  <c r="H174" i="85"/>
  <c r="I174" i="85"/>
  <c r="E176" i="85"/>
  <c r="U24" i="83" s="1"/>
  <c r="V24" i="83" s="1"/>
  <c r="F176" i="85"/>
  <c r="G176" i="85"/>
  <c r="H176" i="85"/>
  <c r="I176" i="85"/>
  <c r="E177" i="85"/>
  <c r="F177" i="85"/>
  <c r="G177" i="85"/>
  <c r="H177" i="85"/>
  <c r="I177" i="85"/>
  <c r="E178" i="85"/>
  <c r="F178" i="85"/>
  <c r="G178" i="85"/>
  <c r="K178" i="85" s="1"/>
  <c r="H178" i="85"/>
  <c r="I178" i="85"/>
  <c r="E179" i="85"/>
  <c r="F179" i="85"/>
  <c r="G179" i="85"/>
  <c r="H179" i="85"/>
  <c r="I179" i="85"/>
  <c r="F180" i="85"/>
  <c r="G180" i="85"/>
  <c r="H180" i="85"/>
  <c r="I180" i="85"/>
  <c r="E181" i="85"/>
  <c r="F181" i="85"/>
  <c r="G181" i="85"/>
  <c r="H181" i="85"/>
  <c r="I181" i="85"/>
  <c r="E182" i="85"/>
  <c r="F182" i="85"/>
  <c r="G182" i="85"/>
  <c r="H182" i="85"/>
  <c r="I182" i="85"/>
  <c r="F183" i="85"/>
  <c r="G183" i="85"/>
  <c r="H183" i="85"/>
  <c r="K183" i="85" s="1"/>
  <c r="W31" i="83" s="1"/>
  <c r="X31" i="83" s="1"/>
  <c r="Y31" i="83" s="1"/>
  <c r="I183" i="85"/>
  <c r="E184" i="85"/>
  <c r="F184" i="85"/>
  <c r="G184" i="85"/>
  <c r="H184" i="85"/>
  <c r="I184" i="85"/>
  <c r="E185" i="85"/>
  <c r="F185" i="85"/>
  <c r="G185" i="85"/>
  <c r="H185" i="85"/>
  <c r="I185" i="85"/>
  <c r="E186" i="85"/>
  <c r="F186" i="85"/>
  <c r="G186" i="85"/>
  <c r="H186" i="85"/>
  <c r="I186" i="85"/>
  <c r="F187" i="85"/>
  <c r="G187" i="85"/>
  <c r="H187" i="85"/>
  <c r="I187" i="85"/>
  <c r="E188" i="85"/>
  <c r="F188" i="85"/>
  <c r="G188" i="85"/>
  <c r="H188" i="85"/>
  <c r="K188" i="85" s="1"/>
  <c r="I188" i="85"/>
  <c r="E189" i="85"/>
  <c r="F189" i="85"/>
  <c r="G189" i="85"/>
  <c r="H189" i="85"/>
  <c r="I189" i="85"/>
  <c r="E190" i="85"/>
  <c r="F190" i="85"/>
  <c r="G190" i="85"/>
  <c r="H190" i="85"/>
  <c r="I190" i="85"/>
  <c r="E191" i="85"/>
  <c r="F191" i="85"/>
  <c r="G191" i="85"/>
  <c r="H191" i="85"/>
  <c r="I191" i="85"/>
  <c r="E192" i="85"/>
  <c r="AA31" i="83" s="1"/>
  <c r="AB31" i="83" s="1"/>
  <c r="F192" i="85"/>
  <c r="G192" i="85"/>
  <c r="H192" i="85"/>
  <c r="I192" i="85"/>
  <c r="E193" i="85"/>
  <c r="F193" i="85"/>
  <c r="G193" i="85"/>
  <c r="H193" i="85"/>
  <c r="I193" i="85"/>
  <c r="E194" i="85"/>
  <c r="F194" i="85"/>
  <c r="G194" i="85"/>
  <c r="H194" i="85"/>
  <c r="I194" i="85"/>
  <c r="E195" i="85"/>
  <c r="F195" i="85"/>
  <c r="G195" i="85"/>
  <c r="H195" i="85"/>
  <c r="I195" i="85"/>
  <c r="E196" i="85"/>
  <c r="F196" i="85"/>
  <c r="G196" i="85"/>
  <c r="H196" i="85"/>
  <c r="K196" i="85" s="1"/>
  <c r="I196" i="85"/>
  <c r="E197" i="85"/>
  <c r="AA29" i="83" s="1"/>
  <c r="AB29" i="83" s="1"/>
  <c r="F197" i="85"/>
  <c r="G197" i="85"/>
  <c r="H197" i="85"/>
  <c r="I197" i="85"/>
  <c r="E198" i="85"/>
  <c r="AA26" i="83" s="1"/>
  <c r="AB26" i="83" s="1"/>
  <c r="F198" i="85"/>
  <c r="G198" i="85"/>
  <c r="H198" i="85"/>
  <c r="I198" i="85"/>
  <c r="E199" i="85"/>
  <c r="F199" i="85"/>
  <c r="G199" i="85"/>
  <c r="H199" i="85"/>
  <c r="I199" i="85"/>
  <c r="E200" i="85"/>
  <c r="F200" i="85"/>
  <c r="G200" i="85"/>
  <c r="H200" i="85"/>
  <c r="I200" i="85"/>
  <c r="E201" i="85"/>
  <c r="F201" i="85"/>
  <c r="G201" i="85"/>
  <c r="H201" i="85"/>
  <c r="I201" i="85"/>
  <c r="E202" i="85"/>
  <c r="F202" i="85"/>
  <c r="G202" i="85"/>
  <c r="H202" i="85"/>
  <c r="I202" i="85"/>
  <c r="F203" i="85"/>
  <c r="G203" i="85"/>
  <c r="H203" i="85"/>
  <c r="I203" i="85"/>
  <c r="E204" i="85"/>
  <c r="F204" i="85"/>
  <c r="G204" i="85"/>
  <c r="H204" i="85"/>
  <c r="I204" i="85"/>
  <c r="F205" i="85"/>
  <c r="G205" i="85"/>
  <c r="H205" i="85"/>
  <c r="I205" i="85"/>
  <c r="I2" i="85"/>
  <c r="H2" i="85"/>
  <c r="G2" i="85"/>
  <c r="F2" i="85"/>
  <c r="F213" i="85" s="1"/>
  <c r="E2" i="85"/>
  <c r="D2307" i="93"/>
  <c r="E2307" i="93"/>
  <c r="F2307" i="93"/>
  <c r="G2307" i="93"/>
  <c r="C2307" i="93"/>
  <c r="J4" i="79"/>
  <c r="C10" i="80" s="1"/>
  <c r="K4" i="79"/>
  <c r="L4" i="79"/>
  <c r="M4" i="79"/>
  <c r="N4" i="79"/>
  <c r="E10" i="80" s="1"/>
  <c r="J5" i="79"/>
  <c r="C11" i="80" s="1"/>
  <c r="K5" i="79"/>
  <c r="L5" i="79"/>
  <c r="M5" i="79"/>
  <c r="N5" i="79"/>
  <c r="J6" i="79"/>
  <c r="C12" i="80" s="1"/>
  <c r="K6" i="79"/>
  <c r="L6" i="79"/>
  <c r="M6" i="79"/>
  <c r="N6" i="79"/>
  <c r="E12" i="80" s="1"/>
  <c r="J7" i="79"/>
  <c r="C13" i="80" s="1"/>
  <c r="K7" i="79"/>
  <c r="L7" i="79"/>
  <c r="O7" i="79" s="1"/>
  <c r="M7" i="79"/>
  <c r="N7" i="79"/>
  <c r="E13" i="80" s="1"/>
  <c r="J8" i="79"/>
  <c r="C14" i="80" s="1"/>
  <c r="K8" i="79"/>
  <c r="L8" i="79"/>
  <c r="M8" i="79"/>
  <c r="N8" i="79"/>
  <c r="E14" i="80" s="1"/>
  <c r="J9" i="79"/>
  <c r="C15" i="80" s="1"/>
  <c r="D15" i="80" s="1"/>
  <c r="F15" i="80" s="1"/>
  <c r="G15" i="80" s="1"/>
  <c r="K9" i="79"/>
  <c r="L9" i="79"/>
  <c r="M9" i="79"/>
  <c r="N9" i="79"/>
  <c r="E15" i="80" s="1"/>
  <c r="J10" i="79"/>
  <c r="C16" i="80" s="1"/>
  <c r="K10" i="79"/>
  <c r="L10" i="79"/>
  <c r="M10" i="79"/>
  <c r="O10" i="79" s="1"/>
  <c r="N10" i="79"/>
  <c r="E16" i="80" s="1"/>
  <c r="J11" i="79"/>
  <c r="C17" i="80" s="1"/>
  <c r="K11" i="79"/>
  <c r="L11" i="79"/>
  <c r="M11" i="79"/>
  <c r="N11" i="79"/>
  <c r="E17" i="80" s="1"/>
  <c r="J12" i="79"/>
  <c r="C18" i="80" s="1"/>
  <c r="K12" i="79"/>
  <c r="L12" i="79"/>
  <c r="M12" i="79"/>
  <c r="N12" i="79"/>
  <c r="E18" i="80" s="1"/>
  <c r="J13" i="79"/>
  <c r="C19" i="80" s="1"/>
  <c r="K13" i="79"/>
  <c r="L13" i="79"/>
  <c r="M13" i="79"/>
  <c r="N13" i="79"/>
  <c r="J14" i="79"/>
  <c r="C20" i="80" s="1"/>
  <c r="K14" i="79"/>
  <c r="L14" i="79"/>
  <c r="M14" i="79"/>
  <c r="N14" i="79"/>
  <c r="E20" i="80" s="1"/>
  <c r="J15" i="79"/>
  <c r="C21" i="80" s="1"/>
  <c r="K15" i="79"/>
  <c r="L15" i="79"/>
  <c r="O15" i="79" s="1"/>
  <c r="M15" i="79"/>
  <c r="N15" i="79"/>
  <c r="E21" i="80" s="1"/>
  <c r="J16" i="79"/>
  <c r="C22" i="80" s="1"/>
  <c r="K16" i="79"/>
  <c r="L16" i="79"/>
  <c r="M16" i="79"/>
  <c r="N16" i="79"/>
  <c r="E22" i="80" s="1"/>
  <c r="J17" i="79"/>
  <c r="C23" i="80" s="1"/>
  <c r="K17" i="79"/>
  <c r="L17" i="79"/>
  <c r="M17" i="79"/>
  <c r="N17" i="79"/>
  <c r="E23" i="80" s="1"/>
  <c r="J18" i="79"/>
  <c r="C24" i="80" s="1"/>
  <c r="K18" i="79"/>
  <c r="L18" i="79"/>
  <c r="M18" i="79"/>
  <c r="O18" i="79" s="1"/>
  <c r="N18" i="79"/>
  <c r="E24" i="80" s="1"/>
  <c r="J19" i="79"/>
  <c r="C25" i="80" s="1"/>
  <c r="K19" i="79"/>
  <c r="L19" i="79"/>
  <c r="M19" i="79"/>
  <c r="N19" i="79"/>
  <c r="E25" i="80" s="1"/>
  <c r="J20" i="79"/>
  <c r="C29" i="80" s="1"/>
  <c r="K20" i="79"/>
  <c r="L20" i="79"/>
  <c r="M20" i="79"/>
  <c r="N20" i="79"/>
  <c r="E29" i="80" s="1"/>
  <c r="J23" i="79"/>
  <c r="C28" i="80" s="1"/>
  <c r="K23" i="79"/>
  <c r="L23" i="79"/>
  <c r="M23" i="79"/>
  <c r="N23" i="79"/>
  <c r="J24" i="79"/>
  <c r="K24" i="79"/>
  <c r="L24" i="79"/>
  <c r="M24" i="79"/>
  <c r="N24" i="79"/>
  <c r="J25" i="79"/>
  <c r="C34" i="80" s="1"/>
  <c r="K25" i="79"/>
  <c r="L25" i="79"/>
  <c r="O25" i="79" s="1"/>
  <c r="M25" i="79"/>
  <c r="N25" i="79"/>
  <c r="E34" i="80" s="1"/>
  <c r="J26" i="79"/>
  <c r="C35" i="80" s="1"/>
  <c r="K26" i="79"/>
  <c r="L26" i="79"/>
  <c r="M26" i="79"/>
  <c r="N26" i="79"/>
  <c r="E35" i="80" s="1"/>
  <c r="J27" i="79"/>
  <c r="C37" i="80" s="1"/>
  <c r="K27" i="79"/>
  <c r="L27" i="79"/>
  <c r="M27" i="79"/>
  <c r="N27" i="79"/>
  <c r="E37" i="80" s="1"/>
  <c r="J28" i="79"/>
  <c r="C38" i="80" s="1"/>
  <c r="K28" i="79"/>
  <c r="L28" i="79"/>
  <c r="M28" i="79"/>
  <c r="O28" i="79" s="1"/>
  <c r="N28" i="79"/>
  <c r="E38" i="80" s="1"/>
  <c r="J29" i="79"/>
  <c r="C39" i="80" s="1"/>
  <c r="K29" i="79"/>
  <c r="L29" i="79"/>
  <c r="M29" i="79"/>
  <c r="N29" i="79"/>
  <c r="E39" i="80" s="1"/>
  <c r="J30" i="79"/>
  <c r="C40" i="80" s="1"/>
  <c r="K30" i="79"/>
  <c r="L30" i="79"/>
  <c r="M30" i="79"/>
  <c r="N30" i="79"/>
  <c r="E40" i="80" s="1"/>
  <c r="J31" i="79"/>
  <c r="C41" i="80" s="1"/>
  <c r="K31" i="79"/>
  <c r="L31" i="79"/>
  <c r="M31" i="79"/>
  <c r="N31" i="79"/>
  <c r="J32" i="79"/>
  <c r="C42" i="80" s="1"/>
  <c r="K32" i="79"/>
  <c r="L32" i="79"/>
  <c r="M32" i="79"/>
  <c r="N32" i="79"/>
  <c r="E42" i="80" s="1"/>
  <c r="J33" i="79"/>
  <c r="C43" i="80" s="1"/>
  <c r="K33" i="79"/>
  <c r="L33" i="79"/>
  <c r="O33" i="79" s="1"/>
  <c r="M33" i="79"/>
  <c r="N33" i="79"/>
  <c r="E43" i="80" s="1"/>
  <c r="J34" i="79"/>
  <c r="C44" i="80" s="1"/>
  <c r="K34" i="79"/>
  <c r="L34" i="79"/>
  <c r="M34" i="79"/>
  <c r="N34" i="79"/>
  <c r="E44" i="80" s="1"/>
  <c r="J35" i="79"/>
  <c r="C45" i="80" s="1"/>
  <c r="D45" i="80" s="1"/>
  <c r="F45" i="80" s="1"/>
  <c r="G45" i="80" s="1"/>
  <c r="K35" i="79"/>
  <c r="L35" i="79"/>
  <c r="M35" i="79"/>
  <c r="N35" i="79"/>
  <c r="E45" i="80" s="1"/>
  <c r="J36" i="79"/>
  <c r="C46" i="80" s="1"/>
  <c r="K36" i="79"/>
  <c r="L36" i="79"/>
  <c r="M36" i="79"/>
  <c r="O36" i="79" s="1"/>
  <c r="N36" i="79"/>
  <c r="E46" i="80" s="1"/>
  <c r="J37" i="79"/>
  <c r="C47" i="80" s="1"/>
  <c r="K37" i="79"/>
  <c r="L37" i="79"/>
  <c r="M37" i="79"/>
  <c r="N37" i="79"/>
  <c r="E47" i="80" s="1"/>
  <c r="J38" i="79"/>
  <c r="C48" i="80" s="1"/>
  <c r="K38" i="79"/>
  <c r="L38" i="79"/>
  <c r="M38" i="79"/>
  <c r="N38" i="79"/>
  <c r="E48" i="80" s="1"/>
  <c r="J39" i="79"/>
  <c r="C49" i="80" s="1"/>
  <c r="K39" i="79"/>
  <c r="L39" i="79"/>
  <c r="M39" i="79"/>
  <c r="N39" i="79"/>
  <c r="J40" i="79"/>
  <c r="C50" i="80" s="1"/>
  <c r="K40" i="79"/>
  <c r="L40" i="79"/>
  <c r="M40" i="79"/>
  <c r="N40" i="79"/>
  <c r="E50" i="80" s="1"/>
  <c r="J41" i="79"/>
  <c r="C51" i="80" s="1"/>
  <c r="K41" i="79"/>
  <c r="L41" i="79"/>
  <c r="O41" i="79" s="1"/>
  <c r="M41" i="79"/>
  <c r="N41" i="79"/>
  <c r="E51" i="80" s="1"/>
  <c r="J42" i="79"/>
  <c r="C52" i="80" s="1"/>
  <c r="K42" i="79"/>
  <c r="L42" i="79"/>
  <c r="M42" i="79"/>
  <c r="N42" i="79"/>
  <c r="E52" i="80" s="1"/>
  <c r="J43" i="79"/>
  <c r="C53" i="80" s="1"/>
  <c r="D53" i="80" s="1"/>
  <c r="F53" i="80" s="1"/>
  <c r="G53" i="80" s="1"/>
  <c r="K43" i="79"/>
  <c r="L43" i="79"/>
  <c r="M43" i="79"/>
  <c r="N43" i="79"/>
  <c r="E53" i="80" s="1"/>
  <c r="J44" i="79"/>
  <c r="C54" i="80" s="1"/>
  <c r="K44" i="79"/>
  <c r="L44" i="79"/>
  <c r="M44" i="79"/>
  <c r="O44" i="79" s="1"/>
  <c r="N44" i="79"/>
  <c r="E54" i="80" s="1"/>
  <c r="J45" i="79"/>
  <c r="C55" i="80" s="1"/>
  <c r="K45" i="79"/>
  <c r="L45" i="79"/>
  <c r="M45" i="79"/>
  <c r="N45" i="79"/>
  <c r="E55" i="80" s="1"/>
  <c r="J46" i="79"/>
  <c r="C56" i="80" s="1"/>
  <c r="K46" i="79"/>
  <c r="L46" i="79"/>
  <c r="M46" i="79"/>
  <c r="N46" i="79"/>
  <c r="E56" i="80" s="1"/>
  <c r="J48" i="79"/>
  <c r="C58" i="80" s="1"/>
  <c r="K48" i="79"/>
  <c r="L48" i="79"/>
  <c r="M48" i="79"/>
  <c r="N48" i="79"/>
  <c r="J49" i="79"/>
  <c r="C59" i="80" s="1"/>
  <c r="K49" i="79"/>
  <c r="L49" i="79"/>
  <c r="M49" i="79"/>
  <c r="O49" i="79" s="1"/>
  <c r="N49" i="79"/>
  <c r="E59" i="80" s="1"/>
  <c r="J50" i="79"/>
  <c r="C60" i="80" s="1"/>
  <c r="K50" i="79"/>
  <c r="L50" i="79"/>
  <c r="O50" i="79" s="1"/>
  <c r="M50" i="79"/>
  <c r="N50" i="79"/>
  <c r="E60" i="80" s="1"/>
  <c r="J51" i="79"/>
  <c r="C61" i="80" s="1"/>
  <c r="K51" i="79"/>
  <c r="L51" i="79"/>
  <c r="M51" i="79"/>
  <c r="N51" i="79"/>
  <c r="E61" i="80" s="1"/>
  <c r="J52" i="79"/>
  <c r="C62" i="80" s="1"/>
  <c r="D62" i="80" s="1"/>
  <c r="F62" i="80" s="1"/>
  <c r="G62" i="80" s="1"/>
  <c r="K52" i="79"/>
  <c r="L52" i="79"/>
  <c r="M52" i="79"/>
  <c r="N52" i="79"/>
  <c r="E62" i="80" s="1"/>
  <c r="J53" i="79"/>
  <c r="C63" i="80" s="1"/>
  <c r="K53" i="79"/>
  <c r="L53" i="79"/>
  <c r="M53" i="79"/>
  <c r="O53" i="79" s="1"/>
  <c r="N53" i="79"/>
  <c r="E63" i="80" s="1"/>
  <c r="J54" i="79"/>
  <c r="C64" i="80" s="1"/>
  <c r="K54" i="79"/>
  <c r="L54" i="79"/>
  <c r="M54" i="79"/>
  <c r="N54" i="79"/>
  <c r="E64" i="80" s="1"/>
  <c r="J55" i="79"/>
  <c r="C65" i="80" s="1"/>
  <c r="K55" i="79"/>
  <c r="L55" i="79"/>
  <c r="M55" i="79"/>
  <c r="N55" i="79"/>
  <c r="E65" i="80" s="1"/>
  <c r="J56" i="79"/>
  <c r="C66" i="80" s="1"/>
  <c r="K56" i="79"/>
  <c r="L56" i="79"/>
  <c r="M56" i="79"/>
  <c r="N56" i="79"/>
  <c r="J57" i="79"/>
  <c r="C67" i="80" s="1"/>
  <c r="K57" i="79"/>
  <c r="L57" i="79"/>
  <c r="M57" i="79"/>
  <c r="N57" i="79"/>
  <c r="E67" i="80" s="1"/>
  <c r="J58" i="79"/>
  <c r="C68" i="80" s="1"/>
  <c r="K58" i="79"/>
  <c r="L58" i="79"/>
  <c r="O58" i="79" s="1"/>
  <c r="M58" i="79"/>
  <c r="N58" i="79"/>
  <c r="E68" i="80" s="1"/>
  <c r="J59" i="79"/>
  <c r="C71" i="80" s="1"/>
  <c r="K59" i="79"/>
  <c r="L59" i="79"/>
  <c r="M59" i="79"/>
  <c r="N59" i="79"/>
  <c r="E71" i="80" s="1"/>
  <c r="J60" i="79"/>
  <c r="C70" i="80" s="1"/>
  <c r="K60" i="79"/>
  <c r="L60" i="79"/>
  <c r="M60" i="79"/>
  <c r="N60" i="79"/>
  <c r="E70" i="80" s="1"/>
  <c r="J61" i="79"/>
  <c r="C72" i="80" s="1"/>
  <c r="D72" i="80" s="1"/>
  <c r="K61" i="79"/>
  <c r="L61" i="79"/>
  <c r="M61" i="79"/>
  <c r="O61" i="79" s="1"/>
  <c r="N61" i="79"/>
  <c r="E72" i="80" s="1"/>
  <c r="J62" i="79"/>
  <c r="C73" i="80" s="1"/>
  <c r="K62" i="79"/>
  <c r="L62" i="79"/>
  <c r="M62" i="79"/>
  <c r="N62" i="79"/>
  <c r="E73" i="80" s="1"/>
  <c r="J63" i="79"/>
  <c r="C74" i="80" s="1"/>
  <c r="D74" i="80" s="1"/>
  <c r="K63" i="79"/>
  <c r="L63" i="79"/>
  <c r="M63" i="79"/>
  <c r="N63" i="79"/>
  <c r="E74" i="80" s="1"/>
  <c r="J64" i="79"/>
  <c r="C75" i="80" s="1"/>
  <c r="K64" i="79"/>
  <c r="L64" i="79"/>
  <c r="M64" i="79"/>
  <c r="N64" i="79"/>
  <c r="J65" i="79"/>
  <c r="K65" i="79"/>
  <c r="L65" i="79"/>
  <c r="M65" i="79"/>
  <c r="N65" i="79"/>
  <c r="J66" i="79"/>
  <c r="K66" i="79"/>
  <c r="L66" i="79"/>
  <c r="O66" i="79" s="1"/>
  <c r="M66" i="79"/>
  <c r="N66" i="79"/>
  <c r="J67" i="79"/>
  <c r="K67" i="79"/>
  <c r="L67" i="79"/>
  <c r="M67" i="79"/>
  <c r="N67" i="79"/>
  <c r="J68" i="79"/>
  <c r="K68" i="79"/>
  <c r="L68" i="79"/>
  <c r="M68" i="79"/>
  <c r="N68" i="79"/>
  <c r="J69" i="79"/>
  <c r="C79" i="80" s="1"/>
  <c r="K69" i="79"/>
  <c r="L69" i="79"/>
  <c r="M69" i="79"/>
  <c r="O69" i="79" s="1"/>
  <c r="N69" i="79"/>
  <c r="E79" i="80" s="1"/>
  <c r="J284" i="79"/>
  <c r="K284" i="79"/>
  <c r="L284" i="79"/>
  <c r="M284" i="79"/>
  <c r="N284" i="79"/>
  <c r="J285" i="79"/>
  <c r="K285" i="79"/>
  <c r="L285" i="79"/>
  <c r="M285" i="79"/>
  <c r="N285" i="79"/>
  <c r="J286" i="79"/>
  <c r="C10" i="44" s="1"/>
  <c r="K286" i="79"/>
  <c r="L286" i="79"/>
  <c r="M286" i="79"/>
  <c r="N286" i="79"/>
  <c r="E10" i="44" s="1"/>
  <c r="J287" i="79"/>
  <c r="C11" i="44" s="1"/>
  <c r="K287" i="79"/>
  <c r="L287" i="79"/>
  <c r="M287" i="79"/>
  <c r="O287" i="79" s="1"/>
  <c r="N287" i="79"/>
  <c r="E11" i="44" s="1"/>
  <c r="J288" i="79"/>
  <c r="C12" i="44" s="1"/>
  <c r="K288" i="79"/>
  <c r="L288" i="79"/>
  <c r="O288" i="79" s="1"/>
  <c r="M288" i="79"/>
  <c r="N288" i="79"/>
  <c r="E12" i="44" s="1"/>
  <c r="J289" i="79"/>
  <c r="C13" i="44" s="1"/>
  <c r="K289" i="79"/>
  <c r="L289" i="79"/>
  <c r="M289" i="79"/>
  <c r="N289" i="79"/>
  <c r="E13" i="44" s="1"/>
  <c r="J290" i="79"/>
  <c r="C14" i="44" s="1"/>
  <c r="D14" i="44" s="1"/>
  <c r="F14" i="44" s="1"/>
  <c r="G14" i="44" s="1"/>
  <c r="K290" i="79"/>
  <c r="L290" i="79"/>
  <c r="M290" i="79"/>
  <c r="N290" i="79"/>
  <c r="E14" i="44" s="1"/>
  <c r="J291" i="79"/>
  <c r="C15" i="44" s="1"/>
  <c r="K291" i="79"/>
  <c r="L291" i="79"/>
  <c r="M291" i="79"/>
  <c r="O291" i="79" s="1"/>
  <c r="N291" i="79"/>
  <c r="E15" i="44" s="1"/>
  <c r="J292" i="79"/>
  <c r="C16" i="44" s="1"/>
  <c r="K292" i="79"/>
  <c r="L292" i="79"/>
  <c r="M292" i="79"/>
  <c r="N292" i="79"/>
  <c r="E16" i="44" s="1"/>
  <c r="J293" i="79"/>
  <c r="C17" i="44" s="1"/>
  <c r="K293" i="79"/>
  <c r="L293" i="79"/>
  <c r="M293" i="79"/>
  <c r="N293" i="79"/>
  <c r="E17" i="44" s="1"/>
  <c r="J294" i="79"/>
  <c r="C18" i="44" s="1"/>
  <c r="K294" i="79"/>
  <c r="L294" i="79"/>
  <c r="M294" i="79"/>
  <c r="N294" i="79"/>
  <c r="J295" i="79"/>
  <c r="C19" i="44" s="1"/>
  <c r="K295" i="79"/>
  <c r="L295" i="79"/>
  <c r="M295" i="79"/>
  <c r="N295" i="79"/>
  <c r="E19" i="44" s="1"/>
  <c r="J296" i="79"/>
  <c r="C20" i="44" s="1"/>
  <c r="K296" i="79"/>
  <c r="L296" i="79"/>
  <c r="O296" i="79" s="1"/>
  <c r="M296" i="79"/>
  <c r="N296" i="79"/>
  <c r="E20" i="44" s="1"/>
  <c r="J297" i="79"/>
  <c r="C21" i="44" s="1"/>
  <c r="K297" i="79"/>
  <c r="L297" i="79"/>
  <c r="M297" i="79"/>
  <c r="N297" i="79"/>
  <c r="E21" i="44" s="1"/>
  <c r="J298" i="79"/>
  <c r="C22" i="44" s="1"/>
  <c r="K298" i="79"/>
  <c r="L298" i="79"/>
  <c r="M298" i="79"/>
  <c r="N298" i="79"/>
  <c r="E22" i="44" s="1"/>
  <c r="J299" i="79"/>
  <c r="C23" i="44" s="1"/>
  <c r="K299" i="79"/>
  <c r="L299" i="79"/>
  <c r="M299" i="79"/>
  <c r="O299" i="79" s="1"/>
  <c r="N299" i="79"/>
  <c r="E23" i="44" s="1"/>
  <c r="J300" i="79"/>
  <c r="C24" i="44" s="1"/>
  <c r="K300" i="79"/>
  <c r="L300" i="79"/>
  <c r="O300" i="79" s="1"/>
  <c r="M300" i="79"/>
  <c r="N300" i="79"/>
  <c r="E24" i="44" s="1"/>
  <c r="J301" i="79"/>
  <c r="C25" i="44" s="1"/>
  <c r="K301" i="79"/>
  <c r="L301" i="79"/>
  <c r="M301" i="79"/>
  <c r="N301" i="79"/>
  <c r="E25" i="44" s="1"/>
  <c r="J302" i="79"/>
  <c r="C26" i="44" s="1"/>
  <c r="K302" i="79"/>
  <c r="L302" i="79"/>
  <c r="M302" i="79"/>
  <c r="N302" i="79"/>
  <c r="J303" i="79"/>
  <c r="K303" i="79"/>
  <c r="L303" i="79"/>
  <c r="M303" i="79"/>
  <c r="N303" i="79"/>
  <c r="J304" i="79"/>
  <c r="C31" i="44" s="1"/>
  <c r="D31" i="44" s="1"/>
  <c r="K304" i="79"/>
  <c r="L304" i="79"/>
  <c r="O304" i="79" s="1"/>
  <c r="M304" i="79"/>
  <c r="N304" i="79"/>
  <c r="E31" i="44" s="1"/>
  <c r="J305" i="79"/>
  <c r="C32" i="44" s="1"/>
  <c r="K305" i="79"/>
  <c r="L305" i="79"/>
  <c r="M305" i="79"/>
  <c r="N305" i="79"/>
  <c r="E32" i="44" s="1"/>
  <c r="J306" i="79"/>
  <c r="K306" i="79"/>
  <c r="L306" i="79"/>
  <c r="M306" i="79"/>
  <c r="N306" i="79"/>
  <c r="J307" i="79"/>
  <c r="C33" i="44" s="1"/>
  <c r="K307" i="79"/>
  <c r="L307" i="79"/>
  <c r="M307" i="79"/>
  <c r="O307" i="79" s="1"/>
  <c r="N307" i="79"/>
  <c r="E33" i="44" s="1"/>
  <c r="J308" i="79"/>
  <c r="C34" i="44" s="1"/>
  <c r="K308" i="79"/>
  <c r="L308" i="79"/>
  <c r="M308" i="79"/>
  <c r="N308" i="79"/>
  <c r="E34" i="44" s="1"/>
  <c r="J309" i="79"/>
  <c r="C35" i="44" s="1"/>
  <c r="D35" i="44" s="1"/>
  <c r="K309" i="79"/>
  <c r="L309" i="79"/>
  <c r="M309" i="79"/>
  <c r="N309" i="79"/>
  <c r="E35" i="44" s="1"/>
  <c r="J310" i="79"/>
  <c r="C36" i="44" s="1"/>
  <c r="K310" i="79"/>
  <c r="L310" i="79"/>
  <c r="M310" i="79"/>
  <c r="N310" i="79"/>
  <c r="J311" i="79"/>
  <c r="C37" i="44" s="1"/>
  <c r="D37" i="44" s="1"/>
  <c r="K311" i="79"/>
  <c r="L311" i="79"/>
  <c r="M311" i="79"/>
  <c r="N311" i="79"/>
  <c r="E37" i="44" s="1"/>
  <c r="J312" i="79"/>
  <c r="C38" i="44" s="1"/>
  <c r="K312" i="79"/>
  <c r="L312" i="79"/>
  <c r="O312" i="79" s="1"/>
  <c r="M312" i="79"/>
  <c r="N312" i="79"/>
  <c r="E38" i="44" s="1"/>
  <c r="J313" i="79"/>
  <c r="C39" i="44" s="1"/>
  <c r="D39" i="44" s="1"/>
  <c r="K313" i="79"/>
  <c r="L313" i="79"/>
  <c r="M313" i="79"/>
  <c r="N313" i="79"/>
  <c r="E39" i="44" s="1"/>
  <c r="J314" i="79"/>
  <c r="C40" i="44" s="1"/>
  <c r="K314" i="79"/>
  <c r="L314" i="79"/>
  <c r="M314" i="79"/>
  <c r="N314" i="79"/>
  <c r="J315" i="79"/>
  <c r="C46" i="44" s="1"/>
  <c r="K315" i="79"/>
  <c r="L315" i="79"/>
  <c r="M315" i="79"/>
  <c r="O315" i="79" s="1"/>
  <c r="N315" i="79"/>
  <c r="E46" i="44" s="1"/>
  <c r="J316" i="79"/>
  <c r="C41" i="44" s="1"/>
  <c r="D41" i="44" s="1"/>
  <c r="K316" i="79"/>
  <c r="L316" i="79"/>
  <c r="M316" i="79"/>
  <c r="N316" i="79"/>
  <c r="E41" i="44" s="1"/>
  <c r="J317" i="79"/>
  <c r="C42" i="44" s="1"/>
  <c r="K317" i="79"/>
  <c r="L317" i="79"/>
  <c r="M317" i="79"/>
  <c r="N317" i="79"/>
  <c r="E42" i="44" s="1"/>
  <c r="J318" i="79"/>
  <c r="C47" i="44" s="1"/>
  <c r="D47" i="44" s="1"/>
  <c r="K318" i="79"/>
  <c r="L318" i="79"/>
  <c r="M318" i="79"/>
  <c r="N318" i="79"/>
  <c r="J319" i="79"/>
  <c r="C48" i="44" s="1"/>
  <c r="K319" i="79"/>
  <c r="L319" i="79"/>
  <c r="M319" i="79"/>
  <c r="N319" i="79"/>
  <c r="E48" i="44" s="1"/>
  <c r="J320" i="79"/>
  <c r="C49" i="44" s="1"/>
  <c r="D49" i="44" s="1"/>
  <c r="K320" i="79"/>
  <c r="L320" i="79"/>
  <c r="O320" i="79" s="1"/>
  <c r="M320" i="79"/>
  <c r="N320" i="79"/>
  <c r="E49" i="44" s="1"/>
  <c r="J321" i="79"/>
  <c r="C50" i="44" s="1"/>
  <c r="K321" i="79"/>
  <c r="L321" i="79"/>
  <c r="M321" i="79"/>
  <c r="N321" i="79"/>
  <c r="E50" i="44" s="1"/>
  <c r="J322" i="79"/>
  <c r="C51" i="44" s="1"/>
  <c r="K322" i="79"/>
  <c r="L322" i="79"/>
  <c r="M322" i="79"/>
  <c r="N322" i="79"/>
  <c r="J323" i="79"/>
  <c r="C52" i="44"/>
  <c r="K323" i="79"/>
  <c r="L323" i="79"/>
  <c r="O323" i="79" s="1"/>
  <c r="M323" i="79"/>
  <c r="N323" i="79"/>
  <c r="E52" i="44" s="1"/>
  <c r="J324" i="79"/>
  <c r="C53" i="44" s="1"/>
  <c r="D53" i="44" s="1"/>
  <c r="K324" i="79"/>
  <c r="L324" i="79"/>
  <c r="M324" i="79"/>
  <c r="N324" i="79"/>
  <c r="E53" i="44" s="1"/>
  <c r="J325" i="79"/>
  <c r="C54" i="44" s="1"/>
  <c r="K325" i="79"/>
  <c r="L325" i="79"/>
  <c r="M325" i="79"/>
  <c r="N325" i="79"/>
  <c r="E54" i="44" s="1"/>
  <c r="J326" i="79"/>
  <c r="C55" i="44" s="1"/>
  <c r="D55" i="44" s="1"/>
  <c r="K326" i="79"/>
  <c r="L326" i="79"/>
  <c r="M326" i="79"/>
  <c r="O326" i="79" s="1"/>
  <c r="N326" i="79"/>
  <c r="E55" i="44" s="1"/>
  <c r="J327" i="79"/>
  <c r="C56" i="44" s="1"/>
  <c r="D56" i="44" s="1"/>
  <c r="K327" i="79"/>
  <c r="L327" i="79"/>
  <c r="M327" i="79"/>
  <c r="N327" i="79"/>
  <c r="E56" i="44" s="1"/>
  <c r="F56" i="44" s="1"/>
  <c r="J328" i="79"/>
  <c r="C57" i="44"/>
  <c r="K328" i="79"/>
  <c r="L328" i="79"/>
  <c r="M328" i="79"/>
  <c r="N328" i="79"/>
  <c r="E57" i="44" s="1"/>
  <c r="J329" i="79"/>
  <c r="C58" i="44" s="1"/>
  <c r="K329" i="79"/>
  <c r="L329" i="79"/>
  <c r="M329" i="79"/>
  <c r="O329" i="79" s="1"/>
  <c r="N329" i="79"/>
  <c r="E58" i="44" s="1"/>
  <c r="J330" i="79"/>
  <c r="K330" i="79"/>
  <c r="L330" i="79"/>
  <c r="M330" i="79"/>
  <c r="N330" i="79"/>
  <c r="J331" i="79"/>
  <c r="K331" i="79"/>
  <c r="L331" i="79"/>
  <c r="M331" i="79"/>
  <c r="N331" i="79"/>
  <c r="J332" i="79"/>
  <c r="C59" i="44" s="1"/>
  <c r="D59" i="44" s="1"/>
  <c r="K332" i="79"/>
  <c r="L332" i="79"/>
  <c r="M332" i="79"/>
  <c r="N332" i="79"/>
  <c r="J333" i="79"/>
  <c r="K333" i="79"/>
  <c r="L333" i="79"/>
  <c r="M333" i="79"/>
  <c r="N333" i="79"/>
  <c r="J334" i="79"/>
  <c r="C43" i="44" s="1"/>
  <c r="D43" i="44" s="1"/>
  <c r="K334" i="79"/>
  <c r="L334" i="79"/>
  <c r="O334" i="79" s="1"/>
  <c r="M334" i="79"/>
  <c r="N334" i="79"/>
  <c r="E43" i="44" s="1"/>
  <c r="J335" i="79"/>
  <c r="K335" i="79"/>
  <c r="L335" i="79"/>
  <c r="M335" i="79"/>
  <c r="N335" i="79"/>
  <c r="J336" i="79"/>
  <c r="C44" i="44" s="1"/>
  <c r="K336" i="79"/>
  <c r="L336" i="79"/>
  <c r="M336" i="79"/>
  <c r="N336" i="79"/>
  <c r="E44" i="44" s="1"/>
  <c r="J337" i="79"/>
  <c r="C60" i="44" s="1"/>
  <c r="K337" i="79"/>
  <c r="L337" i="79"/>
  <c r="M337" i="79"/>
  <c r="O337" i="79" s="1"/>
  <c r="N337" i="79"/>
  <c r="E60" i="44" s="1"/>
  <c r="J338" i="79"/>
  <c r="C61" i="44" s="1"/>
  <c r="D61" i="44" s="1"/>
  <c r="K338" i="79"/>
  <c r="L338" i="79"/>
  <c r="M338" i="79"/>
  <c r="N338" i="79"/>
  <c r="E61" i="44" s="1"/>
  <c r="J339" i="79"/>
  <c r="C45" i="44" s="1"/>
  <c r="D45" i="44" s="1"/>
  <c r="K339" i="79"/>
  <c r="L339" i="79"/>
  <c r="M339" i="79"/>
  <c r="N339" i="79"/>
  <c r="E45" i="44" s="1"/>
  <c r="J529" i="79"/>
  <c r="K529" i="79"/>
  <c r="L529" i="79"/>
  <c r="M529" i="79"/>
  <c r="N529" i="79"/>
  <c r="J530" i="79"/>
  <c r="C10" i="45" s="1"/>
  <c r="K530" i="79"/>
  <c r="L530" i="79"/>
  <c r="M530" i="79"/>
  <c r="N530" i="79"/>
  <c r="E10" i="45" s="1"/>
  <c r="J531" i="79"/>
  <c r="C11" i="45" s="1"/>
  <c r="K531" i="79"/>
  <c r="L531" i="79"/>
  <c r="O531" i="79" s="1"/>
  <c r="M531" i="79"/>
  <c r="N531" i="79"/>
  <c r="E11" i="45" s="1"/>
  <c r="J532" i="79"/>
  <c r="C12" i="45" s="1"/>
  <c r="K532" i="79"/>
  <c r="L532" i="79"/>
  <c r="M532" i="79"/>
  <c r="N532" i="79"/>
  <c r="E12" i="45" s="1"/>
  <c r="J533" i="79"/>
  <c r="C13" i="45" s="1"/>
  <c r="K533" i="79"/>
  <c r="L533" i="79"/>
  <c r="M533" i="79"/>
  <c r="N533" i="79"/>
  <c r="E13" i="45" s="1"/>
  <c r="J534" i="79"/>
  <c r="C14" i="45"/>
  <c r="K534" i="79"/>
  <c r="L534" i="79"/>
  <c r="O534" i="79" s="1"/>
  <c r="M534" i="79"/>
  <c r="N534" i="79"/>
  <c r="E14" i="45" s="1"/>
  <c r="J535" i="79"/>
  <c r="C15" i="45" s="1"/>
  <c r="K535" i="79"/>
  <c r="L535" i="79"/>
  <c r="M535" i="79"/>
  <c r="N535" i="79"/>
  <c r="E15" i="45" s="1"/>
  <c r="J536" i="79"/>
  <c r="C16" i="45" s="1"/>
  <c r="N16" i="45" s="1"/>
  <c r="K536" i="79"/>
  <c r="L536" i="79"/>
  <c r="M536" i="79"/>
  <c r="N536" i="79"/>
  <c r="E16" i="45" s="1"/>
  <c r="J537" i="79"/>
  <c r="C17" i="45" s="1"/>
  <c r="K537" i="79"/>
  <c r="L537" i="79"/>
  <c r="M537" i="79"/>
  <c r="O537" i="79" s="1"/>
  <c r="N537" i="79"/>
  <c r="E17" i="45" s="1"/>
  <c r="J538" i="79"/>
  <c r="C18" i="45" s="1"/>
  <c r="K538" i="79"/>
  <c r="L538" i="79"/>
  <c r="M538" i="79"/>
  <c r="N538" i="79"/>
  <c r="E18" i="45" s="1"/>
  <c r="J539" i="79"/>
  <c r="C19" i="45" s="1"/>
  <c r="K539" i="79"/>
  <c r="L539" i="79"/>
  <c r="M539" i="79"/>
  <c r="N539" i="79"/>
  <c r="E19" i="45" s="1"/>
  <c r="J540" i="79"/>
  <c r="C20" i="45" s="1"/>
  <c r="K540" i="79"/>
  <c r="L540" i="79"/>
  <c r="M540" i="79"/>
  <c r="N540" i="79"/>
  <c r="J541" i="79"/>
  <c r="C21" i="45" s="1"/>
  <c r="K541" i="79"/>
  <c r="L541" i="79"/>
  <c r="M541" i="79"/>
  <c r="N541" i="79"/>
  <c r="E21" i="45" s="1"/>
  <c r="J542" i="79"/>
  <c r="C22" i="45"/>
  <c r="K542" i="79"/>
  <c r="L542" i="79"/>
  <c r="M542" i="79"/>
  <c r="N542" i="79"/>
  <c r="E22" i="45" s="1"/>
  <c r="J543" i="79"/>
  <c r="C23" i="45" s="1"/>
  <c r="K543" i="79"/>
  <c r="L543" i="79"/>
  <c r="M543" i="79"/>
  <c r="N543" i="79"/>
  <c r="J544" i="79"/>
  <c r="C24" i="45" s="1"/>
  <c r="K544" i="79"/>
  <c r="L544" i="79"/>
  <c r="M544" i="79"/>
  <c r="N544" i="79"/>
  <c r="E24" i="45" s="1"/>
  <c r="J545" i="79"/>
  <c r="C25" i="45" s="1"/>
  <c r="K545" i="79"/>
  <c r="L545" i="79"/>
  <c r="O545" i="79" s="1"/>
  <c r="M545" i="79"/>
  <c r="N545" i="79"/>
  <c r="E25" i="45" s="1"/>
  <c r="J546" i="79"/>
  <c r="K546" i="79"/>
  <c r="L546" i="79"/>
  <c r="M546" i="79"/>
  <c r="N546" i="79"/>
  <c r="J547" i="79"/>
  <c r="C30" i="45" s="1"/>
  <c r="K547" i="79"/>
  <c r="L547" i="79"/>
  <c r="M547" i="79"/>
  <c r="N547" i="79"/>
  <c r="E30" i="45" s="1"/>
  <c r="J548" i="79"/>
  <c r="C31" i="45" s="1"/>
  <c r="K548" i="79"/>
  <c r="L548" i="79"/>
  <c r="M548" i="79"/>
  <c r="O548" i="79" s="1"/>
  <c r="N548" i="79"/>
  <c r="E31" i="45" s="1"/>
  <c r="J549" i="79"/>
  <c r="C32" i="45" s="1"/>
  <c r="K549" i="79"/>
  <c r="L549" i="79"/>
  <c r="M549" i="79"/>
  <c r="N549" i="79"/>
  <c r="E32" i="45" s="1"/>
  <c r="J550" i="79"/>
  <c r="K550" i="79"/>
  <c r="L550" i="79"/>
  <c r="M550" i="79"/>
  <c r="N550" i="79"/>
  <c r="J551" i="79"/>
  <c r="C34" i="45" s="1"/>
  <c r="K551" i="79"/>
  <c r="L551" i="79"/>
  <c r="M551" i="79"/>
  <c r="N551" i="79"/>
  <c r="J552" i="79"/>
  <c r="C35" i="45" s="1"/>
  <c r="K552" i="79"/>
  <c r="L552" i="79"/>
  <c r="M552" i="79"/>
  <c r="N552" i="79"/>
  <c r="E35" i="45" s="1"/>
  <c r="J553" i="79"/>
  <c r="C36" i="45" s="1"/>
  <c r="K553" i="79"/>
  <c r="L553" i="79"/>
  <c r="O553" i="79" s="1"/>
  <c r="M553" i="79"/>
  <c r="N553" i="79"/>
  <c r="E36" i="45" s="1"/>
  <c r="J554" i="79"/>
  <c r="C37" i="45" s="1"/>
  <c r="K554" i="79"/>
  <c r="L554" i="79"/>
  <c r="M554" i="79"/>
  <c r="N554" i="79"/>
  <c r="E37" i="45" s="1"/>
  <c r="J555" i="79"/>
  <c r="C33" i="45" s="1"/>
  <c r="K555" i="79"/>
  <c r="L555" i="79"/>
  <c r="M555" i="79"/>
  <c r="N555" i="79"/>
  <c r="E33" i="45" s="1"/>
  <c r="J556" i="79"/>
  <c r="C38" i="45" s="1"/>
  <c r="K556" i="79"/>
  <c r="L556" i="79"/>
  <c r="M556" i="79"/>
  <c r="N556" i="79"/>
  <c r="E38" i="45" s="1"/>
  <c r="J557" i="79"/>
  <c r="C39" i="45" s="1"/>
  <c r="K557" i="79"/>
  <c r="L557" i="79"/>
  <c r="M557" i="79"/>
  <c r="N557" i="79"/>
  <c r="E39" i="45" s="1"/>
  <c r="J558" i="79"/>
  <c r="C40" i="45" s="1"/>
  <c r="K558" i="79"/>
  <c r="L558" i="79"/>
  <c r="M558" i="79"/>
  <c r="N558" i="79"/>
  <c r="E40" i="45" s="1"/>
  <c r="J559" i="79"/>
  <c r="K559" i="79"/>
  <c r="L559" i="79"/>
  <c r="M559" i="79"/>
  <c r="N559" i="79"/>
  <c r="J560" i="79"/>
  <c r="C42" i="45" s="1"/>
  <c r="K560" i="79"/>
  <c r="L560" i="79"/>
  <c r="M560" i="79"/>
  <c r="N560" i="79"/>
  <c r="J593" i="79"/>
  <c r="K593" i="79"/>
  <c r="L593" i="79"/>
  <c r="M593" i="79"/>
  <c r="N593" i="79"/>
  <c r="J594" i="79"/>
  <c r="C10" i="46" s="1"/>
  <c r="K594" i="79"/>
  <c r="L594" i="79"/>
  <c r="O594" i="79" s="1"/>
  <c r="M594" i="79"/>
  <c r="N594" i="79"/>
  <c r="E10" i="46" s="1"/>
  <c r="J595" i="79"/>
  <c r="C11" i="46" s="1"/>
  <c r="K595" i="79"/>
  <c r="L595" i="79"/>
  <c r="M595" i="79"/>
  <c r="N595" i="79"/>
  <c r="E11" i="46" s="1"/>
  <c r="J596" i="79"/>
  <c r="C12" i="46" s="1"/>
  <c r="D12" i="46" s="1"/>
  <c r="F12" i="46" s="1"/>
  <c r="G12" i="46" s="1"/>
  <c r="K596" i="79"/>
  <c r="L596" i="79"/>
  <c r="M596" i="79"/>
  <c r="N596" i="79"/>
  <c r="E12" i="46" s="1"/>
  <c r="J597" i="79"/>
  <c r="C13" i="46" s="1"/>
  <c r="K597" i="79"/>
  <c r="L597" i="79"/>
  <c r="M597" i="79"/>
  <c r="O597" i="79" s="1"/>
  <c r="N597" i="79"/>
  <c r="E13" i="46" s="1"/>
  <c r="J598" i="79"/>
  <c r="C14" i="46" s="1"/>
  <c r="K598" i="79"/>
  <c r="L598" i="79"/>
  <c r="M598" i="79"/>
  <c r="N598" i="79"/>
  <c r="E14" i="46" s="1"/>
  <c r="J599" i="79"/>
  <c r="C15" i="46" s="1"/>
  <c r="K599" i="79"/>
  <c r="L599" i="79"/>
  <c r="M599" i="79"/>
  <c r="N599" i="79"/>
  <c r="J600" i="79"/>
  <c r="C16" i="46" s="1"/>
  <c r="K600" i="79"/>
  <c r="L600" i="79"/>
  <c r="M600" i="79"/>
  <c r="N600" i="79"/>
  <c r="J601" i="79"/>
  <c r="C17" i="46" s="1"/>
  <c r="K601" i="79"/>
  <c r="L601" i="79"/>
  <c r="O601" i="79" s="1"/>
  <c r="M601" i="79"/>
  <c r="N601" i="79"/>
  <c r="E17" i="46" s="1"/>
  <c r="J602" i="79"/>
  <c r="C18" i="46" s="1"/>
  <c r="K602" i="79"/>
  <c r="L602" i="79"/>
  <c r="O602" i="79" s="1"/>
  <c r="M602" i="79"/>
  <c r="N602" i="79"/>
  <c r="E18" i="46" s="1"/>
  <c r="J603" i="79"/>
  <c r="C19" i="46" s="1"/>
  <c r="K603" i="79"/>
  <c r="L603" i="79"/>
  <c r="M603" i="79"/>
  <c r="N603" i="79"/>
  <c r="E19" i="46" s="1"/>
  <c r="J604" i="79"/>
  <c r="C20" i="46" s="1"/>
  <c r="K604" i="79"/>
  <c r="L604" i="79"/>
  <c r="M604" i="79"/>
  <c r="O604" i="79" s="1"/>
  <c r="N604" i="79"/>
  <c r="E20" i="46" s="1"/>
  <c r="J605" i="79"/>
  <c r="C21" i="46" s="1"/>
  <c r="K605" i="79"/>
  <c r="L605" i="79"/>
  <c r="M605" i="79"/>
  <c r="N605" i="79"/>
  <c r="E21" i="46" s="1"/>
  <c r="J606" i="79"/>
  <c r="C22" i="46"/>
  <c r="K606" i="79"/>
  <c r="L606" i="79"/>
  <c r="M606" i="79"/>
  <c r="N606" i="79"/>
  <c r="J607" i="79"/>
  <c r="C23" i="46" s="1"/>
  <c r="N23" i="46" s="1"/>
  <c r="K607" i="79"/>
  <c r="L607" i="79"/>
  <c r="M607" i="79"/>
  <c r="O607" i="79" s="1"/>
  <c r="N607" i="79"/>
  <c r="E23" i="46" s="1"/>
  <c r="J608" i="79"/>
  <c r="K608" i="79"/>
  <c r="L608" i="79"/>
  <c r="M608" i="79"/>
  <c r="N608" i="79"/>
  <c r="J609" i="79"/>
  <c r="C28" i="46" s="1"/>
  <c r="K609" i="79"/>
  <c r="L609" i="79"/>
  <c r="M609" i="79"/>
  <c r="N609" i="79"/>
  <c r="E28" i="46" s="1"/>
  <c r="J610" i="79"/>
  <c r="C29" i="46" s="1"/>
  <c r="K610" i="79"/>
  <c r="L610" i="79"/>
  <c r="M610" i="79"/>
  <c r="N610" i="79"/>
  <c r="J611" i="79"/>
  <c r="C30" i="46" s="1"/>
  <c r="K611" i="79"/>
  <c r="L611" i="79"/>
  <c r="M611" i="79"/>
  <c r="N611" i="79"/>
  <c r="E30" i="46" s="1"/>
  <c r="J612" i="79"/>
  <c r="C31" i="46" s="1"/>
  <c r="K612" i="79"/>
  <c r="L612" i="79"/>
  <c r="O612" i="79" s="1"/>
  <c r="M612" i="79"/>
  <c r="N612" i="79"/>
  <c r="E31" i="46" s="1"/>
  <c r="J613" i="79"/>
  <c r="C32" i="46" s="1"/>
  <c r="D32" i="46" s="1"/>
  <c r="K613" i="79"/>
  <c r="L613" i="79"/>
  <c r="O613" i="79" s="1"/>
  <c r="M613" i="79"/>
  <c r="N613" i="79"/>
  <c r="E32" i="46" s="1"/>
  <c r="J614" i="79"/>
  <c r="C33" i="46" s="1"/>
  <c r="K614" i="79"/>
  <c r="L614" i="79"/>
  <c r="M614" i="79"/>
  <c r="N614" i="79"/>
  <c r="E33" i="46" s="1"/>
  <c r="J615" i="79"/>
  <c r="C34" i="46" s="1"/>
  <c r="D34" i="46" s="1"/>
  <c r="F34" i="46" s="1"/>
  <c r="G34" i="46" s="1"/>
  <c r="K615" i="79"/>
  <c r="L615" i="79"/>
  <c r="M615" i="79"/>
  <c r="N615" i="79"/>
  <c r="E34" i="46" s="1"/>
  <c r="J616" i="79"/>
  <c r="C35" i="46" s="1"/>
  <c r="K616" i="79"/>
  <c r="L616" i="79"/>
  <c r="O616" i="79" s="1"/>
  <c r="M616" i="79"/>
  <c r="N616" i="79"/>
  <c r="E35" i="46" s="1"/>
  <c r="J617" i="79"/>
  <c r="C36" i="46" s="1"/>
  <c r="K617" i="79"/>
  <c r="L617" i="79"/>
  <c r="M617" i="79"/>
  <c r="N617" i="79"/>
  <c r="E36" i="46" s="1"/>
  <c r="J618" i="79"/>
  <c r="C37" i="46" s="1"/>
  <c r="D37" i="46" s="1"/>
  <c r="K618" i="79"/>
  <c r="L618" i="79"/>
  <c r="M618" i="79"/>
  <c r="N618" i="79"/>
  <c r="E37" i="46" s="1"/>
  <c r="J619" i="79"/>
  <c r="C38" i="46" s="1"/>
  <c r="K619" i="79"/>
  <c r="L619" i="79"/>
  <c r="M619" i="79"/>
  <c r="N619" i="79"/>
  <c r="E38" i="46" s="1"/>
  <c r="J620" i="79"/>
  <c r="C39" i="46" s="1"/>
  <c r="K620" i="79"/>
  <c r="L620" i="79"/>
  <c r="M620" i="79"/>
  <c r="N620" i="79"/>
  <c r="E39" i="46" s="1"/>
  <c r="J649" i="79"/>
  <c r="K649" i="79"/>
  <c r="L649" i="79"/>
  <c r="M649" i="79"/>
  <c r="N649" i="79"/>
  <c r="E9" i="48" s="1"/>
  <c r="J650" i="79"/>
  <c r="C10" i="48" s="1"/>
  <c r="K650" i="79"/>
  <c r="L650" i="79"/>
  <c r="M650" i="79"/>
  <c r="N650" i="79"/>
  <c r="E10" i="48" s="1"/>
  <c r="J651" i="79"/>
  <c r="C11" i="48" s="1"/>
  <c r="K651" i="79"/>
  <c r="L651" i="79"/>
  <c r="M651" i="79"/>
  <c r="N651" i="79"/>
  <c r="E11" i="48" s="1"/>
  <c r="J652" i="79"/>
  <c r="C12" i="48" s="1"/>
  <c r="K652" i="79"/>
  <c r="L652" i="79"/>
  <c r="M652" i="79"/>
  <c r="N652" i="79"/>
  <c r="E12" i="48" s="1"/>
  <c r="J653" i="79"/>
  <c r="C13" i="48" s="1"/>
  <c r="K653" i="79"/>
  <c r="L653" i="79"/>
  <c r="M653" i="79"/>
  <c r="N653" i="79"/>
  <c r="E13" i="48" s="1"/>
  <c r="J654" i="79"/>
  <c r="C14" i="48" s="1"/>
  <c r="K654" i="79"/>
  <c r="L654" i="79"/>
  <c r="M654" i="79"/>
  <c r="N654" i="79"/>
  <c r="E14" i="48" s="1"/>
  <c r="J655" i="79"/>
  <c r="C15" i="48" s="1"/>
  <c r="K655" i="79"/>
  <c r="L655" i="79"/>
  <c r="M655" i="79"/>
  <c r="O655" i="79" s="1"/>
  <c r="N655" i="79"/>
  <c r="E15" i="48" s="1"/>
  <c r="J656" i="79"/>
  <c r="C16" i="48" s="1"/>
  <c r="K656" i="79"/>
  <c r="L656" i="79"/>
  <c r="M656" i="79"/>
  <c r="N656" i="79"/>
  <c r="E16" i="48"/>
  <c r="J657" i="79"/>
  <c r="C17" i="48" s="1"/>
  <c r="D17" i="48" s="1"/>
  <c r="F17" i="48" s="1"/>
  <c r="K657" i="79"/>
  <c r="L657" i="79"/>
  <c r="M657" i="79"/>
  <c r="N657" i="79"/>
  <c r="E17" i="48" s="1"/>
  <c r="J658" i="79"/>
  <c r="C18" i="48" s="1"/>
  <c r="K658" i="79"/>
  <c r="L658" i="79"/>
  <c r="M658" i="79"/>
  <c r="O658" i="79" s="1"/>
  <c r="N658" i="79"/>
  <c r="E18" i="48" s="1"/>
  <c r="J659" i="79"/>
  <c r="C19" i="48" s="1"/>
  <c r="K659" i="79"/>
  <c r="L659" i="79"/>
  <c r="M659" i="79"/>
  <c r="N659" i="79"/>
  <c r="E19" i="48" s="1"/>
  <c r="J660" i="79"/>
  <c r="C20" i="48" s="1"/>
  <c r="K660" i="79"/>
  <c r="L660" i="79"/>
  <c r="M660" i="79"/>
  <c r="N660" i="79"/>
  <c r="E20" i="48" s="1"/>
  <c r="J661" i="79"/>
  <c r="C21" i="48"/>
  <c r="K661" i="79"/>
  <c r="L661" i="79"/>
  <c r="M661" i="79"/>
  <c r="N661" i="79"/>
  <c r="E21" i="48" s="1"/>
  <c r="J662" i="79"/>
  <c r="C22" i="48" s="1"/>
  <c r="K662" i="79"/>
  <c r="L662" i="79"/>
  <c r="M662" i="79"/>
  <c r="N662" i="79"/>
  <c r="E22" i="48"/>
  <c r="J663" i="79"/>
  <c r="C23" i="48" s="1"/>
  <c r="AL23" i="48" s="1"/>
  <c r="K663" i="79"/>
  <c r="L663" i="79"/>
  <c r="M663" i="79"/>
  <c r="N663" i="79"/>
  <c r="E23" i="48" s="1"/>
  <c r="J664" i="79"/>
  <c r="C24" i="48" s="1"/>
  <c r="K664" i="79"/>
  <c r="L664" i="79"/>
  <c r="M664" i="79"/>
  <c r="N664" i="79"/>
  <c r="E24" i="48" s="1"/>
  <c r="J665" i="79"/>
  <c r="C25" i="48"/>
  <c r="K665" i="79"/>
  <c r="L665" i="79"/>
  <c r="M665" i="79"/>
  <c r="N665" i="79"/>
  <c r="E25" i="48" s="1"/>
  <c r="J666" i="79"/>
  <c r="C28" i="48" s="1"/>
  <c r="AL28" i="48" s="1"/>
  <c r="K666" i="79"/>
  <c r="L666" i="79"/>
  <c r="M666" i="79"/>
  <c r="N666" i="79"/>
  <c r="J670" i="79"/>
  <c r="C33" i="48" s="1"/>
  <c r="K670" i="79"/>
  <c r="L670" i="79"/>
  <c r="M670" i="79"/>
  <c r="N670" i="79"/>
  <c r="E33" i="48" s="1"/>
  <c r="J671" i="79"/>
  <c r="C34" i="48" s="1"/>
  <c r="K671" i="79"/>
  <c r="L671" i="79"/>
  <c r="M671" i="79"/>
  <c r="N671" i="79"/>
  <c r="E34" i="48" s="1"/>
  <c r="J672" i="79"/>
  <c r="C35" i="48"/>
  <c r="K672" i="79"/>
  <c r="L672" i="79"/>
  <c r="O672" i="79" s="1"/>
  <c r="M672" i="79"/>
  <c r="N672" i="79"/>
  <c r="E35" i="48" s="1"/>
  <c r="J673" i="79"/>
  <c r="K673" i="79"/>
  <c r="L673" i="79"/>
  <c r="M673" i="79"/>
  <c r="N673" i="79"/>
  <c r="J674" i="79"/>
  <c r="C36" i="48" s="1"/>
  <c r="AL36" i="48" s="1"/>
  <c r="K674" i="79"/>
  <c r="L674" i="79"/>
  <c r="M674" i="79"/>
  <c r="N674" i="79"/>
  <c r="E36" i="48" s="1"/>
  <c r="J675" i="79"/>
  <c r="C37" i="48" s="1"/>
  <c r="K675" i="79"/>
  <c r="L675" i="79"/>
  <c r="M675" i="79"/>
  <c r="O675" i="79" s="1"/>
  <c r="N675" i="79"/>
  <c r="E37" i="48" s="1"/>
  <c r="J70" i="79"/>
  <c r="K70" i="79"/>
  <c r="L70" i="79"/>
  <c r="M70" i="79"/>
  <c r="N70" i="79"/>
  <c r="J71" i="79"/>
  <c r="I10" i="80" s="1"/>
  <c r="J10" i="80" s="1"/>
  <c r="K71" i="79"/>
  <c r="L71" i="79"/>
  <c r="M71" i="79"/>
  <c r="N71" i="79"/>
  <c r="K10" i="80" s="1"/>
  <c r="J72" i="79"/>
  <c r="I11" i="80" s="1"/>
  <c r="J11" i="80" s="1"/>
  <c r="K72" i="79"/>
  <c r="L72" i="79"/>
  <c r="M72" i="79"/>
  <c r="N72" i="79"/>
  <c r="K11" i="80" s="1"/>
  <c r="J73" i="79"/>
  <c r="I12" i="80" s="1"/>
  <c r="J12" i="80" s="1"/>
  <c r="K73" i="79"/>
  <c r="L73" i="79"/>
  <c r="M73" i="79"/>
  <c r="N73" i="79"/>
  <c r="K12" i="80" s="1"/>
  <c r="J74" i="79"/>
  <c r="I13" i="80" s="1"/>
  <c r="J13" i="80" s="1"/>
  <c r="K74" i="79"/>
  <c r="L74" i="79"/>
  <c r="M74" i="79"/>
  <c r="N74" i="79"/>
  <c r="K13" i="80" s="1"/>
  <c r="J75" i="79"/>
  <c r="I14" i="80" s="1"/>
  <c r="J14" i="80" s="1"/>
  <c r="K75" i="79"/>
  <c r="L75" i="79"/>
  <c r="M75" i="79"/>
  <c r="O75" i="79" s="1"/>
  <c r="N75" i="79"/>
  <c r="J76" i="79"/>
  <c r="I15" i="80" s="1"/>
  <c r="J15" i="80" s="1"/>
  <c r="K76" i="79"/>
  <c r="L76" i="79"/>
  <c r="M76" i="79"/>
  <c r="N76" i="79"/>
  <c r="K15" i="80"/>
  <c r="J77" i="79"/>
  <c r="I16" i="80" s="1"/>
  <c r="J16" i="80" s="1"/>
  <c r="L16" i="80" s="1"/>
  <c r="M16" i="80" s="1"/>
  <c r="K77" i="79"/>
  <c r="L77" i="79"/>
  <c r="M77" i="79"/>
  <c r="N77" i="79"/>
  <c r="K16" i="80" s="1"/>
  <c r="J78" i="79"/>
  <c r="K78" i="79"/>
  <c r="L78" i="79"/>
  <c r="M78" i="79"/>
  <c r="N78" i="79"/>
  <c r="K17" i="80" s="1"/>
  <c r="J79" i="79"/>
  <c r="I18" i="80" s="1"/>
  <c r="J18" i="80" s="1"/>
  <c r="K79" i="79"/>
  <c r="L79" i="79"/>
  <c r="M79" i="79"/>
  <c r="N79" i="79"/>
  <c r="K18" i="80" s="1"/>
  <c r="J80" i="79"/>
  <c r="I19" i="80" s="1"/>
  <c r="J19" i="80" s="1"/>
  <c r="K80" i="79"/>
  <c r="L80" i="79"/>
  <c r="M80" i="79"/>
  <c r="N80" i="79"/>
  <c r="K19" i="80" s="1"/>
  <c r="J81" i="79"/>
  <c r="I20" i="80" s="1"/>
  <c r="J20" i="80" s="1"/>
  <c r="K81" i="79"/>
  <c r="L81" i="79"/>
  <c r="M81" i="79"/>
  <c r="N81" i="79"/>
  <c r="K20" i="80" s="1"/>
  <c r="J82" i="79"/>
  <c r="I21" i="80" s="1"/>
  <c r="J21" i="80" s="1"/>
  <c r="K82" i="79"/>
  <c r="L82" i="79"/>
  <c r="M82" i="79"/>
  <c r="N82" i="79"/>
  <c r="K21" i="80" s="1"/>
  <c r="J83" i="79"/>
  <c r="I22" i="80" s="1"/>
  <c r="J22" i="80" s="1"/>
  <c r="K83" i="79"/>
  <c r="L83" i="79"/>
  <c r="M83" i="79"/>
  <c r="N83" i="79"/>
  <c r="K22" i="80" s="1"/>
  <c r="J84" i="79"/>
  <c r="I23" i="80" s="1"/>
  <c r="J23" i="80" s="1"/>
  <c r="K84" i="79"/>
  <c r="L84" i="79"/>
  <c r="M84" i="79"/>
  <c r="N84" i="79"/>
  <c r="K23" i="80" s="1"/>
  <c r="J85" i="79"/>
  <c r="I24" i="80" s="1"/>
  <c r="J24" i="80" s="1"/>
  <c r="K85" i="79"/>
  <c r="L85" i="79"/>
  <c r="M85" i="79"/>
  <c r="N85" i="79"/>
  <c r="K24" i="80" s="1"/>
  <c r="J86" i="79"/>
  <c r="I25" i="80" s="1"/>
  <c r="J25" i="80" s="1"/>
  <c r="K86" i="79"/>
  <c r="L86" i="79"/>
  <c r="M86" i="79"/>
  <c r="N86" i="79"/>
  <c r="K25" i="80" s="1"/>
  <c r="J87" i="79"/>
  <c r="I29" i="80" s="1"/>
  <c r="J29" i="80" s="1"/>
  <c r="K87" i="79"/>
  <c r="L87" i="79"/>
  <c r="M87" i="79"/>
  <c r="N87" i="79"/>
  <c r="K29" i="80" s="1"/>
  <c r="J90" i="79"/>
  <c r="I28" i="80" s="1"/>
  <c r="J28" i="80" s="1"/>
  <c r="K90" i="79"/>
  <c r="L90" i="79"/>
  <c r="M90" i="79"/>
  <c r="N90" i="79"/>
  <c r="K28" i="80" s="1"/>
  <c r="J91" i="79"/>
  <c r="K91" i="79"/>
  <c r="L91" i="79"/>
  <c r="M91" i="79"/>
  <c r="N91" i="79"/>
  <c r="K33" i="80" s="1"/>
  <c r="J92" i="79"/>
  <c r="I34" i="80" s="1"/>
  <c r="J34" i="80" s="1"/>
  <c r="K92" i="79"/>
  <c r="L92" i="79"/>
  <c r="M92" i="79"/>
  <c r="N92" i="79"/>
  <c r="K34" i="80" s="1"/>
  <c r="J93" i="79"/>
  <c r="I35" i="80" s="1"/>
  <c r="J35" i="80" s="1"/>
  <c r="K93" i="79"/>
  <c r="L93" i="79"/>
  <c r="O93" i="79" s="1"/>
  <c r="M93" i="79"/>
  <c r="N93" i="79"/>
  <c r="K35" i="80" s="1"/>
  <c r="J94" i="79"/>
  <c r="K94" i="79"/>
  <c r="L94" i="79"/>
  <c r="M94" i="79"/>
  <c r="N94" i="79"/>
  <c r="K37" i="80" s="1"/>
  <c r="J95" i="79"/>
  <c r="K95" i="79"/>
  <c r="L95" i="79"/>
  <c r="M95" i="79"/>
  <c r="N95" i="79"/>
  <c r="J96" i="79"/>
  <c r="K96" i="79"/>
  <c r="L96" i="79"/>
  <c r="M96" i="79"/>
  <c r="O96" i="79" s="1"/>
  <c r="N96" i="79"/>
  <c r="K39" i="80" s="1"/>
  <c r="J97" i="79"/>
  <c r="I40" i="80" s="1"/>
  <c r="J40" i="80" s="1"/>
  <c r="K97" i="79"/>
  <c r="L97" i="79"/>
  <c r="M97" i="79"/>
  <c r="N97" i="79"/>
  <c r="K40" i="80" s="1"/>
  <c r="J98" i="79"/>
  <c r="K98" i="79"/>
  <c r="L98" i="79"/>
  <c r="M98" i="79"/>
  <c r="N98" i="79"/>
  <c r="K41" i="80" s="1"/>
  <c r="J99" i="79"/>
  <c r="I42" i="80" s="1"/>
  <c r="J42" i="80" s="1"/>
  <c r="K99" i="79"/>
  <c r="L99" i="79"/>
  <c r="M99" i="79"/>
  <c r="N99" i="79"/>
  <c r="J100" i="79"/>
  <c r="K100" i="79"/>
  <c r="L100" i="79"/>
  <c r="M100" i="79"/>
  <c r="N100" i="79"/>
  <c r="K43" i="80" s="1"/>
  <c r="J101" i="79"/>
  <c r="I44" i="80" s="1"/>
  <c r="J44" i="80" s="1"/>
  <c r="K101" i="79"/>
  <c r="L101" i="79"/>
  <c r="O101" i="79" s="1"/>
  <c r="M101" i="79"/>
  <c r="N101" i="79"/>
  <c r="K44" i="80" s="1"/>
  <c r="J102" i="79"/>
  <c r="I45" i="80" s="1"/>
  <c r="J45" i="80" s="1"/>
  <c r="K102" i="79"/>
  <c r="L102" i="79"/>
  <c r="M102" i="79"/>
  <c r="N102" i="79"/>
  <c r="K45" i="80" s="1"/>
  <c r="J103" i="79"/>
  <c r="I46" i="80" s="1"/>
  <c r="J46" i="80" s="1"/>
  <c r="K103" i="79"/>
  <c r="L103" i="79"/>
  <c r="M103" i="79"/>
  <c r="N103" i="79"/>
  <c r="J104" i="79"/>
  <c r="I47" i="80"/>
  <c r="J47" i="80" s="1"/>
  <c r="K104" i="79"/>
  <c r="L104" i="79"/>
  <c r="O104" i="79" s="1"/>
  <c r="M104" i="79"/>
  <c r="N104" i="79"/>
  <c r="K47" i="80" s="1"/>
  <c r="J105" i="79"/>
  <c r="I48" i="80" s="1"/>
  <c r="J48" i="80" s="1"/>
  <c r="K105" i="79"/>
  <c r="L105" i="79"/>
  <c r="M105" i="79"/>
  <c r="N105" i="79"/>
  <c r="K48" i="80"/>
  <c r="J106" i="79"/>
  <c r="I49" i="80" s="1"/>
  <c r="J49" i="80" s="1"/>
  <c r="K106" i="79"/>
  <c r="L106" i="79"/>
  <c r="M106" i="79"/>
  <c r="N106" i="79"/>
  <c r="K49" i="80" s="1"/>
  <c r="J107" i="79"/>
  <c r="K107" i="79"/>
  <c r="L107" i="79"/>
  <c r="M107" i="79"/>
  <c r="N107" i="79"/>
  <c r="J108" i="79"/>
  <c r="I51" i="80" s="1"/>
  <c r="J51" i="80" s="1"/>
  <c r="K108" i="79"/>
  <c r="L108" i="79"/>
  <c r="M108" i="79"/>
  <c r="N108" i="79"/>
  <c r="K51" i="80" s="1"/>
  <c r="J109" i="79"/>
  <c r="K109" i="79"/>
  <c r="L109" i="79"/>
  <c r="O109" i="79" s="1"/>
  <c r="M109" i="79"/>
  <c r="N109" i="79"/>
  <c r="K52" i="80" s="1"/>
  <c r="J110" i="79"/>
  <c r="I53" i="80" s="1"/>
  <c r="J53" i="80" s="1"/>
  <c r="K110" i="79"/>
  <c r="L110" i="79"/>
  <c r="M110" i="79"/>
  <c r="N110" i="79"/>
  <c r="K53" i="80" s="1"/>
  <c r="J111" i="79"/>
  <c r="I54" i="80" s="1"/>
  <c r="J54" i="80" s="1"/>
  <c r="K111" i="79"/>
  <c r="L111" i="79"/>
  <c r="M111" i="79"/>
  <c r="N111" i="79"/>
  <c r="J112" i="79"/>
  <c r="I55" i="80" s="1"/>
  <c r="J55" i="80" s="1"/>
  <c r="K112" i="79"/>
  <c r="L112" i="79"/>
  <c r="M112" i="79"/>
  <c r="O112" i="79" s="1"/>
  <c r="N112" i="79"/>
  <c r="J113" i="79"/>
  <c r="I56" i="80" s="1"/>
  <c r="J56" i="80" s="1"/>
  <c r="K113" i="79"/>
  <c r="L113" i="79"/>
  <c r="M113" i="79"/>
  <c r="N113" i="79"/>
  <c r="J114" i="79"/>
  <c r="I58" i="80" s="1"/>
  <c r="J58" i="80" s="1"/>
  <c r="K114" i="79"/>
  <c r="L114" i="79"/>
  <c r="M114" i="79"/>
  <c r="N114" i="79"/>
  <c r="K58" i="80" s="1"/>
  <c r="J115" i="79"/>
  <c r="I59" i="80" s="1"/>
  <c r="J59" i="80" s="1"/>
  <c r="K115" i="79"/>
  <c r="L115" i="79"/>
  <c r="M115" i="79"/>
  <c r="N115" i="79"/>
  <c r="K59" i="80" s="1"/>
  <c r="J116" i="79"/>
  <c r="I60" i="80" s="1"/>
  <c r="J60" i="80" s="1"/>
  <c r="K116" i="79"/>
  <c r="L116" i="79"/>
  <c r="M116" i="79"/>
  <c r="N116" i="79"/>
  <c r="K60" i="80" s="1"/>
  <c r="L60" i="80" s="1"/>
  <c r="J117" i="79"/>
  <c r="I61" i="80" s="1"/>
  <c r="J61" i="80" s="1"/>
  <c r="K117" i="79"/>
  <c r="L117" i="79"/>
  <c r="O117" i="79" s="1"/>
  <c r="M117" i="79"/>
  <c r="N117" i="79"/>
  <c r="K61" i="80" s="1"/>
  <c r="J118" i="79"/>
  <c r="I62" i="80" s="1"/>
  <c r="J62" i="80" s="1"/>
  <c r="K118" i="79"/>
  <c r="L118" i="79"/>
  <c r="M118" i="79"/>
  <c r="N118" i="79"/>
  <c r="K62" i="80" s="1"/>
  <c r="J119" i="79"/>
  <c r="I63" i="80" s="1"/>
  <c r="K119" i="79"/>
  <c r="L119" i="79"/>
  <c r="M119" i="79"/>
  <c r="N119" i="79"/>
  <c r="K63" i="80" s="1"/>
  <c r="J120" i="79"/>
  <c r="I64" i="80" s="1"/>
  <c r="J64" i="80" s="1"/>
  <c r="K120" i="79"/>
  <c r="L120" i="79"/>
  <c r="M120" i="79"/>
  <c r="O120" i="79" s="1"/>
  <c r="N120" i="79"/>
  <c r="K64" i="80" s="1"/>
  <c r="J121" i="79"/>
  <c r="I65" i="80" s="1"/>
  <c r="J65" i="80" s="1"/>
  <c r="K121" i="79"/>
  <c r="L121" i="79"/>
  <c r="M121" i="79"/>
  <c r="N121" i="79"/>
  <c r="K65" i="80" s="1"/>
  <c r="J122" i="79"/>
  <c r="I66" i="80" s="1"/>
  <c r="J66" i="80" s="1"/>
  <c r="K122" i="79"/>
  <c r="L122" i="79"/>
  <c r="M122" i="79"/>
  <c r="N122" i="79"/>
  <c r="K66" i="80" s="1"/>
  <c r="J123" i="79"/>
  <c r="I67" i="80" s="1"/>
  <c r="J67" i="80" s="1"/>
  <c r="K123" i="79"/>
  <c r="L123" i="79"/>
  <c r="M123" i="79"/>
  <c r="N123" i="79"/>
  <c r="K67" i="80" s="1"/>
  <c r="J124" i="79"/>
  <c r="I68" i="80" s="1"/>
  <c r="J68" i="80" s="1"/>
  <c r="K124" i="79"/>
  <c r="L124" i="79"/>
  <c r="M124" i="79"/>
  <c r="N124" i="79"/>
  <c r="K68" i="80" s="1"/>
  <c r="J125" i="79"/>
  <c r="I71" i="80" s="1"/>
  <c r="J71" i="80" s="1"/>
  <c r="K125" i="79"/>
  <c r="L125" i="79"/>
  <c r="O125" i="79" s="1"/>
  <c r="M125" i="79"/>
  <c r="N125" i="79"/>
  <c r="K71" i="80" s="1"/>
  <c r="J126" i="79"/>
  <c r="I70" i="80" s="1"/>
  <c r="J70" i="80" s="1"/>
  <c r="K126" i="79"/>
  <c r="L126" i="79"/>
  <c r="M126" i="79"/>
  <c r="N126" i="79"/>
  <c r="K70" i="80" s="1"/>
  <c r="J127" i="79"/>
  <c r="I72" i="80" s="1"/>
  <c r="K127" i="79"/>
  <c r="L127" i="79"/>
  <c r="M127" i="79"/>
  <c r="N127" i="79"/>
  <c r="K72" i="80" s="1"/>
  <c r="J128" i="79"/>
  <c r="I73" i="80" s="1"/>
  <c r="J73" i="80" s="1"/>
  <c r="K128" i="79"/>
  <c r="L128" i="79"/>
  <c r="M128" i="79"/>
  <c r="O128" i="79" s="1"/>
  <c r="N128" i="79"/>
  <c r="K73" i="80" s="1"/>
  <c r="J129" i="79"/>
  <c r="I74" i="80" s="1"/>
  <c r="J74" i="80" s="1"/>
  <c r="K129" i="79"/>
  <c r="L129" i="79"/>
  <c r="M129" i="79"/>
  <c r="N129" i="79"/>
  <c r="K74" i="80" s="1"/>
  <c r="J130" i="79"/>
  <c r="K130" i="79"/>
  <c r="L130" i="79"/>
  <c r="M130" i="79"/>
  <c r="N130" i="79"/>
  <c r="K75" i="80" s="1"/>
  <c r="J131" i="79"/>
  <c r="K131" i="79"/>
  <c r="L131" i="79"/>
  <c r="M131" i="79"/>
  <c r="N131" i="79"/>
  <c r="O131" i="79" s="1"/>
  <c r="J132" i="79"/>
  <c r="K132" i="79"/>
  <c r="L132" i="79"/>
  <c r="M132" i="79"/>
  <c r="N132" i="79"/>
  <c r="J133" i="79"/>
  <c r="K133" i="79"/>
  <c r="L133" i="79"/>
  <c r="O133" i="79" s="1"/>
  <c r="M133" i="79"/>
  <c r="N133" i="79"/>
  <c r="J134" i="79"/>
  <c r="K134" i="79"/>
  <c r="L134" i="79"/>
  <c r="M134" i="79"/>
  <c r="N134" i="79"/>
  <c r="J135" i="79"/>
  <c r="I79" i="80" s="1"/>
  <c r="J79" i="80" s="1"/>
  <c r="L79" i="80" s="1"/>
  <c r="M79" i="80" s="1"/>
  <c r="K135" i="79"/>
  <c r="L135" i="79"/>
  <c r="M135" i="79"/>
  <c r="N135" i="79"/>
  <c r="K79" i="80" s="1"/>
  <c r="J340" i="79"/>
  <c r="K340" i="79"/>
  <c r="L340" i="79"/>
  <c r="M340" i="79"/>
  <c r="O340" i="79" s="1"/>
  <c r="N340" i="79"/>
  <c r="J341" i="79"/>
  <c r="K341" i="79"/>
  <c r="L341" i="79"/>
  <c r="M341" i="79"/>
  <c r="N341" i="79"/>
  <c r="J342" i="79"/>
  <c r="I10" i="44" s="1"/>
  <c r="J10" i="44" s="1"/>
  <c r="K342" i="79"/>
  <c r="L342" i="79"/>
  <c r="M342" i="79"/>
  <c r="N342" i="79"/>
  <c r="K10" i="44" s="1"/>
  <c r="J343" i="79"/>
  <c r="I11" i="44" s="1"/>
  <c r="J11" i="44" s="1"/>
  <c r="K343" i="79"/>
  <c r="L343" i="79"/>
  <c r="M343" i="79"/>
  <c r="N343" i="79"/>
  <c r="J344" i="79"/>
  <c r="I12" i="44" s="1"/>
  <c r="J12" i="44" s="1"/>
  <c r="K344" i="79"/>
  <c r="L344" i="79"/>
  <c r="M344" i="79"/>
  <c r="N344" i="79"/>
  <c r="K12" i="44" s="1"/>
  <c r="L12" i="44" s="1"/>
  <c r="J345" i="79"/>
  <c r="I13" i="44" s="1"/>
  <c r="J13" i="44" s="1"/>
  <c r="K345" i="79"/>
  <c r="L345" i="79"/>
  <c r="O345" i="79" s="1"/>
  <c r="M345" i="79"/>
  <c r="N345" i="79"/>
  <c r="K13" i="44" s="1"/>
  <c r="J346" i="79"/>
  <c r="I14" i="44" s="1"/>
  <c r="J14" i="44" s="1"/>
  <c r="K346" i="79"/>
  <c r="L346" i="79"/>
  <c r="M346" i="79"/>
  <c r="N346" i="79"/>
  <c r="K14" i="44" s="1"/>
  <c r="J347" i="79"/>
  <c r="I15" i="44" s="1"/>
  <c r="K347" i="79"/>
  <c r="L347" i="79"/>
  <c r="M347" i="79"/>
  <c r="N347" i="79"/>
  <c r="K15" i="44" s="1"/>
  <c r="J348" i="79"/>
  <c r="I16" i="44" s="1"/>
  <c r="J16" i="44" s="1"/>
  <c r="K348" i="79"/>
  <c r="L348" i="79"/>
  <c r="M348" i="79"/>
  <c r="O348" i="79" s="1"/>
  <c r="N348" i="79"/>
  <c r="K16" i="44" s="1"/>
  <c r="J349" i="79"/>
  <c r="I17" i="44" s="1"/>
  <c r="J17" i="44" s="1"/>
  <c r="K349" i="79"/>
  <c r="L349" i="79"/>
  <c r="M349" i="79"/>
  <c r="N349" i="79"/>
  <c r="K17" i="44" s="1"/>
  <c r="J350" i="79"/>
  <c r="I18" i="44" s="1"/>
  <c r="J18" i="44" s="1"/>
  <c r="K350" i="79"/>
  <c r="L350" i="79"/>
  <c r="M350" i="79"/>
  <c r="N350" i="79"/>
  <c r="K18" i="44" s="1"/>
  <c r="J351" i="79"/>
  <c r="I19" i="44" s="1"/>
  <c r="J19" i="44" s="1"/>
  <c r="K351" i="79"/>
  <c r="L351" i="79"/>
  <c r="M351" i="79"/>
  <c r="N351" i="79"/>
  <c r="K19" i="44" s="1"/>
  <c r="J352" i="79"/>
  <c r="I20" i="44" s="1"/>
  <c r="J20" i="44" s="1"/>
  <c r="K352" i="79"/>
  <c r="L352" i="79"/>
  <c r="M352" i="79"/>
  <c r="N352" i="79"/>
  <c r="K20" i="44" s="1"/>
  <c r="J353" i="79"/>
  <c r="I21" i="44" s="1"/>
  <c r="J21" i="44" s="1"/>
  <c r="K353" i="79"/>
  <c r="L353" i="79"/>
  <c r="O353" i="79" s="1"/>
  <c r="M353" i="79"/>
  <c r="N353" i="79"/>
  <c r="K21" i="44" s="1"/>
  <c r="J354" i="79"/>
  <c r="I22" i="44" s="1"/>
  <c r="J22" i="44" s="1"/>
  <c r="K354" i="79"/>
  <c r="L354" i="79"/>
  <c r="M354" i="79"/>
  <c r="N354" i="79"/>
  <c r="K22" i="44" s="1"/>
  <c r="J355" i="79"/>
  <c r="I23" i="44" s="1"/>
  <c r="J23" i="44" s="1"/>
  <c r="L23" i="44" s="1"/>
  <c r="M23" i="44" s="1"/>
  <c r="K355" i="79"/>
  <c r="L355" i="79"/>
  <c r="M355" i="79"/>
  <c r="N355" i="79"/>
  <c r="K23" i="44" s="1"/>
  <c r="J356" i="79"/>
  <c r="I24" i="44" s="1"/>
  <c r="J24" i="44" s="1"/>
  <c r="K356" i="79"/>
  <c r="L356" i="79"/>
  <c r="M356" i="79"/>
  <c r="O356" i="79" s="1"/>
  <c r="N356" i="79"/>
  <c r="K24" i="44" s="1"/>
  <c r="J357" i="79"/>
  <c r="I25" i="44" s="1"/>
  <c r="J25" i="44" s="1"/>
  <c r="K357" i="79"/>
  <c r="L357" i="79"/>
  <c r="M357" i="79"/>
  <c r="N357" i="79"/>
  <c r="K25" i="44" s="1"/>
  <c r="J358" i="79"/>
  <c r="I26" i="44" s="1"/>
  <c r="J26" i="44" s="1"/>
  <c r="K358" i="79"/>
  <c r="L358" i="79"/>
  <c r="M358" i="79"/>
  <c r="N358" i="79"/>
  <c r="K26" i="44" s="1"/>
  <c r="J359" i="79"/>
  <c r="K359" i="79"/>
  <c r="L359" i="79"/>
  <c r="M359" i="79"/>
  <c r="N359" i="79"/>
  <c r="J360" i="79"/>
  <c r="I31" i="44" s="1"/>
  <c r="J31" i="44" s="1"/>
  <c r="K360" i="79"/>
  <c r="L360" i="79"/>
  <c r="M360" i="79"/>
  <c r="N360" i="79"/>
  <c r="K31" i="44" s="1"/>
  <c r="J361" i="79"/>
  <c r="I32" i="44" s="1"/>
  <c r="J32" i="44" s="1"/>
  <c r="K361" i="79"/>
  <c r="L361" i="79"/>
  <c r="M361" i="79"/>
  <c r="N361" i="79"/>
  <c r="K32" i="44" s="1"/>
  <c r="J362" i="79"/>
  <c r="K362" i="79"/>
  <c r="L362" i="79"/>
  <c r="M362" i="79"/>
  <c r="N362" i="79"/>
  <c r="J363" i="79"/>
  <c r="I33" i="44" s="1"/>
  <c r="J33" i="44" s="1"/>
  <c r="K363" i="79"/>
  <c r="L363" i="79"/>
  <c r="M363" i="79"/>
  <c r="N363" i="79"/>
  <c r="K33" i="44" s="1"/>
  <c r="J364" i="79"/>
  <c r="I34" i="44" s="1"/>
  <c r="J34" i="44" s="1"/>
  <c r="K364" i="79"/>
  <c r="L364" i="79"/>
  <c r="M364" i="79"/>
  <c r="N364" i="79"/>
  <c r="K34" i="44" s="1"/>
  <c r="J365" i="79"/>
  <c r="K365" i="79"/>
  <c r="L365" i="79"/>
  <c r="M365" i="79"/>
  <c r="N365" i="79"/>
  <c r="K35" i="44" s="1"/>
  <c r="J366" i="79"/>
  <c r="I36" i="44" s="1"/>
  <c r="J36" i="44" s="1"/>
  <c r="K366" i="79"/>
  <c r="L366" i="79"/>
  <c r="M366" i="79"/>
  <c r="N366" i="79"/>
  <c r="K36" i="44"/>
  <c r="J367" i="79"/>
  <c r="I37" i="44" s="1"/>
  <c r="J37" i="44" s="1"/>
  <c r="K367" i="79"/>
  <c r="L367" i="79"/>
  <c r="M367" i="79"/>
  <c r="N367" i="79"/>
  <c r="K37" i="44" s="1"/>
  <c r="J368" i="79"/>
  <c r="I38" i="44" s="1"/>
  <c r="J38" i="44" s="1"/>
  <c r="K368" i="79"/>
  <c r="L368" i="79"/>
  <c r="M368" i="79"/>
  <c r="N368" i="79"/>
  <c r="J369" i="79"/>
  <c r="I39" i="44" s="1"/>
  <c r="J39" i="44" s="1"/>
  <c r="K369" i="79"/>
  <c r="L369" i="79"/>
  <c r="M369" i="79"/>
  <c r="N369" i="79"/>
  <c r="K39" i="44" s="1"/>
  <c r="J370" i="79"/>
  <c r="I40" i="44" s="1"/>
  <c r="J40" i="44" s="1"/>
  <c r="K370" i="79"/>
  <c r="L370" i="79"/>
  <c r="M370" i="79"/>
  <c r="N370" i="79"/>
  <c r="K40" i="44" s="1"/>
  <c r="J371" i="79"/>
  <c r="I41" i="44" s="1"/>
  <c r="J41" i="44" s="1"/>
  <c r="K371" i="79"/>
  <c r="L371" i="79"/>
  <c r="M371" i="79"/>
  <c r="N371" i="79"/>
  <c r="K41" i="44" s="1"/>
  <c r="J372" i="79"/>
  <c r="I42" i="44" s="1"/>
  <c r="J42" i="44" s="1"/>
  <c r="K372" i="79"/>
  <c r="L372" i="79"/>
  <c r="M372" i="79"/>
  <c r="N372" i="79"/>
  <c r="K42" i="44" s="1"/>
  <c r="J373" i="79"/>
  <c r="I43" i="44" s="1"/>
  <c r="J43" i="44" s="1"/>
  <c r="K373" i="79"/>
  <c r="L373" i="79"/>
  <c r="M373" i="79"/>
  <c r="N373" i="79"/>
  <c r="K43" i="44" s="1"/>
  <c r="J374" i="79"/>
  <c r="I62" i="44" s="1"/>
  <c r="J62" i="44" s="1"/>
  <c r="K374" i="79"/>
  <c r="L374" i="79"/>
  <c r="M374" i="79"/>
  <c r="N374" i="79"/>
  <c r="K62" i="44" s="1"/>
  <c r="J375" i="79"/>
  <c r="I63" i="44" s="1"/>
  <c r="J63" i="44" s="1"/>
  <c r="K375" i="79"/>
  <c r="L375" i="79"/>
  <c r="M375" i="79"/>
  <c r="N375" i="79"/>
  <c r="K63" i="44" s="1"/>
  <c r="J376" i="79"/>
  <c r="I64" i="44" s="1"/>
  <c r="J64" i="44" s="1"/>
  <c r="K376" i="79"/>
  <c r="L376" i="79"/>
  <c r="M376" i="79"/>
  <c r="N376" i="79"/>
  <c r="K64" i="44" s="1"/>
  <c r="J377" i="79"/>
  <c r="I65" i="44" s="1"/>
  <c r="J65" i="44" s="1"/>
  <c r="K377" i="79"/>
  <c r="L377" i="79"/>
  <c r="M377" i="79"/>
  <c r="N377" i="79"/>
  <c r="K65" i="44" s="1"/>
  <c r="J378" i="79"/>
  <c r="K378" i="79"/>
  <c r="L378" i="79"/>
  <c r="M378" i="79"/>
  <c r="N378" i="79"/>
  <c r="J379" i="79"/>
  <c r="K379" i="79"/>
  <c r="L379" i="79"/>
  <c r="M379" i="79"/>
  <c r="N379" i="79"/>
  <c r="J380" i="79"/>
  <c r="I66" i="44" s="1"/>
  <c r="J66" i="44" s="1"/>
  <c r="K380" i="79"/>
  <c r="L380" i="79"/>
  <c r="M380" i="79"/>
  <c r="N380" i="79"/>
  <c r="K66" i="44" s="1"/>
  <c r="J381" i="79"/>
  <c r="I67" i="44" s="1"/>
  <c r="J67" i="44" s="1"/>
  <c r="K381" i="79"/>
  <c r="L381" i="79"/>
  <c r="M381" i="79"/>
  <c r="N381" i="79"/>
  <c r="K67" i="44" s="1"/>
  <c r="J382" i="79"/>
  <c r="I68" i="44" s="1"/>
  <c r="J68" i="44" s="1"/>
  <c r="K382" i="79"/>
  <c r="L382" i="79"/>
  <c r="M382" i="79"/>
  <c r="N382" i="79"/>
  <c r="K68" i="44" s="1"/>
  <c r="J383" i="79"/>
  <c r="I69" i="44" s="1"/>
  <c r="J69" i="44" s="1"/>
  <c r="K383" i="79"/>
  <c r="L383" i="79"/>
  <c r="M383" i="79"/>
  <c r="N383" i="79"/>
  <c r="K69" i="44" s="1"/>
  <c r="L69" i="44" s="1"/>
  <c r="J384" i="79"/>
  <c r="I44" i="44" s="1"/>
  <c r="J44" i="44" s="1"/>
  <c r="K384" i="79"/>
  <c r="L384" i="79"/>
  <c r="M384" i="79"/>
  <c r="N384" i="79"/>
  <c r="K44" i="44" s="1"/>
  <c r="J385" i="79"/>
  <c r="I45" i="44" s="1"/>
  <c r="J45" i="44" s="1"/>
  <c r="K385" i="79"/>
  <c r="L385" i="79"/>
  <c r="M385" i="79"/>
  <c r="N385" i="79"/>
  <c r="K45" i="44" s="1"/>
  <c r="J676" i="79"/>
  <c r="K676" i="79"/>
  <c r="L676" i="79"/>
  <c r="M676" i="79"/>
  <c r="N676" i="79"/>
  <c r="J677" i="79"/>
  <c r="I10" i="48" s="1"/>
  <c r="J10" i="48" s="1"/>
  <c r="K677" i="79"/>
  <c r="L677" i="79"/>
  <c r="M677" i="79"/>
  <c r="N677" i="79"/>
  <c r="K10" i="48" s="1"/>
  <c r="J678" i="79"/>
  <c r="I11" i="48" s="1"/>
  <c r="J11" i="48" s="1"/>
  <c r="K678" i="79"/>
  <c r="L678" i="79"/>
  <c r="O678" i="79" s="1"/>
  <c r="M678" i="79"/>
  <c r="N678" i="79"/>
  <c r="K11" i="48" s="1"/>
  <c r="J679" i="79"/>
  <c r="I12" i="48" s="1"/>
  <c r="J12" i="48" s="1"/>
  <c r="K679" i="79"/>
  <c r="L679" i="79"/>
  <c r="M679" i="79"/>
  <c r="N679" i="79"/>
  <c r="K12" i="48" s="1"/>
  <c r="L12" i="48" s="1"/>
  <c r="J680" i="79"/>
  <c r="I13" i="48" s="1"/>
  <c r="K680" i="79"/>
  <c r="L680" i="79"/>
  <c r="M680" i="79"/>
  <c r="N680" i="79"/>
  <c r="K13" i="48" s="1"/>
  <c r="J681" i="79"/>
  <c r="I14" i="48" s="1"/>
  <c r="J14" i="48" s="1"/>
  <c r="K681" i="79"/>
  <c r="L681" i="79"/>
  <c r="M681" i="79"/>
  <c r="N681" i="79"/>
  <c r="K14" i="48" s="1"/>
  <c r="J682" i="79"/>
  <c r="I15" i="48" s="1"/>
  <c r="J15" i="48" s="1"/>
  <c r="K682" i="79"/>
  <c r="L682" i="79"/>
  <c r="M682" i="79"/>
  <c r="N682" i="79"/>
  <c r="K15" i="48" s="1"/>
  <c r="J683" i="79"/>
  <c r="I16" i="48" s="1"/>
  <c r="J16" i="48" s="1"/>
  <c r="K683" i="79"/>
  <c r="L683" i="79"/>
  <c r="M683" i="79"/>
  <c r="N683" i="79"/>
  <c r="K16" i="48" s="1"/>
  <c r="J684" i="79"/>
  <c r="I17" i="48" s="1"/>
  <c r="J17" i="48" s="1"/>
  <c r="K684" i="79"/>
  <c r="L684" i="79"/>
  <c r="M684" i="79"/>
  <c r="N684" i="79"/>
  <c r="J685" i="79"/>
  <c r="I18" i="48" s="1"/>
  <c r="J18" i="48" s="1"/>
  <c r="K685" i="79"/>
  <c r="L685" i="79"/>
  <c r="M685" i="79"/>
  <c r="N685" i="79"/>
  <c r="K18" i="48" s="1"/>
  <c r="L18" i="48" s="1"/>
  <c r="J686" i="79"/>
  <c r="I19" i="48" s="1"/>
  <c r="J19" i="48" s="1"/>
  <c r="K686" i="79"/>
  <c r="L686" i="79"/>
  <c r="O686" i="79" s="1"/>
  <c r="M686" i="79"/>
  <c r="N686" i="79"/>
  <c r="K19" i="48" s="1"/>
  <c r="J687" i="79"/>
  <c r="I20" i="48" s="1"/>
  <c r="J20" i="48" s="1"/>
  <c r="K687" i="79"/>
  <c r="L687" i="79"/>
  <c r="M687" i="79"/>
  <c r="N687" i="79"/>
  <c r="J688" i="79"/>
  <c r="I21" i="48" s="1"/>
  <c r="J21" i="48" s="1"/>
  <c r="L21" i="48" s="1"/>
  <c r="M21" i="48" s="1"/>
  <c r="K688" i="79"/>
  <c r="L688" i="79"/>
  <c r="M688" i="79"/>
  <c r="N688" i="79"/>
  <c r="K21" i="48" s="1"/>
  <c r="J689" i="79"/>
  <c r="I22" i="48" s="1"/>
  <c r="J22" i="48" s="1"/>
  <c r="K689" i="79"/>
  <c r="L689" i="79"/>
  <c r="M689" i="79"/>
  <c r="N689" i="79"/>
  <c r="K22" i="48" s="1"/>
  <c r="J690" i="79"/>
  <c r="I23" i="48" s="1"/>
  <c r="J23" i="48" s="1"/>
  <c r="K690" i="79"/>
  <c r="L690" i="79"/>
  <c r="M690" i="79"/>
  <c r="N690" i="79"/>
  <c r="K23" i="48" s="1"/>
  <c r="J691" i="79"/>
  <c r="I24" i="48" s="1"/>
  <c r="J24" i="48" s="1"/>
  <c r="L24" i="48" s="1"/>
  <c r="M24" i="48" s="1"/>
  <c r="K691" i="79"/>
  <c r="L691" i="79"/>
  <c r="M691" i="79"/>
  <c r="N691" i="79"/>
  <c r="K24" i="48" s="1"/>
  <c r="J692" i="79"/>
  <c r="I25" i="48" s="1"/>
  <c r="J25" i="48" s="1"/>
  <c r="K692" i="79"/>
  <c r="L692" i="79"/>
  <c r="M692" i="79"/>
  <c r="N692" i="79"/>
  <c r="K25" i="48" s="1"/>
  <c r="J693" i="79"/>
  <c r="I28" i="48" s="1"/>
  <c r="J28" i="48" s="1"/>
  <c r="K693" i="79"/>
  <c r="L693" i="79"/>
  <c r="M693" i="79"/>
  <c r="N693" i="79"/>
  <c r="K28" i="48"/>
  <c r="J697" i="79"/>
  <c r="I33" i="48" s="1"/>
  <c r="J33" i="48"/>
  <c r="L33" i="48" s="1"/>
  <c r="M33" i="48" s="1"/>
  <c r="K697" i="79"/>
  <c r="L697" i="79"/>
  <c r="M697" i="79"/>
  <c r="N697" i="79"/>
  <c r="K33" i="48" s="1"/>
  <c r="J698" i="79"/>
  <c r="I34" i="48" s="1"/>
  <c r="J34" i="48"/>
  <c r="K698" i="79"/>
  <c r="L698" i="79"/>
  <c r="O698" i="79" s="1"/>
  <c r="M698" i="79"/>
  <c r="N698" i="79"/>
  <c r="K34" i="48" s="1"/>
  <c r="J699" i="79"/>
  <c r="I35" i="48" s="1"/>
  <c r="J35" i="48" s="1"/>
  <c r="K699" i="79"/>
  <c r="L699" i="79"/>
  <c r="M699" i="79"/>
  <c r="N699" i="79"/>
  <c r="K35" i="48" s="1"/>
  <c r="J700" i="79"/>
  <c r="K700" i="79"/>
  <c r="L700" i="79"/>
  <c r="M700" i="79"/>
  <c r="N700" i="79"/>
  <c r="J701" i="79"/>
  <c r="I36" i="48" s="1"/>
  <c r="J36" i="48" s="1"/>
  <c r="K701" i="79"/>
  <c r="L701" i="79"/>
  <c r="O701" i="79" s="1"/>
  <c r="M701" i="79"/>
  <c r="N701" i="79"/>
  <c r="K36" i="48" s="1"/>
  <c r="J702" i="79"/>
  <c r="I37" i="48" s="1"/>
  <c r="J37" i="48" s="1"/>
  <c r="K702" i="79"/>
  <c r="L702" i="79"/>
  <c r="M702" i="79"/>
  <c r="N702" i="79"/>
  <c r="K37" i="48" s="1"/>
  <c r="J136" i="79"/>
  <c r="O9" i="80" s="1"/>
  <c r="P9" i="80" s="1"/>
  <c r="K136" i="79"/>
  <c r="L136" i="79"/>
  <c r="M136" i="79"/>
  <c r="N136" i="79"/>
  <c r="J137" i="79"/>
  <c r="K137" i="79"/>
  <c r="L137" i="79"/>
  <c r="M137" i="79"/>
  <c r="O137" i="79" s="1"/>
  <c r="N137" i="79"/>
  <c r="J138" i="79"/>
  <c r="K138" i="79"/>
  <c r="L138" i="79"/>
  <c r="M138" i="79"/>
  <c r="N138" i="79"/>
  <c r="J139" i="79"/>
  <c r="K139" i="79"/>
  <c r="L139" i="79"/>
  <c r="M139" i="79"/>
  <c r="N139" i="79"/>
  <c r="Q12" i="80" s="1"/>
  <c r="J140" i="79"/>
  <c r="K140" i="79"/>
  <c r="L140" i="79"/>
  <c r="M140" i="79"/>
  <c r="N140" i="79"/>
  <c r="O140" i="79" s="1"/>
  <c r="J141" i="79"/>
  <c r="O14" i="80" s="1"/>
  <c r="P14" i="80" s="1"/>
  <c r="K141" i="79"/>
  <c r="L141" i="79"/>
  <c r="M141" i="79"/>
  <c r="N141" i="79"/>
  <c r="J142" i="79"/>
  <c r="K142" i="79"/>
  <c r="L142" i="79"/>
  <c r="M142" i="79"/>
  <c r="N142" i="79"/>
  <c r="J143" i="79"/>
  <c r="K143" i="79"/>
  <c r="L143" i="79"/>
  <c r="M143" i="79"/>
  <c r="N143" i="79"/>
  <c r="Q16" i="80" s="1"/>
  <c r="J144" i="79"/>
  <c r="K144" i="79"/>
  <c r="L144" i="79"/>
  <c r="M144" i="79"/>
  <c r="N144" i="79"/>
  <c r="Q17" i="80" s="1"/>
  <c r="J145" i="79"/>
  <c r="K145" i="79"/>
  <c r="L145" i="79"/>
  <c r="M145" i="79"/>
  <c r="N145" i="79"/>
  <c r="J146" i="79"/>
  <c r="K146" i="79"/>
  <c r="L146" i="79"/>
  <c r="M146" i="79"/>
  <c r="N146" i="79"/>
  <c r="Q19" i="80" s="1"/>
  <c r="J147" i="79"/>
  <c r="K147" i="79"/>
  <c r="L147" i="79"/>
  <c r="M147" i="79"/>
  <c r="N147" i="79"/>
  <c r="Q20" i="80" s="1"/>
  <c r="J148" i="79"/>
  <c r="O21" i="80" s="1"/>
  <c r="P21" i="80" s="1"/>
  <c r="K148" i="79"/>
  <c r="L148" i="79"/>
  <c r="M148" i="79"/>
  <c r="N148" i="79"/>
  <c r="Q21" i="80" s="1"/>
  <c r="J149" i="79"/>
  <c r="K149" i="79"/>
  <c r="L149" i="79"/>
  <c r="M149" i="79"/>
  <c r="N149" i="79"/>
  <c r="Q22" i="80" s="1"/>
  <c r="J150" i="79"/>
  <c r="K150" i="79"/>
  <c r="L150" i="79"/>
  <c r="M150" i="79"/>
  <c r="N150" i="79"/>
  <c r="Q23" i="80" s="1"/>
  <c r="J151" i="79"/>
  <c r="K151" i="79"/>
  <c r="L151" i="79"/>
  <c r="M151" i="79"/>
  <c r="N151" i="79"/>
  <c r="Q24" i="80" s="1"/>
  <c r="J152" i="79"/>
  <c r="O25" i="80" s="1"/>
  <c r="P25" i="80" s="1"/>
  <c r="K152" i="79"/>
  <c r="L152" i="79"/>
  <c r="M152" i="79"/>
  <c r="N152" i="79"/>
  <c r="Q25" i="80" s="1"/>
  <c r="R25" i="80" s="1"/>
  <c r="J153" i="79"/>
  <c r="K153" i="79"/>
  <c r="L153" i="79"/>
  <c r="M153" i="79"/>
  <c r="N153" i="79"/>
  <c r="Q29" i="80" s="1"/>
  <c r="J156" i="79"/>
  <c r="K156" i="79"/>
  <c r="L156" i="79"/>
  <c r="M156" i="79"/>
  <c r="N156" i="79"/>
  <c r="Q28" i="80" s="1"/>
  <c r="J157" i="79"/>
  <c r="K157" i="79"/>
  <c r="L157" i="79"/>
  <c r="M157" i="79"/>
  <c r="N157" i="79"/>
  <c r="J158" i="79"/>
  <c r="O34" i="80" s="1"/>
  <c r="P34" i="80" s="1"/>
  <c r="K158" i="79"/>
  <c r="L158" i="79"/>
  <c r="M158" i="79"/>
  <c r="N158" i="79"/>
  <c r="Q34" i="80" s="1"/>
  <c r="J159" i="79"/>
  <c r="O35" i="80" s="1"/>
  <c r="P35" i="80" s="1"/>
  <c r="K159" i="79"/>
  <c r="L159" i="79"/>
  <c r="M159" i="79"/>
  <c r="N159" i="79"/>
  <c r="Q35" i="80" s="1"/>
  <c r="R35" i="80" s="1"/>
  <c r="J160" i="79"/>
  <c r="K160" i="79"/>
  <c r="L160" i="79"/>
  <c r="M160" i="79"/>
  <c r="N160" i="79"/>
  <c r="J161" i="79"/>
  <c r="K161" i="79"/>
  <c r="L161" i="79"/>
  <c r="M161" i="79"/>
  <c r="N161" i="79"/>
  <c r="J162" i="79"/>
  <c r="K162" i="79"/>
  <c r="L162" i="79"/>
  <c r="M162" i="79"/>
  <c r="N162" i="79"/>
  <c r="J163" i="79"/>
  <c r="K163" i="79"/>
  <c r="L163" i="79"/>
  <c r="M163" i="79"/>
  <c r="N163" i="79"/>
  <c r="J164" i="79"/>
  <c r="O40" i="80" s="1"/>
  <c r="P40" i="80" s="1"/>
  <c r="K164" i="79"/>
  <c r="L164" i="79"/>
  <c r="M164" i="79"/>
  <c r="N164" i="79"/>
  <c r="Q40" i="80" s="1"/>
  <c r="R40" i="80" s="1"/>
  <c r="J165" i="79"/>
  <c r="K165" i="79"/>
  <c r="L165" i="79"/>
  <c r="O165" i="79" s="1"/>
  <c r="M165" i="79"/>
  <c r="N165" i="79"/>
  <c r="J166" i="79"/>
  <c r="O42" i="80" s="1"/>
  <c r="P42" i="80" s="1"/>
  <c r="K166" i="79"/>
  <c r="L166" i="79"/>
  <c r="M166" i="79"/>
  <c r="N166" i="79"/>
  <c r="Q42" i="80" s="1"/>
  <c r="J167" i="79"/>
  <c r="K167" i="79"/>
  <c r="L167" i="79"/>
  <c r="M167" i="79"/>
  <c r="N167" i="79"/>
  <c r="J168" i="79"/>
  <c r="K168" i="79"/>
  <c r="L168" i="79"/>
  <c r="M168" i="79"/>
  <c r="O168" i="79" s="1"/>
  <c r="N168" i="79"/>
  <c r="J169" i="79"/>
  <c r="K169" i="79"/>
  <c r="L169" i="79"/>
  <c r="M169" i="79"/>
  <c r="N169" i="79"/>
  <c r="J170" i="79"/>
  <c r="K170" i="79"/>
  <c r="L170" i="79"/>
  <c r="M170" i="79"/>
  <c r="N170" i="79"/>
  <c r="J171" i="79"/>
  <c r="O47" i="80" s="1"/>
  <c r="P47" i="80" s="1"/>
  <c r="K171" i="79"/>
  <c r="L171" i="79"/>
  <c r="M171" i="79"/>
  <c r="N171" i="79"/>
  <c r="Q47" i="80" s="1"/>
  <c r="J172" i="79"/>
  <c r="K172" i="79"/>
  <c r="L172" i="79"/>
  <c r="M172" i="79"/>
  <c r="N172" i="79"/>
  <c r="J173" i="79"/>
  <c r="O49" i="80" s="1"/>
  <c r="P49" i="80" s="1"/>
  <c r="K173" i="79"/>
  <c r="L173" i="79"/>
  <c r="O173" i="79" s="1"/>
  <c r="M173" i="79"/>
  <c r="N173" i="79"/>
  <c r="Q49" i="80"/>
  <c r="J174" i="79"/>
  <c r="K174" i="79"/>
  <c r="L174" i="79"/>
  <c r="M174" i="79"/>
  <c r="N174" i="79"/>
  <c r="O174" i="79" s="1"/>
  <c r="J175" i="79"/>
  <c r="K175" i="79"/>
  <c r="L175" i="79"/>
  <c r="M175" i="79"/>
  <c r="N175" i="79"/>
  <c r="J176" i="79"/>
  <c r="K176" i="79"/>
  <c r="L176" i="79"/>
  <c r="O176" i="79" s="1"/>
  <c r="M176" i="79"/>
  <c r="N176" i="79"/>
  <c r="J177" i="79"/>
  <c r="K177" i="79"/>
  <c r="L177" i="79"/>
  <c r="M177" i="79"/>
  <c r="N177" i="79"/>
  <c r="J178" i="79"/>
  <c r="K178" i="79"/>
  <c r="L178" i="79"/>
  <c r="M178" i="79"/>
  <c r="N178" i="79"/>
  <c r="J179" i="79"/>
  <c r="K179" i="79"/>
  <c r="L179" i="79"/>
  <c r="M179" i="79"/>
  <c r="O179" i="79" s="1"/>
  <c r="N179" i="79"/>
  <c r="J180" i="79"/>
  <c r="K180" i="79"/>
  <c r="L180" i="79"/>
  <c r="M180" i="79"/>
  <c r="N180" i="79"/>
  <c r="J182" i="79"/>
  <c r="K182" i="79"/>
  <c r="L182" i="79"/>
  <c r="M182" i="79"/>
  <c r="N182" i="79"/>
  <c r="J183" i="79"/>
  <c r="O59" i="80" s="1"/>
  <c r="P59" i="80" s="1"/>
  <c r="K183" i="79"/>
  <c r="L183" i="79"/>
  <c r="M183" i="79"/>
  <c r="N183" i="79"/>
  <c r="Q59" i="80" s="1"/>
  <c r="R59" i="80" s="1"/>
  <c r="S59" i="80" s="1"/>
  <c r="J184" i="79"/>
  <c r="O60" i="80" s="1"/>
  <c r="P60" i="80" s="1"/>
  <c r="K184" i="79"/>
  <c r="L184" i="79"/>
  <c r="M184" i="79"/>
  <c r="N184" i="79"/>
  <c r="Q60" i="80" s="1"/>
  <c r="R60" i="80" s="1"/>
  <c r="J185" i="79"/>
  <c r="K185" i="79"/>
  <c r="L185" i="79"/>
  <c r="M185" i="79"/>
  <c r="N185" i="79"/>
  <c r="J186" i="79"/>
  <c r="K186" i="79"/>
  <c r="L186" i="79"/>
  <c r="M186" i="79"/>
  <c r="N186" i="79"/>
  <c r="J187" i="79"/>
  <c r="O63" i="80" s="1"/>
  <c r="P63" i="80" s="1"/>
  <c r="K187" i="79"/>
  <c r="L187" i="79"/>
  <c r="M187" i="79"/>
  <c r="N187" i="79"/>
  <c r="J188" i="79"/>
  <c r="K188" i="79"/>
  <c r="L188" i="79"/>
  <c r="M188" i="79"/>
  <c r="O188" i="79" s="1"/>
  <c r="N188" i="79"/>
  <c r="J189" i="79"/>
  <c r="K189" i="79"/>
  <c r="L189" i="79"/>
  <c r="M189" i="79"/>
  <c r="N189" i="79"/>
  <c r="J190" i="79"/>
  <c r="O66" i="80" s="1"/>
  <c r="P66" i="80" s="1"/>
  <c r="K190" i="79"/>
  <c r="L190" i="79"/>
  <c r="M190" i="79"/>
  <c r="N190" i="79"/>
  <c r="Q66" i="80" s="1"/>
  <c r="J191" i="79"/>
  <c r="O67" i="80" s="1"/>
  <c r="P67" i="80" s="1"/>
  <c r="K191" i="79"/>
  <c r="L191" i="79"/>
  <c r="M191" i="79"/>
  <c r="N191" i="79"/>
  <c r="J192" i="79"/>
  <c r="K192" i="79"/>
  <c r="L192" i="79"/>
  <c r="M192" i="79"/>
  <c r="N192" i="79"/>
  <c r="J193" i="79"/>
  <c r="O71" i="80" s="1"/>
  <c r="P71" i="80" s="1"/>
  <c r="K193" i="79"/>
  <c r="L193" i="79"/>
  <c r="M193" i="79"/>
  <c r="N193" i="79"/>
  <c r="Q71" i="80" s="1"/>
  <c r="J194" i="79"/>
  <c r="O69" i="80" s="1"/>
  <c r="P69" i="80" s="1"/>
  <c r="K194" i="79"/>
  <c r="L194" i="79"/>
  <c r="M194" i="79"/>
  <c r="N194" i="79"/>
  <c r="J195" i="79"/>
  <c r="O70" i="80" s="1"/>
  <c r="P70" i="80" s="1"/>
  <c r="K195" i="79"/>
  <c r="L195" i="79"/>
  <c r="M195" i="79"/>
  <c r="N195" i="79"/>
  <c r="Q70" i="80" s="1"/>
  <c r="J196" i="79"/>
  <c r="O72" i="80" s="1"/>
  <c r="P72" i="80" s="1"/>
  <c r="K196" i="79"/>
  <c r="L196" i="79"/>
  <c r="M196" i="79"/>
  <c r="N196" i="79"/>
  <c r="Q72" i="80" s="1"/>
  <c r="J197" i="79"/>
  <c r="O73" i="80" s="1"/>
  <c r="P73" i="80" s="1"/>
  <c r="K197" i="79"/>
  <c r="L197" i="79"/>
  <c r="M197" i="79"/>
  <c r="N197" i="79"/>
  <c r="Q73" i="80" s="1"/>
  <c r="R73" i="80" s="1"/>
  <c r="J198" i="79"/>
  <c r="K198" i="79"/>
  <c r="L198" i="79"/>
  <c r="M198" i="79"/>
  <c r="N198" i="79"/>
  <c r="J199" i="79"/>
  <c r="K199" i="79"/>
  <c r="L199" i="79"/>
  <c r="M199" i="79"/>
  <c r="N199" i="79"/>
  <c r="J200" i="79"/>
  <c r="K200" i="79"/>
  <c r="L200" i="79"/>
  <c r="M200" i="79"/>
  <c r="N200" i="79"/>
  <c r="J201" i="79"/>
  <c r="K201" i="79"/>
  <c r="L201" i="79"/>
  <c r="M201" i="79"/>
  <c r="N201" i="79"/>
  <c r="J202" i="79"/>
  <c r="K202" i="79"/>
  <c r="L202" i="79"/>
  <c r="M202" i="79"/>
  <c r="N202" i="79"/>
  <c r="J203" i="79"/>
  <c r="K203" i="79"/>
  <c r="L203" i="79"/>
  <c r="M203" i="79"/>
  <c r="N203" i="79"/>
  <c r="J204" i="79"/>
  <c r="K204" i="79"/>
  <c r="L204" i="79"/>
  <c r="M204" i="79"/>
  <c r="N204" i="79"/>
  <c r="J205" i="79"/>
  <c r="K205" i="79"/>
  <c r="L205" i="79"/>
  <c r="M205" i="79"/>
  <c r="N205" i="79"/>
  <c r="J206" i="79"/>
  <c r="K206" i="79"/>
  <c r="L206" i="79"/>
  <c r="M206" i="79"/>
  <c r="N206" i="79"/>
  <c r="J207" i="79"/>
  <c r="K207" i="79"/>
  <c r="L207" i="79"/>
  <c r="M207" i="79"/>
  <c r="N207" i="79"/>
  <c r="J386" i="79"/>
  <c r="K386" i="79"/>
  <c r="L386" i="79"/>
  <c r="M386" i="79"/>
  <c r="N386" i="79"/>
  <c r="J387" i="79"/>
  <c r="K387" i="79"/>
  <c r="L387" i="79"/>
  <c r="M387" i="79"/>
  <c r="N387" i="79"/>
  <c r="J388" i="79"/>
  <c r="O10" i="44" s="1"/>
  <c r="P10" i="44" s="1"/>
  <c r="K388" i="79"/>
  <c r="L388" i="79"/>
  <c r="M388" i="79"/>
  <c r="N388" i="79"/>
  <c r="Q10" i="44" s="1"/>
  <c r="J389" i="79"/>
  <c r="O11" i="44" s="1"/>
  <c r="P11" i="44" s="1"/>
  <c r="K389" i="79"/>
  <c r="L389" i="79"/>
  <c r="M389" i="79"/>
  <c r="N389" i="79"/>
  <c r="Q11" i="44" s="1"/>
  <c r="J390" i="79"/>
  <c r="O12" i="44" s="1"/>
  <c r="P12" i="44" s="1"/>
  <c r="K390" i="79"/>
  <c r="L390" i="79"/>
  <c r="M390" i="79"/>
  <c r="N390" i="79"/>
  <c r="Q12" i="44" s="1"/>
  <c r="J391" i="79"/>
  <c r="O13" i="44" s="1"/>
  <c r="P13" i="44" s="1"/>
  <c r="K391" i="79"/>
  <c r="L391" i="79"/>
  <c r="M391" i="79"/>
  <c r="N391" i="79"/>
  <c r="Q13" i="44" s="1"/>
  <c r="R13" i="44" s="1"/>
  <c r="J392" i="79"/>
  <c r="O14" i="44" s="1"/>
  <c r="P14" i="44" s="1"/>
  <c r="K392" i="79"/>
  <c r="L392" i="79"/>
  <c r="M392" i="79"/>
  <c r="N392" i="79"/>
  <c r="Q14" i="44" s="1"/>
  <c r="R14" i="44" s="1"/>
  <c r="S14" i="44" s="1"/>
  <c r="J393" i="79"/>
  <c r="O15" i="44" s="1"/>
  <c r="P15" i="44" s="1"/>
  <c r="K393" i="79"/>
  <c r="L393" i="79"/>
  <c r="M393" i="79"/>
  <c r="N393" i="79"/>
  <c r="Q15" i="44" s="1"/>
  <c r="J394" i="79"/>
  <c r="O16" i="44" s="1"/>
  <c r="P16" i="44" s="1"/>
  <c r="K394" i="79"/>
  <c r="L394" i="79"/>
  <c r="M394" i="79"/>
  <c r="N394" i="79"/>
  <c r="Q16" i="44" s="1"/>
  <c r="J395" i="79"/>
  <c r="O17" i="44" s="1"/>
  <c r="P17" i="44" s="1"/>
  <c r="K395" i="79"/>
  <c r="L395" i="79"/>
  <c r="M395" i="79"/>
  <c r="N395" i="79"/>
  <c r="Q17" i="44" s="1"/>
  <c r="J396" i="79"/>
  <c r="O18" i="44" s="1"/>
  <c r="P18" i="44" s="1"/>
  <c r="K396" i="79"/>
  <c r="L396" i="79"/>
  <c r="M396" i="79"/>
  <c r="N396" i="79"/>
  <c r="Q18" i="44" s="1"/>
  <c r="J397" i="79"/>
  <c r="K397" i="79"/>
  <c r="L397" i="79"/>
  <c r="M397" i="79"/>
  <c r="N397" i="79"/>
  <c r="Q19" i="44" s="1"/>
  <c r="J398" i="79"/>
  <c r="K398" i="79"/>
  <c r="L398" i="79"/>
  <c r="M398" i="79"/>
  <c r="N398" i="79"/>
  <c r="J399" i="79"/>
  <c r="O21" i="44" s="1"/>
  <c r="P21" i="44" s="1"/>
  <c r="K399" i="79"/>
  <c r="L399" i="79"/>
  <c r="M399" i="79"/>
  <c r="N399" i="79"/>
  <c r="Q21" i="44" s="1"/>
  <c r="J400" i="79"/>
  <c r="O22" i="44" s="1"/>
  <c r="P22" i="44" s="1"/>
  <c r="K400" i="79"/>
  <c r="L400" i="79"/>
  <c r="M400" i="79"/>
  <c r="N400" i="79"/>
  <c r="Q22" i="44" s="1"/>
  <c r="J401" i="79"/>
  <c r="O23" i="44" s="1"/>
  <c r="P23" i="44" s="1"/>
  <c r="K401" i="79"/>
  <c r="L401" i="79"/>
  <c r="M401" i="79"/>
  <c r="N401" i="79"/>
  <c r="Q23" i="44" s="1"/>
  <c r="R23" i="44" s="1"/>
  <c r="J402" i="79"/>
  <c r="O24" i="44" s="1"/>
  <c r="P24" i="44" s="1"/>
  <c r="K402" i="79"/>
  <c r="L402" i="79"/>
  <c r="M402" i="79"/>
  <c r="N402" i="79"/>
  <c r="Q24" i="44" s="1"/>
  <c r="J403" i="79"/>
  <c r="O25" i="44" s="1"/>
  <c r="P25" i="44" s="1"/>
  <c r="K403" i="79"/>
  <c r="L403" i="79"/>
  <c r="M403" i="79"/>
  <c r="N403" i="79"/>
  <c r="Q25" i="44" s="1"/>
  <c r="J404" i="79"/>
  <c r="O26" i="44" s="1"/>
  <c r="P26" i="44" s="1"/>
  <c r="K404" i="79"/>
  <c r="L404" i="79"/>
  <c r="M404" i="79"/>
  <c r="N404" i="79"/>
  <c r="Q26" i="44" s="1"/>
  <c r="J405" i="79"/>
  <c r="K405" i="79"/>
  <c r="L405" i="79"/>
  <c r="M405" i="79"/>
  <c r="N405" i="79"/>
  <c r="J406" i="79"/>
  <c r="O31" i="44" s="1"/>
  <c r="P31" i="44" s="1"/>
  <c r="K406" i="79"/>
  <c r="L406" i="79"/>
  <c r="M406" i="79"/>
  <c r="N406" i="79"/>
  <c r="Q31" i="44" s="1"/>
  <c r="J407" i="79"/>
  <c r="O32" i="44" s="1"/>
  <c r="P32" i="44" s="1"/>
  <c r="K407" i="79"/>
  <c r="L407" i="79"/>
  <c r="M407" i="79"/>
  <c r="N407" i="79"/>
  <c r="Q32" i="44" s="1"/>
  <c r="J408" i="79"/>
  <c r="K408" i="79"/>
  <c r="L408" i="79"/>
  <c r="M408" i="79"/>
  <c r="N408" i="79"/>
  <c r="J409" i="79"/>
  <c r="O33" i="44" s="1"/>
  <c r="P33" i="44" s="1"/>
  <c r="K409" i="79"/>
  <c r="L409" i="79"/>
  <c r="M409" i="79"/>
  <c r="N409" i="79"/>
  <c r="Q33" i="44" s="1"/>
  <c r="R33" i="44" s="1"/>
  <c r="J410" i="79"/>
  <c r="O34" i="44" s="1"/>
  <c r="P34" i="44" s="1"/>
  <c r="K410" i="79"/>
  <c r="L410" i="79"/>
  <c r="M410" i="79"/>
  <c r="N410" i="79"/>
  <c r="Q34" i="44" s="1"/>
  <c r="J411" i="79"/>
  <c r="K411" i="79"/>
  <c r="L411" i="79"/>
  <c r="M411" i="79"/>
  <c r="N411" i="79"/>
  <c r="J412" i="79"/>
  <c r="O36" i="44" s="1"/>
  <c r="P36" i="44" s="1"/>
  <c r="K412" i="79"/>
  <c r="L412" i="79"/>
  <c r="M412" i="79"/>
  <c r="N412" i="79"/>
  <c r="Q36" i="44" s="1"/>
  <c r="J413" i="79"/>
  <c r="O37" i="44" s="1"/>
  <c r="P37" i="44" s="1"/>
  <c r="K413" i="79"/>
  <c r="L413" i="79"/>
  <c r="M413" i="79"/>
  <c r="N413" i="79"/>
  <c r="Q37" i="44" s="1"/>
  <c r="J414" i="79"/>
  <c r="O38" i="44" s="1"/>
  <c r="P38" i="44" s="1"/>
  <c r="K414" i="79"/>
  <c r="L414" i="79"/>
  <c r="M414" i="79"/>
  <c r="N414" i="79"/>
  <c r="Q38" i="44" s="1"/>
  <c r="J415" i="79"/>
  <c r="O39" i="44" s="1"/>
  <c r="K415" i="79"/>
  <c r="L415" i="79"/>
  <c r="M415" i="79"/>
  <c r="N415" i="79"/>
  <c r="Q39" i="44" s="1"/>
  <c r="J416" i="79"/>
  <c r="O40" i="44" s="1"/>
  <c r="P40" i="44" s="1"/>
  <c r="K416" i="79"/>
  <c r="L416" i="79"/>
  <c r="M416" i="79"/>
  <c r="N416" i="79"/>
  <c r="Q40" i="44" s="1"/>
  <c r="J417" i="79"/>
  <c r="O46" i="44" s="1"/>
  <c r="P46" i="44" s="1"/>
  <c r="K417" i="79"/>
  <c r="L417" i="79"/>
  <c r="M417" i="79"/>
  <c r="N417" i="79"/>
  <c r="Q46" i="44" s="1"/>
  <c r="J418" i="79"/>
  <c r="O41" i="44" s="1"/>
  <c r="P41" i="44" s="1"/>
  <c r="K418" i="79"/>
  <c r="L418" i="79"/>
  <c r="M418" i="79"/>
  <c r="N418" i="79"/>
  <c r="Q41" i="44" s="1"/>
  <c r="J419" i="79"/>
  <c r="O42" i="44" s="1"/>
  <c r="P42" i="44" s="1"/>
  <c r="K419" i="79"/>
  <c r="L419" i="79"/>
  <c r="M419" i="79"/>
  <c r="N419" i="79"/>
  <c r="Q42" i="44" s="1"/>
  <c r="J420" i="79"/>
  <c r="O43" i="44" s="1"/>
  <c r="P43" i="44" s="1"/>
  <c r="K420" i="79"/>
  <c r="L420" i="79"/>
  <c r="M420" i="79"/>
  <c r="N420" i="79"/>
  <c r="Q43" i="44" s="1"/>
  <c r="J421" i="79"/>
  <c r="O44" i="44" s="1"/>
  <c r="P44" i="44" s="1"/>
  <c r="K421" i="79"/>
  <c r="L421" i="79"/>
  <c r="M421" i="79"/>
  <c r="N421" i="79"/>
  <c r="Q44" i="44" s="1"/>
  <c r="J422" i="79"/>
  <c r="O45" i="44" s="1"/>
  <c r="P45" i="44" s="1"/>
  <c r="K422" i="79"/>
  <c r="L422" i="79"/>
  <c r="M422" i="79"/>
  <c r="N422" i="79"/>
  <c r="Q45" i="44" s="1"/>
  <c r="J423" i="79"/>
  <c r="O70" i="44" s="1"/>
  <c r="P70" i="44" s="1"/>
  <c r="K423" i="79"/>
  <c r="L423" i="79"/>
  <c r="M423" i="79"/>
  <c r="N423" i="79"/>
  <c r="Q70" i="44" s="1"/>
  <c r="J424" i="79"/>
  <c r="O71" i="44" s="1"/>
  <c r="P71" i="44" s="1"/>
  <c r="K424" i="79"/>
  <c r="L424" i="79"/>
  <c r="M424" i="79"/>
  <c r="N424" i="79"/>
  <c r="Q71" i="44" s="1"/>
  <c r="J425" i="79"/>
  <c r="O72" i="44" s="1"/>
  <c r="P72" i="44" s="1"/>
  <c r="K425" i="79"/>
  <c r="L425" i="79"/>
  <c r="M425" i="79"/>
  <c r="N425" i="79"/>
  <c r="Q72" i="44" s="1"/>
  <c r="J426" i="79"/>
  <c r="O73" i="44" s="1"/>
  <c r="P73" i="44" s="1"/>
  <c r="K426" i="79"/>
  <c r="L426" i="79"/>
  <c r="M426" i="79"/>
  <c r="N426" i="79"/>
  <c r="Q73" i="44" s="1"/>
  <c r="J427" i="79"/>
  <c r="O74" i="44" s="1"/>
  <c r="P74" i="44" s="1"/>
  <c r="K427" i="79"/>
  <c r="L427" i="79"/>
  <c r="M427" i="79"/>
  <c r="N427" i="79"/>
  <c r="Q74" i="44" s="1"/>
  <c r="J428" i="79"/>
  <c r="O75" i="44" s="1"/>
  <c r="P75" i="44" s="1"/>
  <c r="K428" i="79"/>
  <c r="L428" i="79"/>
  <c r="M428" i="79"/>
  <c r="N428" i="79"/>
  <c r="Q75" i="44" s="1"/>
  <c r="J429" i="79"/>
  <c r="O76" i="44" s="1"/>
  <c r="P76" i="44" s="1"/>
  <c r="K429" i="79"/>
  <c r="L429" i="79"/>
  <c r="M429" i="79"/>
  <c r="N429" i="79"/>
  <c r="Q76" i="44" s="1"/>
  <c r="J430" i="79"/>
  <c r="O77" i="44"/>
  <c r="P77" i="44" s="1"/>
  <c r="K430" i="79"/>
  <c r="L430" i="79"/>
  <c r="M430" i="79"/>
  <c r="N430" i="79"/>
  <c r="Q77" i="44" s="1"/>
  <c r="J431" i="79"/>
  <c r="O78" i="44" s="1"/>
  <c r="P78" i="44" s="1"/>
  <c r="K431" i="79"/>
  <c r="L431" i="79"/>
  <c r="M431" i="79"/>
  <c r="N431" i="79"/>
  <c r="Q78" i="44" s="1"/>
  <c r="J432" i="79"/>
  <c r="O79" i="44" s="1"/>
  <c r="P79" i="44" s="1"/>
  <c r="K432" i="79"/>
  <c r="L432" i="79"/>
  <c r="M432" i="79"/>
  <c r="N432" i="79"/>
  <c r="Q79" i="44" s="1"/>
  <c r="J433" i="79"/>
  <c r="O80" i="44" s="1"/>
  <c r="P80" i="44" s="1"/>
  <c r="K433" i="79"/>
  <c r="L433" i="79"/>
  <c r="M433" i="79"/>
  <c r="N433" i="79"/>
  <c r="Q80" i="44" s="1"/>
  <c r="R80" i="44" s="1"/>
  <c r="J434" i="79"/>
  <c r="O81" i="44" s="1"/>
  <c r="P81" i="44" s="1"/>
  <c r="K434" i="79"/>
  <c r="L434" i="79"/>
  <c r="M434" i="79"/>
  <c r="N434" i="79"/>
  <c r="Q81" i="44" s="1"/>
  <c r="J435" i="79"/>
  <c r="O82" i="44" s="1"/>
  <c r="P82" i="44" s="1"/>
  <c r="K435" i="79"/>
  <c r="L435" i="79"/>
  <c r="M435" i="79"/>
  <c r="N435" i="79"/>
  <c r="Q82" i="44" s="1"/>
  <c r="J436" i="79"/>
  <c r="O83" i="44" s="1"/>
  <c r="P83" i="44" s="1"/>
  <c r="K436" i="79"/>
  <c r="L436" i="79"/>
  <c r="M436" i="79"/>
  <c r="N436" i="79"/>
  <c r="Q83" i="44" s="1"/>
  <c r="J437" i="79"/>
  <c r="O84" i="44" s="1"/>
  <c r="P84" i="44" s="1"/>
  <c r="K437" i="79"/>
  <c r="L437" i="79"/>
  <c r="M437" i="79"/>
  <c r="N437" i="79"/>
  <c r="Q84" i="44" s="1"/>
  <c r="J438" i="79"/>
  <c r="O85" i="44" s="1"/>
  <c r="P85" i="44" s="1"/>
  <c r="K438" i="79"/>
  <c r="L438" i="79"/>
  <c r="M438" i="79"/>
  <c r="N438" i="79"/>
  <c r="Q85" i="44" s="1"/>
  <c r="J439" i="79"/>
  <c r="O86" i="44" s="1"/>
  <c r="P86" i="44" s="1"/>
  <c r="K439" i="79"/>
  <c r="L439" i="79"/>
  <c r="M439" i="79"/>
  <c r="N439" i="79"/>
  <c r="Q86" i="44"/>
  <c r="J440" i="79"/>
  <c r="O87" i="44" s="1"/>
  <c r="P87" i="44" s="1"/>
  <c r="K440" i="79"/>
  <c r="L440" i="79"/>
  <c r="M440" i="79"/>
  <c r="N440" i="79"/>
  <c r="Q87" i="44" s="1"/>
  <c r="J441" i="79"/>
  <c r="O88" i="44" s="1"/>
  <c r="P88" i="44" s="1"/>
  <c r="K441" i="79"/>
  <c r="L441" i="79"/>
  <c r="M441" i="79"/>
  <c r="N441" i="79"/>
  <c r="Q88" i="44" s="1"/>
  <c r="J442" i="79"/>
  <c r="O89" i="44" s="1"/>
  <c r="P89" i="44" s="1"/>
  <c r="K442" i="79"/>
  <c r="L442" i="79"/>
  <c r="M442" i="79"/>
  <c r="N442" i="79"/>
  <c r="J561" i="79"/>
  <c r="K561" i="79"/>
  <c r="L561" i="79"/>
  <c r="M561" i="79"/>
  <c r="N561" i="79"/>
  <c r="J562" i="79"/>
  <c r="I10" i="45"/>
  <c r="J10" i="45" s="1"/>
  <c r="K562" i="79"/>
  <c r="L562" i="79"/>
  <c r="M562" i="79"/>
  <c r="N562" i="79"/>
  <c r="K10" i="45" s="1"/>
  <c r="J563" i="79"/>
  <c r="I11" i="45" s="1"/>
  <c r="J11" i="45" s="1"/>
  <c r="K563" i="79"/>
  <c r="L563" i="79"/>
  <c r="M563" i="79"/>
  <c r="N563" i="79"/>
  <c r="J564" i="79"/>
  <c r="I12" i="45" s="1"/>
  <c r="J12" i="45" s="1"/>
  <c r="K564" i="79"/>
  <c r="L564" i="79"/>
  <c r="M564" i="79"/>
  <c r="N564" i="79"/>
  <c r="K12" i="45" s="1"/>
  <c r="J565" i="79"/>
  <c r="I13" i="45" s="1"/>
  <c r="J13" i="45" s="1"/>
  <c r="K565" i="79"/>
  <c r="L565" i="79"/>
  <c r="O565" i="79" s="1"/>
  <c r="M565" i="79"/>
  <c r="N565" i="79"/>
  <c r="K13" i="45" s="1"/>
  <c r="J566" i="79"/>
  <c r="I14" i="45" s="1"/>
  <c r="J14" i="45" s="1"/>
  <c r="K566" i="79"/>
  <c r="L566" i="79"/>
  <c r="M566" i="79"/>
  <c r="N566" i="79"/>
  <c r="K14" i="45" s="1"/>
  <c r="J567" i="79"/>
  <c r="I15" i="45" s="1"/>
  <c r="J15" i="45" s="1"/>
  <c r="K567" i="79"/>
  <c r="L567" i="79"/>
  <c r="M567" i="79"/>
  <c r="N567" i="79"/>
  <c r="K15" i="45" s="1"/>
  <c r="J568" i="79"/>
  <c r="I16" i="45" s="1"/>
  <c r="J16" i="45" s="1"/>
  <c r="K568" i="79"/>
  <c r="L568" i="79"/>
  <c r="M568" i="79"/>
  <c r="O568" i="79" s="1"/>
  <c r="N568" i="79"/>
  <c r="K16" i="45" s="1"/>
  <c r="J569" i="79"/>
  <c r="I17" i="45" s="1"/>
  <c r="J17" i="45" s="1"/>
  <c r="K569" i="79"/>
  <c r="L569" i="79"/>
  <c r="M569" i="79"/>
  <c r="N569" i="79"/>
  <c r="K17" i="45" s="1"/>
  <c r="J570" i="79"/>
  <c r="I18" i="45" s="1"/>
  <c r="J18" i="45" s="1"/>
  <c r="K570" i="79"/>
  <c r="L570" i="79"/>
  <c r="M570" i="79"/>
  <c r="N570" i="79"/>
  <c r="K18" i="45" s="1"/>
  <c r="J571" i="79"/>
  <c r="I19" i="45" s="1"/>
  <c r="J19" i="45" s="1"/>
  <c r="K571" i="79"/>
  <c r="L571" i="79"/>
  <c r="M571" i="79"/>
  <c r="N571" i="79"/>
  <c r="J572" i="79"/>
  <c r="I20" i="45" s="1"/>
  <c r="J20" i="45" s="1"/>
  <c r="K572" i="79"/>
  <c r="L572" i="79"/>
  <c r="M572" i="79"/>
  <c r="N572" i="79"/>
  <c r="K20" i="45" s="1"/>
  <c r="L20" i="45" s="1"/>
  <c r="J573" i="79"/>
  <c r="I21" i="45" s="1"/>
  <c r="J21" i="45" s="1"/>
  <c r="K573" i="79"/>
  <c r="L573" i="79"/>
  <c r="M573" i="79"/>
  <c r="N573" i="79"/>
  <c r="K21" i="45" s="1"/>
  <c r="J574" i="79"/>
  <c r="I22" i="45" s="1"/>
  <c r="J22" i="45" s="1"/>
  <c r="K574" i="79"/>
  <c r="L574" i="79"/>
  <c r="M574" i="79"/>
  <c r="N574" i="79"/>
  <c r="K22" i="45" s="1"/>
  <c r="J575" i="79"/>
  <c r="I23" i="45" s="1"/>
  <c r="J23" i="45" s="1"/>
  <c r="K575" i="79"/>
  <c r="L575" i="79"/>
  <c r="M575" i="79"/>
  <c r="N575" i="79"/>
  <c r="K23" i="45" s="1"/>
  <c r="J576" i="79"/>
  <c r="I24" i="45" s="1"/>
  <c r="J24" i="45" s="1"/>
  <c r="K576" i="79"/>
  <c r="L576" i="79"/>
  <c r="M576" i="79"/>
  <c r="O576" i="79" s="1"/>
  <c r="N576" i="79"/>
  <c r="K24" i="45" s="1"/>
  <c r="J577" i="79"/>
  <c r="I25" i="45" s="1"/>
  <c r="J25" i="45" s="1"/>
  <c r="K577" i="79"/>
  <c r="L577" i="79"/>
  <c r="M577" i="79"/>
  <c r="N577" i="79"/>
  <c r="K25" i="45" s="1"/>
  <c r="J578" i="79"/>
  <c r="K578" i="79"/>
  <c r="L578" i="79"/>
  <c r="M578" i="79"/>
  <c r="N578" i="79"/>
  <c r="J579" i="79"/>
  <c r="I30" i="45" s="1"/>
  <c r="J30" i="45" s="1"/>
  <c r="K579" i="79"/>
  <c r="L579" i="79"/>
  <c r="M579" i="79"/>
  <c r="N579" i="79"/>
  <c r="J580" i="79"/>
  <c r="I31" i="45" s="1"/>
  <c r="J31" i="45" s="1"/>
  <c r="K580" i="79"/>
  <c r="L580" i="79"/>
  <c r="O580" i="79" s="1"/>
  <c r="M580" i="79"/>
  <c r="N580" i="79"/>
  <c r="K31" i="45" s="1"/>
  <c r="J581" i="79"/>
  <c r="K581" i="79"/>
  <c r="L581" i="79"/>
  <c r="M581" i="79"/>
  <c r="N581" i="79"/>
  <c r="J582" i="79"/>
  <c r="K582" i="79"/>
  <c r="L582" i="79"/>
  <c r="M582" i="79"/>
  <c r="N582" i="79"/>
  <c r="O582" i="79" s="1"/>
  <c r="J583" i="79"/>
  <c r="I34" i="45" s="1"/>
  <c r="J34" i="45" s="1"/>
  <c r="K583" i="79"/>
  <c r="L583" i="79"/>
  <c r="M583" i="79"/>
  <c r="O583" i="79" s="1"/>
  <c r="N583" i="79"/>
  <c r="K34" i="45"/>
  <c r="J584" i="79"/>
  <c r="I35" i="45"/>
  <c r="J35" i="45" s="1"/>
  <c r="K584" i="79"/>
  <c r="L584" i="79"/>
  <c r="M584" i="79"/>
  <c r="N584" i="79"/>
  <c r="J585" i="79"/>
  <c r="I36" i="45" s="1"/>
  <c r="J36" i="45" s="1"/>
  <c r="K585" i="79"/>
  <c r="L585" i="79"/>
  <c r="M585" i="79"/>
  <c r="O585" i="79" s="1"/>
  <c r="N585" i="79"/>
  <c r="K36" i="45" s="1"/>
  <c r="J586" i="79"/>
  <c r="I37" i="45"/>
  <c r="J37" i="45" s="1"/>
  <c r="K586" i="79"/>
  <c r="L586" i="79"/>
  <c r="M586" i="79"/>
  <c r="N586" i="79"/>
  <c r="K37" i="45" s="1"/>
  <c r="J587" i="79"/>
  <c r="I33" i="45" s="1"/>
  <c r="J33" i="45" s="1"/>
  <c r="K587" i="79"/>
  <c r="L587" i="79"/>
  <c r="M587" i="79"/>
  <c r="N587" i="79"/>
  <c r="K33" i="45"/>
  <c r="J588" i="79"/>
  <c r="I38" i="45"/>
  <c r="J38" i="45" s="1"/>
  <c r="K588" i="79"/>
  <c r="L588" i="79"/>
  <c r="M588" i="79"/>
  <c r="N588" i="79"/>
  <c r="K38" i="45" s="1"/>
  <c r="J589" i="79"/>
  <c r="I39" i="45" s="1"/>
  <c r="J39" i="45" s="1"/>
  <c r="K589" i="79"/>
  <c r="L589" i="79"/>
  <c r="M589" i="79"/>
  <c r="N589" i="79"/>
  <c r="J590" i="79"/>
  <c r="I40" i="45"/>
  <c r="J40" i="45" s="1"/>
  <c r="K590" i="79"/>
  <c r="L590" i="79"/>
  <c r="O590" i="79" s="1"/>
  <c r="M590" i="79"/>
  <c r="N590" i="79"/>
  <c r="K40" i="45" s="1"/>
  <c r="J591" i="79"/>
  <c r="I41" i="45" s="1"/>
  <c r="J41" i="45" s="1"/>
  <c r="K591" i="79"/>
  <c r="L591" i="79"/>
  <c r="M591" i="79"/>
  <c r="N591" i="79"/>
  <c r="K41" i="45"/>
  <c r="L41" i="45" s="1"/>
  <c r="M41" i="45" s="1"/>
  <c r="J592" i="79"/>
  <c r="I42" i="45" s="1"/>
  <c r="J42" i="45" s="1"/>
  <c r="K592" i="79"/>
  <c r="L592" i="79"/>
  <c r="M592" i="79"/>
  <c r="N592" i="79"/>
  <c r="K42" i="45" s="1"/>
  <c r="J621" i="79"/>
  <c r="K621" i="79"/>
  <c r="L621" i="79"/>
  <c r="O621" i="79" s="1"/>
  <c r="M621" i="79"/>
  <c r="N621" i="79"/>
  <c r="J622" i="79"/>
  <c r="I10" i="46" s="1"/>
  <c r="J10" i="46" s="1"/>
  <c r="K622" i="79"/>
  <c r="L622" i="79"/>
  <c r="M622" i="79"/>
  <c r="N622" i="79"/>
  <c r="K10" i="46" s="1"/>
  <c r="J623" i="79"/>
  <c r="I11" i="46" s="1"/>
  <c r="K623" i="79"/>
  <c r="L623" i="79"/>
  <c r="M623" i="79"/>
  <c r="N623" i="79"/>
  <c r="K11" i="46" s="1"/>
  <c r="J624" i="79"/>
  <c r="I12" i="46" s="1"/>
  <c r="J12" i="46" s="1"/>
  <c r="K624" i="79"/>
  <c r="L624" i="79"/>
  <c r="M624" i="79"/>
  <c r="O624" i="79" s="1"/>
  <c r="N624" i="79"/>
  <c r="K12" i="46" s="1"/>
  <c r="J625" i="79"/>
  <c r="I13" i="46" s="1"/>
  <c r="J13" i="46" s="1"/>
  <c r="K625" i="79"/>
  <c r="L625" i="79"/>
  <c r="M625" i="79"/>
  <c r="N625" i="79"/>
  <c r="K13" i="46" s="1"/>
  <c r="J626" i="79"/>
  <c r="I14" i="46" s="1"/>
  <c r="J14" i="46" s="1"/>
  <c r="K626" i="79"/>
  <c r="L626" i="79"/>
  <c r="M626" i="79"/>
  <c r="N626" i="79"/>
  <c r="K14" i="46" s="1"/>
  <c r="J627" i="79"/>
  <c r="I15" i="46" s="1"/>
  <c r="J15" i="46" s="1"/>
  <c r="K627" i="79"/>
  <c r="L627" i="79"/>
  <c r="M627" i="79"/>
  <c r="N627" i="79"/>
  <c r="J628" i="79"/>
  <c r="I16" i="46" s="1"/>
  <c r="J16" i="46" s="1"/>
  <c r="K628" i="79"/>
  <c r="L628" i="79"/>
  <c r="M628" i="79"/>
  <c r="N628" i="79"/>
  <c r="K16" i="46" s="1"/>
  <c r="J629" i="79"/>
  <c r="I17" i="46" s="1"/>
  <c r="J17" i="46" s="1"/>
  <c r="K629" i="79"/>
  <c r="L629" i="79"/>
  <c r="O629" i="79" s="1"/>
  <c r="M629" i="79"/>
  <c r="N629" i="79"/>
  <c r="K17" i="46" s="1"/>
  <c r="L17" i="46" s="1"/>
  <c r="J630" i="79"/>
  <c r="I18" i="46" s="1"/>
  <c r="J18" i="46" s="1"/>
  <c r="K630" i="79"/>
  <c r="L630" i="79"/>
  <c r="M630" i="79"/>
  <c r="N630" i="79"/>
  <c r="K18" i="46" s="1"/>
  <c r="J631" i="79"/>
  <c r="I19" i="46" s="1"/>
  <c r="J19" i="46" s="1"/>
  <c r="K631" i="79"/>
  <c r="L631" i="79"/>
  <c r="M631" i="79"/>
  <c r="N631" i="79"/>
  <c r="K19" i="46" s="1"/>
  <c r="J632" i="79"/>
  <c r="I20" i="46" s="1"/>
  <c r="J20" i="46" s="1"/>
  <c r="K632" i="79"/>
  <c r="L632" i="79"/>
  <c r="M632" i="79"/>
  <c r="O632" i="79" s="1"/>
  <c r="N632" i="79"/>
  <c r="K20" i="46" s="1"/>
  <c r="L20" i="46" s="1"/>
  <c r="J633" i="79"/>
  <c r="I21" i="46" s="1"/>
  <c r="J21" i="46" s="1"/>
  <c r="K633" i="79"/>
  <c r="L633" i="79"/>
  <c r="M633" i="79"/>
  <c r="N633" i="79"/>
  <c r="K21" i="46"/>
  <c r="J634" i="79"/>
  <c r="I22" i="46" s="1"/>
  <c r="J22" i="46" s="1"/>
  <c r="L22" i="46" s="1"/>
  <c r="M22" i="46" s="1"/>
  <c r="K634" i="79"/>
  <c r="L634" i="79"/>
  <c r="M634" i="79"/>
  <c r="N634" i="79"/>
  <c r="K22" i="46" s="1"/>
  <c r="J635" i="79"/>
  <c r="I23" i="46" s="1"/>
  <c r="J23" i="46" s="1"/>
  <c r="K635" i="79"/>
  <c r="L635" i="79"/>
  <c r="O635" i="79" s="1"/>
  <c r="M635" i="79"/>
  <c r="N635" i="79"/>
  <c r="K23" i="46" s="1"/>
  <c r="J636" i="79"/>
  <c r="K636" i="79"/>
  <c r="L636" i="79"/>
  <c r="M636" i="79"/>
  <c r="N636" i="79"/>
  <c r="J637" i="79"/>
  <c r="I28" i="46" s="1"/>
  <c r="J28" i="46" s="1"/>
  <c r="K637" i="79"/>
  <c r="L637" i="79"/>
  <c r="M637" i="79"/>
  <c r="N637" i="79"/>
  <c r="K28" i="46" s="1"/>
  <c r="J638" i="79"/>
  <c r="I29" i="46" s="1"/>
  <c r="J29" i="46" s="1"/>
  <c r="K638" i="79"/>
  <c r="L638" i="79"/>
  <c r="M638" i="79"/>
  <c r="N638" i="79"/>
  <c r="J639" i="79"/>
  <c r="I30" i="46" s="1"/>
  <c r="J30" i="46" s="1"/>
  <c r="K639" i="79"/>
  <c r="L639" i="79"/>
  <c r="M639" i="79"/>
  <c r="N639" i="79"/>
  <c r="K30" i="46" s="1"/>
  <c r="J640" i="79"/>
  <c r="I31" i="46" s="1"/>
  <c r="J31" i="46" s="1"/>
  <c r="K640" i="79"/>
  <c r="L640" i="79"/>
  <c r="O640" i="79" s="1"/>
  <c r="M640" i="79"/>
  <c r="N640" i="79"/>
  <c r="K31" i="46" s="1"/>
  <c r="J641" i="79"/>
  <c r="I32" i="46" s="1"/>
  <c r="J32" i="46" s="1"/>
  <c r="K641" i="79"/>
  <c r="L641" i="79"/>
  <c r="M641" i="79"/>
  <c r="N641" i="79"/>
  <c r="K32" i="46" s="1"/>
  <c r="J642" i="79"/>
  <c r="I33" i="46" s="1"/>
  <c r="K642" i="79"/>
  <c r="L642" i="79"/>
  <c r="M642" i="79"/>
  <c r="N642" i="79"/>
  <c r="K33" i="46" s="1"/>
  <c r="J643" i="79"/>
  <c r="K643" i="79"/>
  <c r="L643" i="79"/>
  <c r="M643" i="79"/>
  <c r="O643" i="79" s="1"/>
  <c r="N643" i="79"/>
  <c r="J644" i="79"/>
  <c r="I35" i="46" s="1"/>
  <c r="J35" i="46" s="1"/>
  <c r="K644" i="79"/>
  <c r="L644" i="79"/>
  <c r="M644" i="79"/>
  <c r="N644" i="79"/>
  <c r="K35" i="46" s="1"/>
  <c r="J645" i="79"/>
  <c r="K645" i="79"/>
  <c r="L645" i="79"/>
  <c r="M645" i="79"/>
  <c r="N645" i="79"/>
  <c r="J646" i="79"/>
  <c r="I37" i="46" s="1"/>
  <c r="J37" i="46" s="1"/>
  <c r="K646" i="79"/>
  <c r="L646" i="79"/>
  <c r="M646" i="79"/>
  <c r="N646" i="79"/>
  <c r="J647" i="79"/>
  <c r="I38" i="46" s="1"/>
  <c r="J38" i="46" s="1"/>
  <c r="K647" i="79"/>
  <c r="L647" i="79"/>
  <c r="M647" i="79"/>
  <c r="N647" i="79"/>
  <c r="J648" i="79"/>
  <c r="I39" i="46" s="1"/>
  <c r="K648" i="79"/>
  <c r="L648" i="79"/>
  <c r="O648" i="79" s="1"/>
  <c r="M648" i="79"/>
  <c r="N648" i="79"/>
  <c r="K39" i="46" s="1"/>
  <c r="J703" i="79"/>
  <c r="K703" i="79"/>
  <c r="L703" i="79"/>
  <c r="M703" i="79"/>
  <c r="N703" i="79"/>
  <c r="Q9" i="48" s="1"/>
  <c r="J704" i="79"/>
  <c r="O10" i="48" s="1"/>
  <c r="K704" i="79"/>
  <c r="L704" i="79"/>
  <c r="M704" i="79"/>
  <c r="N704" i="79"/>
  <c r="Q10" i="48" s="1"/>
  <c r="J705" i="79"/>
  <c r="O11" i="48" s="1"/>
  <c r="P11" i="48" s="1"/>
  <c r="R11" i="48" s="1"/>
  <c r="S11" i="48" s="1"/>
  <c r="K705" i="79"/>
  <c r="L705" i="79"/>
  <c r="M705" i="79"/>
  <c r="N705" i="79"/>
  <c r="Q11" i="48"/>
  <c r="J706" i="79"/>
  <c r="O12" i="48"/>
  <c r="P12" i="48" s="1"/>
  <c r="K706" i="79"/>
  <c r="L706" i="79"/>
  <c r="O706" i="79" s="1"/>
  <c r="M706" i="79"/>
  <c r="N706" i="79"/>
  <c r="Q12" i="48" s="1"/>
  <c r="J707" i="79"/>
  <c r="O13" i="48" s="1"/>
  <c r="P13" i="48" s="1"/>
  <c r="K707" i="79"/>
  <c r="L707" i="79"/>
  <c r="M707" i="79"/>
  <c r="N707" i="79"/>
  <c r="J708" i="79"/>
  <c r="O14" i="48" s="1"/>
  <c r="P14" i="48" s="1"/>
  <c r="R14" i="48" s="1"/>
  <c r="S14" i="48" s="1"/>
  <c r="K708" i="79"/>
  <c r="L708" i="79"/>
  <c r="M708" i="79"/>
  <c r="N708" i="79"/>
  <c r="Q14" i="48" s="1"/>
  <c r="J709" i="79"/>
  <c r="O15" i="48" s="1"/>
  <c r="P15" i="48" s="1"/>
  <c r="K709" i="79"/>
  <c r="L709" i="79"/>
  <c r="M709" i="79"/>
  <c r="N709" i="79"/>
  <c r="J710" i="79"/>
  <c r="O16" i="48" s="1"/>
  <c r="P16" i="48" s="1"/>
  <c r="K710" i="79"/>
  <c r="L710" i="79"/>
  <c r="M710" i="79"/>
  <c r="N710" i="79"/>
  <c r="Q16" i="48" s="1"/>
  <c r="J711" i="79"/>
  <c r="O17" i="48" s="1"/>
  <c r="P17" i="48" s="1"/>
  <c r="K711" i="79"/>
  <c r="L711" i="79"/>
  <c r="O711" i="79" s="1"/>
  <c r="M711" i="79"/>
  <c r="N711" i="79"/>
  <c r="Q17" i="48" s="1"/>
  <c r="J712" i="79"/>
  <c r="O18" i="48" s="1"/>
  <c r="P18" i="48" s="1"/>
  <c r="K712" i="79"/>
  <c r="L712" i="79"/>
  <c r="M712" i="79"/>
  <c r="N712" i="79"/>
  <c r="J713" i="79"/>
  <c r="O19" i="48" s="1"/>
  <c r="P19" i="48" s="1"/>
  <c r="K713" i="79"/>
  <c r="L713" i="79"/>
  <c r="M713" i="79"/>
  <c r="N713" i="79"/>
  <c r="Q19" i="48" s="1"/>
  <c r="J714" i="79"/>
  <c r="O20" i="48" s="1"/>
  <c r="P20" i="48" s="1"/>
  <c r="K714" i="79"/>
  <c r="L714" i="79"/>
  <c r="O714" i="79" s="1"/>
  <c r="M714" i="79"/>
  <c r="N714" i="79"/>
  <c r="Q20" i="48" s="1"/>
  <c r="J715" i="79"/>
  <c r="O21" i="48" s="1"/>
  <c r="P21" i="48" s="1"/>
  <c r="K715" i="79"/>
  <c r="L715" i="79"/>
  <c r="M715" i="79"/>
  <c r="N715" i="79"/>
  <c r="Q21" i="48" s="1"/>
  <c r="AN21" i="48" s="1"/>
  <c r="J716" i="79"/>
  <c r="O22" i="48" s="1"/>
  <c r="P22" i="48" s="1"/>
  <c r="R22" i="48" s="1"/>
  <c r="S22" i="48" s="1"/>
  <c r="K716" i="79"/>
  <c r="L716" i="79"/>
  <c r="M716" i="79"/>
  <c r="N716" i="79"/>
  <c r="Q22" i="48" s="1"/>
  <c r="J717" i="79"/>
  <c r="O23" i="48" s="1"/>
  <c r="P23" i="48" s="1"/>
  <c r="K717" i="79"/>
  <c r="L717" i="79"/>
  <c r="M717" i="79"/>
  <c r="N717" i="79"/>
  <c r="Q23" i="48" s="1"/>
  <c r="J718" i="79"/>
  <c r="O24" i="48" s="1"/>
  <c r="P24" i="48" s="1"/>
  <c r="K718" i="79"/>
  <c r="L718" i="79"/>
  <c r="M718" i="79"/>
  <c r="N718" i="79"/>
  <c r="Q24" i="48" s="1"/>
  <c r="J719" i="79"/>
  <c r="O25" i="48" s="1"/>
  <c r="K719" i="79"/>
  <c r="L719" i="79"/>
  <c r="O719" i="79" s="1"/>
  <c r="M719" i="79"/>
  <c r="N719" i="79"/>
  <c r="Q25" i="48" s="1"/>
  <c r="J720" i="79"/>
  <c r="O28" i="48" s="1"/>
  <c r="P28" i="48" s="1"/>
  <c r="K720" i="79"/>
  <c r="L720" i="79"/>
  <c r="M720" i="79"/>
  <c r="N720" i="79"/>
  <c r="J724" i="79"/>
  <c r="O33" i="48" s="1"/>
  <c r="P33" i="48" s="1"/>
  <c r="K724" i="79"/>
  <c r="L724" i="79"/>
  <c r="M724" i="79"/>
  <c r="N724" i="79"/>
  <c r="Q33" i="48"/>
  <c r="J725" i="79"/>
  <c r="O34" i="48" s="1"/>
  <c r="P34" i="48" s="1"/>
  <c r="K725" i="79"/>
  <c r="L725" i="79"/>
  <c r="O725" i="79" s="1"/>
  <c r="M725" i="79"/>
  <c r="N725" i="79"/>
  <c r="Q34" i="48" s="1"/>
  <c r="J726" i="79"/>
  <c r="O35" i="48" s="1"/>
  <c r="P35" i="48" s="1"/>
  <c r="K726" i="79"/>
  <c r="L726" i="79"/>
  <c r="M726" i="79"/>
  <c r="N726" i="79"/>
  <c r="J727" i="79"/>
  <c r="K727" i="79"/>
  <c r="L727" i="79"/>
  <c r="M727" i="79"/>
  <c r="N727" i="79"/>
  <c r="J728" i="79"/>
  <c r="O36" i="48" s="1"/>
  <c r="P36" i="48" s="1"/>
  <c r="K728" i="79"/>
  <c r="L728" i="79"/>
  <c r="M728" i="79"/>
  <c r="N728" i="79"/>
  <c r="Q36" i="48" s="1"/>
  <c r="J729" i="79"/>
  <c r="K729" i="79"/>
  <c r="L729" i="79"/>
  <c r="M729" i="79"/>
  <c r="N729" i="79"/>
  <c r="O729" i="79" s="1"/>
  <c r="J208" i="79"/>
  <c r="U9" i="80" s="1"/>
  <c r="K208" i="79"/>
  <c r="L208" i="79"/>
  <c r="M208" i="79"/>
  <c r="N208" i="79"/>
  <c r="J209" i="79"/>
  <c r="K209" i="79"/>
  <c r="L209" i="79"/>
  <c r="M209" i="79"/>
  <c r="N209" i="79"/>
  <c r="J210" i="79"/>
  <c r="K210" i="79"/>
  <c r="L210" i="79"/>
  <c r="M210" i="79"/>
  <c r="N210" i="79"/>
  <c r="J211" i="79"/>
  <c r="U12" i="80" s="1"/>
  <c r="K211" i="79"/>
  <c r="L211" i="79"/>
  <c r="O211" i="79" s="1"/>
  <c r="M211" i="79"/>
  <c r="N211" i="79"/>
  <c r="J212" i="79"/>
  <c r="K212" i="79"/>
  <c r="L212" i="79"/>
  <c r="M212" i="79"/>
  <c r="N212" i="79"/>
  <c r="O212" i="79" s="1"/>
  <c r="J213" i="79"/>
  <c r="K213" i="79"/>
  <c r="L213" i="79"/>
  <c r="M213" i="79"/>
  <c r="N213" i="79"/>
  <c r="J214" i="79"/>
  <c r="K214" i="79"/>
  <c r="L214" i="79"/>
  <c r="O214" i="79" s="1"/>
  <c r="M214" i="79"/>
  <c r="N214" i="79"/>
  <c r="J215" i="79"/>
  <c r="K215" i="79"/>
  <c r="L215" i="79"/>
  <c r="M215" i="79"/>
  <c r="N215" i="79"/>
  <c r="J216" i="79"/>
  <c r="U17" i="80" s="1"/>
  <c r="V17" i="80" s="1"/>
  <c r="X17" i="80" s="1"/>
  <c r="Y17" i="80" s="1"/>
  <c r="K216" i="79"/>
  <c r="L216" i="79"/>
  <c r="M216" i="79"/>
  <c r="N216" i="79"/>
  <c r="J217" i="79"/>
  <c r="K217" i="79"/>
  <c r="L217" i="79"/>
  <c r="M217" i="79"/>
  <c r="N217" i="79"/>
  <c r="J218" i="79"/>
  <c r="K218" i="79"/>
  <c r="L218" i="79"/>
  <c r="M218" i="79"/>
  <c r="N218" i="79"/>
  <c r="J219" i="79"/>
  <c r="K219" i="79"/>
  <c r="L219" i="79"/>
  <c r="M219" i="79"/>
  <c r="N219" i="79"/>
  <c r="J220" i="79"/>
  <c r="K220" i="79"/>
  <c r="L220" i="79"/>
  <c r="M220" i="79"/>
  <c r="N220" i="79"/>
  <c r="O220" i="79" s="1"/>
  <c r="J221" i="79"/>
  <c r="K221" i="79"/>
  <c r="L221" i="79"/>
  <c r="M221" i="79"/>
  <c r="N221" i="79"/>
  <c r="J222" i="79"/>
  <c r="K222" i="79"/>
  <c r="L222" i="79"/>
  <c r="O222" i="79" s="1"/>
  <c r="M222" i="79"/>
  <c r="N222" i="79"/>
  <c r="J223" i="79"/>
  <c r="K223" i="79"/>
  <c r="L223" i="79"/>
  <c r="M223" i="79"/>
  <c r="N223" i="79"/>
  <c r="J224" i="79"/>
  <c r="K224" i="79"/>
  <c r="L224" i="79"/>
  <c r="M224" i="79"/>
  <c r="N224" i="79"/>
  <c r="O224" i="79" s="1"/>
  <c r="J225" i="79"/>
  <c r="K225" i="79"/>
  <c r="L225" i="79"/>
  <c r="M225" i="79"/>
  <c r="N225" i="79"/>
  <c r="J228" i="79"/>
  <c r="K228" i="79"/>
  <c r="L228" i="79"/>
  <c r="M228" i="79"/>
  <c r="N228" i="79"/>
  <c r="J229" i="79"/>
  <c r="U33" i="80" s="1"/>
  <c r="K229" i="79"/>
  <c r="L229" i="79"/>
  <c r="M229" i="79"/>
  <c r="N229" i="79"/>
  <c r="J230" i="79"/>
  <c r="U34" i="80" s="1"/>
  <c r="V34" i="80" s="1"/>
  <c r="K230" i="79"/>
  <c r="L230" i="79"/>
  <c r="M230" i="79"/>
  <c r="N230" i="79"/>
  <c r="J231" i="79"/>
  <c r="U35" i="80" s="1"/>
  <c r="K231" i="79"/>
  <c r="L231" i="79"/>
  <c r="M231" i="79"/>
  <c r="O231" i="79" s="1"/>
  <c r="N231" i="79"/>
  <c r="W35" i="80" s="1"/>
  <c r="J232" i="79"/>
  <c r="K232" i="79"/>
  <c r="L232" i="79"/>
  <c r="O232" i="79" s="1"/>
  <c r="M232" i="79"/>
  <c r="N232" i="79"/>
  <c r="J233" i="79"/>
  <c r="K233" i="79"/>
  <c r="L233" i="79"/>
  <c r="M233" i="79"/>
  <c r="N233" i="79"/>
  <c r="O233" i="79" s="1"/>
  <c r="J234" i="79"/>
  <c r="U38" i="80" s="1"/>
  <c r="V38" i="80" s="1"/>
  <c r="K234" i="79"/>
  <c r="L234" i="79"/>
  <c r="M234" i="79"/>
  <c r="N234" i="79"/>
  <c r="J235" i="79"/>
  <c r="K235" i="79"/>
  <c r="L235" i="79"/>
  <c r="M235" i="79"/>
  <c r="N235" i="79"/>
  <c r="J236" i="79"/>
  <c r="U40" i="80" s="1"/>
  <c r="V40" i="80" s="1"/>
  <c r="K236" i="79"/>
  <c r="L236" i="79"/>
  <c r="O236" i="79" s="1"/>
  <c r="M236" i="79"/>
  <c r="N236" i="79"/>
  <c r="W40" i="80" s="1"/>
  <c r="J237" i="79"/>
  <c r="U41" i="80" s="1"/>
  <c r="V41" i="80" s="1"/>
  <c r="K237" i="79"/>
  <c r="L237" i="79"/>
  <c r="O237" i="79" s="1"/>
  <c r="M237" i="79"/>
  <c r="N237" i="79"/>
  <c r="J238" i="79"/>
  <c r="U42" i="80" s="1"/>
  <c r="V42" i="80" s="1"/>
  <c r="K238" i="79"/>
  <c r="L238" i="79"/>
  <c r="M238" i="79"/>
  <c r="N238" i="79"/>
  <c r="J239" i="79"/>
  <c r="U43" i="80" s="1"/>
  <c r="K239" i="79"/>
  <c r="L239" i="79"/>
  <c r="M239" i="79"/>
  <c r="N239" i="79"/>
  <c r="J240" i="79"/>
  <c r="K240" i="79"/>
  <c r="L240" i="79"/>
  <c r="O240" i="79" s="1"/>
  <c r="M240" i="79"/>
  <c r="N240" i="79"/>
  <c r="J241" i="79"/>
  <c r="K241" i="79"/>
  <c r="L241" i="79"/>
  <c r="M241" i="79"/>
  <c r="N241" i="79"/>
  <c r="W45" i="80" s="1"/>
  <c r="J242" i="79"/>
  <c r="U46" i="80" s="1"/>
  <c r="K242" i="79"/>
  <c r="L242" i="79"/>
  <c r="M242" i="79"/>
  <c r="N242" i="79"/>
  <c r="J243" i="79"/>
  <c r="U47" i="80" s="1"/>
  <c r="V47" i="80" s="1"/>
  <c r="K243" i="79"/>
  <c r="L243" i="79"/>
  <c r="M243" i="79"/>
  <c r="N243" i="79"/>
  <c r="J244" i="79"/>
  <c r="K244" i="79"/>
  <c r="L244" i="79"/>
  <c r="M244" i="79"/>
  <c r="N244" i="79"/>
  <c r="J245" i="79"/>
  <c r="U49" i="80" s="1"/>
  <c r="V49" i="80" s="1"/>
  <c r="X49" i="80" s="1"/>
  <c r="Y49" i="80" s="1"/>
  <c r="K245" i="79"/>
  <c r="L245" i="79"/>
  <c r="O245" i="79" s="1"/>
  <c r="M245" i="79"/>
  <c r="N245" i="79"/>
  <c r="W49" i="80" s="1"/>
  <c r="J246" i="79"/>
  <c r="K246" i="79"/>
  <c r="L246" i="79"/>
  <c r="M246" i="79"/>
  <c r="N246" i="79"/>
  <c r="O246" i="79" s="1"/>
  <c r="J247" i="79"/>
  <c r="U51" i="80" s="1"/>
  <c r="V51" i="80" s="1"/>
  <c r="K247" i="79"/>
  <c r="L247" i="79"/>
  <c r="M247" i="79"/>
  <c r="N247" i="79"/>
  <c r="J248" i="79"/>
  <c r="K248" i="79"/>
  <c r="L248" i="79"/>
  <c r="M248" i="79"/>
  <c r="N248" i="79"/>
  <c r="J249" i="79"/>
  <c r="K249" i="79"/>
  <c r="L249" i="79"/>
  <c r="M249" i="79"/>
  <c r="N249" i="79"/>
  <c r="O249" i="79" s="1"/>
  <c r="J250" i="79"/>
  <c r="K250" i="79"/>
  <c r="L250" i="79"/>
  <c r="M250" i="79"/>
  <c r="N250" i="79"/>
  <c r="J251" i="79"/>
  <c r="K251" i="79"/>
  <c r="L251" i="79"/>
  <c r="M251" i="79"/>
  <c r="N251" i="79"/>
  <c r="J252" i="79"/>
  <c r="K252" i="79"/>
  <c r="L252" i="79"/>
  <c r="O252" i="79" s="1"/>
  <c r="M252" i="79"/>
  <c r="N252" i="79"/>
  <c r="J253" i="79"/>
  <c r="K253" i="79"/>
  <c r="L253" i="79"/>
  <c r="O253" i="79" s="1"/>
  <c r="M253" i="79"/>
  <c r="N253" i="79"/>
  <c r="J254" i="79"/>
  <c r="U59" i="80" s="1"/>
  <c r="V59" i="80" s="1"/>
  <c r="K254" i="79"/>
  <c r="L254" i="79"/>
  <c r="M254" i="79"/>
  <c r="N254" i="79"/>
  <c r="J255" i="79"/>
  <c r="U60" i="80" s="1"/>
  <c r="V60" i="80" s="1"/>
  <c r="AM60" i="80" s="1"/>
  <c r="K255" i="79"/>
  <c r="L255" i="79"/>
  <c r="M255" i="79"/>
  <c r="N255" i="79"/>
  <c r="W60" i="80" s="1"/>
  <c r="J256" i="79"/>
  <c r="K256" i="79"/>
  <c r="L256" i="79"/>
  <c r="M256" i="79"/>
  <c r="N256" i="79"/>
  <c r="J257" i="79"/>
  <c r="K257" i="79"/>
  <c r="L257" i="79"/>
  <c r="M257" i="79"/>
  <c r="N257" i="79"/>
  <c r="J258" i="79"/>
  <c r="U63" i="80" s="1"/>
  <c r="V63" i="80" s="1"/>
  <c r="K258" i="79"/>
  <c r="L258" i="79"/>
  <c r="M258" i="79"/>
  <c r="N258" i="79"/>
  <c r="O258" i="79" s="1"/>
  <c r="J259" i="79"/>
  <c r="K259" i="79"/>
  <c r="L259" i="79"/>
  <c r="M259" i="79"/>
  <c r="N259" i="79"/>
  <c r="W64" i="80" s="1"/>
  <c r="J260" i="79"/>
  <c r="K260" i="79"/>
  <c r="L260" i="79"/>
  <c r="O260" i="79" s="1"/>
  <c r="M260" i="79"/>
  <c r="N260" i="79"/>
  <c r="J261" i="79"/>
  <c r="U66" i="80" s="1"/>
  <c r="V66" i="80" s="1"/>
  <c r="X66" i="80" s="1"/>
  <c r="Y66" i="80" s="1"/>
  <c r="K261" i="79"/>
  <c r="L261" i="79"/>
  <c r="O261" i="79" s="1"/>
  <c r="M261" i="79"/>
  <c r="N261" i="79"/>
  <c r="W66" i="80" s="1"/>
  <c r="J262" i="79"/>
  <c r="U67" i="80" s="1"/>
  <c r="V67" i="80" s="1"/>
  <c r="K262" i="79"/>
  <c r="L262" i="79"/>
  <c r="M262" i="79"/>
  <c r="N262" i="79"/>
  <c r="W67" i="80" s="1"/>
  <c r="X67" i="80" s="1"/>
  <c r="Y67" i="80" s="1"/>
  <c r="J263" i="79"/>
  <c r="K263" i="79"/>
  <c r="L263" i="79"/>
  <c r="M263" i="79"/>
  <c r="O263" i="79" s="1"/>
  <c r="N263" i="79"/>
  <c r="J264" i="79"/>
  <c r="U71" i="80" s="1"/>
  <c r="V71" i="80" s="1"/>
  <c r="K264" i="79"/>
  <c r="L264" i="79"/>
  <c r="O264" i="79" s="1"/>
  <c r="M264" i="79"/>
  <c r="N264" i="79"/>
  <c r="W71" i="80" s="1"/>
  <c r="J265" i="79"/>
  <c r="U69" i="80" s="1"/>
  <c r="V69" i="80" s="1"/>
  <c r="K265" i="79"/>
  <c r="L265" i="79"/>
  <c r="M265" i="79"/>
  <c r="N265" i="79"/>
  <c r="J266" i="79"/>
  <c r="U70" i="80" s="1"/>
  <c r="V70" i="80" s="1"/>
  <c r="K266" i="79"/>
  <c r="L266" i="79"/>
  <c r="M266" i="79"/>
  <c r="N266" i="79"/>
  <c r="W70" i="80" s="1"/>
  <c r="J267" i="79"/>
  <c r="U72" i="80" s="1"/>
  <c r="V72" i="80" s="1"/>
  <c r="K267" i="79"/>
  <c r="L267" i="79"/>
  <c r="M267" i="79"/>
  <c r="N267" i="79"/>
  <c r="J268" i="79"/>
  <c r="U73" i="80" s="1"/>
  <c r="V73" i="80" s="1"/>
  <c r="K268" i="79"/>
  <c r="L268" i="79"/>
  <c r="O268" i="79" s="1"/>
  <c r="M268" i="79"/>
  <c r="N268" i="79"/>
  <c r="W73" i="80" s="1"/>
  <c r="J269" i="79"/>
  <c r="U74" i="80" s="1"/>
  <c r="V74" i="80" s="1"/>
  <c r="K269" i="79"/>
  <c r="L269" i="79"/>
  <c r="O269" i="79" s="1"/>
  <c r="M269" i="79"/>
  <c r="N269" i="79"/>
  <c r="J270" i="79"/>
  <c r="U75" i="80" s="1"/>
  <c r="V75" i="80" s="1"/>
  <c r="K270" i="79"/>
  <c r="L270" i="79"/>
  <c r="M270" i="79"/>
  <c r="N270" i="79"/>
  <c r="O270" i="79" s="1"/>
  <c r="J271" i="79"/>
  <c r="K271" i="79"/>
  <c r="L271" i="79"/>
  <c r="M271" i="79"/>
  <c r="O271" i="79" s="1"/>
  <c r="N271" i="79"/>
  <c r="J272" i="79"/>
  <c r="K272" i="79"/>
  <c r="L272" i="79"/>
  <c r="M272" i="79"/>
  <c r="N272" i="79"/>
  <c r="J273" i="79"/>
  <c r="K273" i="79"/>
  <c r="L273" i="79"/>
  <c r="M273" i="79"/>
  <c r="N273" i="79"/>
  <c r="O273" i="79" s="1"/>
  <c r="J274" i="79"/>
  <c r="K274" i="79"/>
  <c r="L274" i="79"/>
  <c r="M274" i="79"/>
  <c r="N274" i="79"/>
  <c r="J275" i="79"/>
  <c r="K275" i="79"/>
  <c r="L275" i="79"/>
  <c r="M275" i="79"/>
  <c r="N275" i="79"/>
  <c r="J276" i="79"/>
  <c r="K276" i="79"/>
  <c r="L276" i="79"/>
  <c r="O276" i="79" s="1"/>
  <c r="M276" i="79"/>
  <c r="N276" i="79"/>
  <c r="J443" i="79"/>
  <c r="U9" i="44" s="1"/>
  <c r="K443" i="79"/>
  <c r="L443" i="79"/>
  <c r="O443" i="79" s="1"/>
  <c r="M443" i="79"/>
  <c r="N443" i="79"/>
  <c r="J444" i="79"/>
  <c r="K444" i="79"/>
  <c r="L444" i="79"/>
  <c r="M444" i="79"/>
  <c r="N444" i="79"/>
  <c r="O444" i="79" s="1"/>
  <c r="J445" i="79"/>
  <c r="U10" i="44" s="1"/>
  <c r="V10" i="44" s="1"/>
  <c r="K445" i="79"/>
  <c r="L445" i="79"/>
  <c r="M445" i="79"/>
  <c r="N445" i="79"/>
  <c r="W10" i="44" s="1"/>
  <c r="J446" i="79"/>
  <c r="U11" i="44" s="1"/>
  <c r="V11" i="44" s="1"/>
  <c r="K446" i="79"/>
  <c r="L446" i="79"/>
  <c r="O446" i="79" s="1"/>
  <c r="M446" i="79"/>
  <c r="N446" i="79"/>
  <c r="W11" i="44" s="1"/>
  <c r="J447" i="79"/>
  <c r="U12" i="44" s="1"/>
  <c r="V12" i="44" s="1"/>
  <c r="K447" i="79"/>
  <c r="L447" i="79"/>
  <c r="M447" i="79"/>
  <c r="N447" i="79"/>
  <c r="W12" i="44" s="1"/>
  <c r="J448" i="79"/>
  <c r="U13" i="44" s="1"/>
  <c r="V13" i="44" s="1"/>
  <c r="K448" i="79"/>
  <c r="L448" i="79"/>
  <c r="M448" i="79"/>
  <c r="N448" i="79"/>
  <c r="W13" i="44" s="1"/>
  <c r="J449" i="79"/>
  <c r="U14" i="44" s="1"/>
  <c r="V14" i="44" s="1"/>
  <c r="K449" i="79"/>
  <c r="L449" i="79"/>
  <c r="M449" i="79"/>
  <c r="N449" i="79"/>
  <c r="J450" i="79"/>
  <c r="U15" i="44" s="1"/>
  <c r="V15" i="44" s="1"/>
  <c r="K450" i="79"/>
  <c r="L450" i="79"/>
  <c r="O450" i="79" s="1"/>
  <c r="M450" i="79"/>
  <c r="N450" i="79"/>
  <c r="W15" i="44" s="1"/>
  <c r="J451" i="79"/>
  <c r="U16" i="44" s="1"/>
  <c r="K451" i="79"/>
  <c r="L451" i="79"/>
  <c r="M451" i="79"/>
  <c r="N451" i="79"/>
  <c r="W16" i="44" s="1"/>
  <c r="J452" i="79"/>
  <c r="U17" i="44" s="1"/>
  <c r="V17" i="44" s="1"/>
  <c r="K452" i="79"/>
  <c r="L452" i="79"/>
  <c r="M452" i="79"/>
  <c r="N452" i="79"/>
  <c r="J453" i="79"/>
  <c r="U18" i="44" s="1"/>
  <c r="V18" i="44" s="1"/>
  <c r="AA18" i="44" s="1"/>
  <c r="K453" i="79"/>
  <c r="L453" i="79"/>
  <c r="M453" i="79"/>
  <c r="O453" i="79" s="1"/>
  <c r="N453" i="79"/>
  <c r="W18" i="44" s="1"/>
  <c r="J454" i="79"/>
  <c r="K454" i="79"/>
  <c r="L454" i="79"/>
  <c r="O454" i="79" s="1"/>
  <c r="M454" i="79"/>
  <c r="N454" i="79"/>
  <c r="J455" i="79"/>
  <c r="K455" i="79"/>
  <c r="L455" i="79"/>
  <c r="M455" i="79"/>
  <c r="N455" i="79"/>
  <c r="O455" i="79" s="1"/>
  <c r="J456" i="79"/>
  <c r="U21" i="44" s="1"/>
  <c r="V21" i="44" s="1"/>
  <c r="AA21" i="44" s="1"/>
  <c r="K456" i="79"/>
  <c r="L456" i="79"/>
  <c r="M456" i="79"/>
  <c r="N456" i="79"/>
  <c r="J457" i="79"/>
  <c r="U22" i="44" s="1"/>
  <c r="V22" i="44" s="1"/>
  <c r="K457" i="79"/>
  <c r="L457" i="79"/>
  <c r="M457" i="79"/>
  <c r="N457" i="79"/>
  <c r="W22" i="44" s="1"/>
  <c r="AB22" i="44" s="1"/>
  <c r="J458" i="79"/>
  <c r="U23" i="44" s="1"/>
  <c r="V23" i="44" s="1"/>
  <c r="K458" i="79"/>
  <c r="L458" i="79"/>
  <c r="M458" i="79"/>
  <c r="N458" i="79"/>
  <c r="J459" i="79"/>
  <c r="U24" i="44" s="1"/>
  <c r="K459" i="79"/>
  <c r="L459" i="79"/>
  <c r="M459" i="79"/>
  <c r="N459" i="79"/>
  <c r="W24" i="44" s="1"/>
  <c r="J460" i="79"/>
  <c r="U25" i="44" s="1"/>
  <c r="V25" i="44" s="1"/>
  <c r="K460" i="79"/>
  <c r="L460" i="79"/>
  <c r="M460" i="79"/>
  <c r="N460" i="79"/>
  <c r="J461" i="79"/>
  <c r="U26" i="44" s="1"/>
  <c r="V26" i="44" s="1"/>
  <c r="X26" i="44" s="1"/>
  <c r="K461" i="79"/>
  <c r="L461" i="79"/>
  <c r="M461" i="79"/>
  <c r="O461" i="79" s="1"/>
  <c r="N461" i="79"/>
  <c r="W26" i="44" s="1"/>
  <c r="J462" i="79"/>
  <c r="U30" i="44" s="1"/>
  <c r="V30" i="44" s="1"/>
  <c r="K462" i="79"/>
  <c r="L462" i="79"/>
  <c r="O462" i="79" s="1"/>
  <c r="M462" i="79"/>
  <c r="N462" i="79"/>
  <c r="J463" i="79"/>
  <c r="U31" i="44" s="1"/>
  <c r="K463" i="79"/>
  <c r="L463" i="79"/>
  <c r="M463" i="79"/>
  <c r="N463" i="79"/>
  <c r="J464" i="79"/>
  <c r="U32" i="44" s="1"/>
  <c r="K464" i="79"/>
  <c r="L464" i="79"/>
  <c r="M464" i="79"/>
  <c r="N464" i="79"/>
  <c r="J465" i="79"/>
  <c r="K465" i="79"/>
  <c r="L465" i="79"/>
  <c r="M465" i="79"/>
  <c r="N465" i="79"/>
  <c r="J466" i="79"/>
  <c r="U33" i="44" s="1"/>
  <c r="K466" i="79"/>
  <c r="L466" i="79"/>
  <c r="M466" i="79"/>
  <c r="N466" i="79"/>
  <c r="J467" i="79"/>
  <c r="U34" i="44" s="1"/>
  <c r="V34" i="44" s="1"/>
  <c r="K467" i="79"/>
  <c r="L467" i="79"/>
  <c r="M467" i="79"/>
  <c r="N467" i="79"/>
  <c r="W34" i="44" s="1"/>
  <c r="J468" i="79"/>
  <c r="U35" i="44" s="1"/>
  <c r="K468" i="79"/>
  <c r="L468" i="79"/>
  <c r="M468" i="79"/>
  <c r="N468" i="79"/>
  <c r="O468" i="79" s="1"/>
  <c r="J469" i="79"/>
  <c r="U36" i="44" s="1"/>
  <c r="V36" i="44" s="1"/>
  <c r="X36" i="44" s="1"/>
  <c r="Y36" i="44" s="1"/>
  <c r="K469" i="79"/>
  <c r="L469" i="79"/>
  <c r="M469" i="79"/>
  <c r="O469" i="79" s="1"/>
  <c r="N469" i="79"/>
  <c r="W36" i="44" s="1"/>
  <c r="J470" i="79"/>
  <c r="U37" i="44" s="1"/>
  <c r="K470" i="79"/>
  <c r="L470" i="79"/>
  <c r="O470" i="79" s="1"/>
  <c r="M470" i="79"/>
  <c r="N470" i="79"/>
  <c r="W37" i="44" s="1"/>
  <c r="J471" i="79"/>
  <c r="U38" i="44" s="1"/>
  <c r="V38" i="44" s="1"/>
  <c r="K471" i="79"/>
  <c r="L471" i="79"/>
  <c r="M471" i="79"/>
  <c r="N471" i="79"/>
  <c r="W38" i="44" s="1"/>
  <c r="X38" i="44" s="1"/>
  <c r="Y38" i="44" s="1"/>
  <c r="J472" i="79"/>
  <c r="U39" i="44" s="1"/>
  <c r="V39" i="44" s="1"/>
  <c r="K472" i="79"/>
  <c r="L472" i="79"/>
  <c r="M472" i="79"/>
  <c r="N472" i="79"/>
  <c r="W39" i="44" s="1"/>
  <c r="J473" i="79"/>
  <c r="U40" i="44" s="1"/>
  <c r="V40" i="44" s="1"/>
  <c r="K473" i="79"/>
  <c r="L473" i="79"/>
  <c r="M473" i="79"/>
  <c r="N473" i="79"/>
  <c r="J474" i="79"/>
  <c r="U41" i="44" s="1"/>
  <c r="K474" i="79"/>
  <c r="L474" i="79"/>
  <c r="M474" i="79"/>
  <c r="N474" i="79"/>
  <c r="J475" i="79"/>
  <c r="U42" i="44" s="1"/>
  <c r="V42" i="44" s="1"/>
  <c r="K475" i="79"/>
  <c r="L475" i="79"/>
  <c r="O475" i="79" s="1"/>
  <c r="M475" i="79"/>
  <c r="N475" i="79"/>
  <c r="W42" i="44" s="1"/>
  <c r="J476" i="79"/>
  <c r="U43" i="44" s="1"/>
  <c r="Z43" i="44" s="1"/>
  <c r="K476" i="79"/>
  <c r="L476" i="79"/>
  <c r="M476" i="79"/>
  <c r="N476" i="79"/>
  <c r="W43" i="44" s="1"/>
  <c r="AB43" i="44" s="1"/>
  <c r="AC43" i="44" s="1"/>
  <c r="AD43" i="44" s="1"/>
  <c r="J477" i="79"/>
  <c r="U44" i="44" s="1"/>
  <c r="V44" i="44" s="1"/>
  <c r="X44" i="44" s="1"/>
  <c r="Y44" i="44" s="1"/>
  <c r="K477" i="79"/>
  <c r="L477" i="79"/>
  <c r="M477" i="79"/>
  <c r="N477" i="79"/>
  <c r="W44" i="44" s="1"/>
  <c r="J478" i="79"/>
  <c r="U45" i="44" s="1"/>
  <c r="K478" i="79"/>
  <c r="L478" i="79"/>
  <c r="O478" i="79" s="1"/>
  <c r="M478" i="79"/>
  <c r="N478" i="79"/>
  <c r="W45" i="44" s="1"/>
  <c r="J479" i="79"/>
  <c r="U90" i="44" s="1"/>
  <c r="V90" i="44" s="1"/>
  <c r="K479" i="79"/>
  <c r="L479" i="79"/>
  <c r="M479" i="79"/>
  <c r="N479" i="79"/>
  <c r="J480" i="79"/>
  <c r="U91" i="44" s="1"/>
  <c r="K480" i="79"/>
  <c r="L480" i="79"/>
  <c r="M480" i="79"/>
  <c r="N480" i="79"/>
  <c r="W91" i="44" s="1"/>
  <c r="J481" i="79"/>
  <c r="U92" i="44" s="1"/>
  <c r="V92" i="44" s="1"/>
  <c r="K481" i="79"/>
  <c r="L481" i="79"/>
  <c r="M481" i="79"/>
  <c r="N481" i="79"/>
  <c r="J482" i="79"/>
  <c r="U93" i="44" s="1"/>
  <c r="V93" i="44" s="1"/>
  <c r="K482" i="79"/>
  <c r="L482" i="79"/>
  <c r="M482" i="79"/>
  <c r="N482" i="79"/>
  <c r="W93" i="44" s="1"/>
  <c r="X93" i="44" s="1"/>
  <c r="Y93" i="44" s="1"/>
  <c r="J483" i="79"/>
  <c r="U94" i="44" s="1"/>
  <c r="V94" i="44" s="1"/>
  <c r="AA94" i="44" s="1"/>
  <c r="AC94" i="44" s="1"/>
  <c r="K483" i="79"/>
  <c r="L483" i="79"/>
  <c r="O483" i="79" s="1"/>
  <c r="M483" i="79"/>
  <c r="N483" i="79"/>
  <c r="W94" i="44" s="1"/>
  <c r="J484" i="79"/>
  <c r="U95" i="44" s="1"/>
  <c r="V95" i="44" s="1"/>
  <c r="AA95" i="44" s="1"/>
  <c r="K484" i="79"/>
  <c r="L484" i="79"/>
  <c r="M484" i="79"/>
  <c r="N484" i="79"/>
  <c r="W95" i="44" s="1"/>
  <c r="X95" i="44" s="1"/>
  <c r="Y95" i="44" s="1"/>
  <c r="J485" i="79"/>
  <c r="U96" i="44" s="1"/>
  <c r="V96" i="44" s="1"/>
  <c r="X96" i="44" s="1"/>
  <c r="K485" i="79"/>
  <c r="L485" i="79"/>
  <c r="M485" i="79"/>
  <c r="N485" i="79"/>
  <c r="W96" i="44" s="1"/>
  <c r="J486" i="79"/>
  <c r="K486" i="79"/>
  <c r="L486" i="79"/>
  <c r="O486" i="79" s="1"/>
  <c r="M486" i="79"/>
  <c r="N486" i="79"/>
  <c r="J487" i="79"/>
  <c r="K487" i="79"/>
  <c r="L487" i="79"/>
  <c r="M487" i="79"/>
  <c r="N487" i="79"/>
  <c r="O487" i="79" s="1"/>
  <c r="J488" i="79"/>
  <c r="K488" i="79"/>
  <c r="L488" i="79"/>
  <c r="M488" i="79"/>
  <c r="N488" i="79"/>
  <c r="O488" i="79" s="1"/>
  <c r="J489" i="79"/>
  <c r="K489" i="79"/>
  <c r="L489" i="79"/>
  <c r="M489" i="79"/>
  <c r="N489" i="79"/>
  <c r="J490" i="79"/>
  <c r="K490" i="79"/>
  <c r="L490" i="79"/>
  <c r="M490" i="79"/>
  <c r="N490" i="79"/>
  <c r="O490" i="79" s="1"/>
  <c r="J491" i="79"/>
  <c r="K491" i="79"/>
  <c r="L491" i="79"/>
  <c r="O491" i="79" s="1"/>
  <c r="M491" i="79"/>
  <c r="N491" i="79"/>
  <c r="J492" i="79"/>
  <c r="U97" i="44" s="1"/>
  <c r="V97" i="44" s="1"/>
  <c r="K492" i="79"/>
  <c r="L492" i="79"/>
  <c r="M492" i="79"/>
  <c r="N492" i="79"/>
  <c r="J493" i="79"/>
  <c r="U98" i="44" s="1"/>
  <c r="K493" i="79"/>
  <c r="L493" i="79"/>
  <c r="M493" i="79"/>
  <c r="O493" i="79" s="1"/>
  <c r="N493" i="79"/>
  <c r="W98" i="44" s="1"/>
  <c r="J494" i="79"/>
  <c r="U99" i="44" s="1"/>
  <c r="Z99" i="44" s="1"/>
  <c r="K494" i="79"/>
  <c r="L494" i="79"/>
  <c r="M494" i="79"/>
  <c r="N494" i="79"/>
  <c r="W99" i="44" s="1"/>
  <c r="J495" i="79"/>
  <c r="U100" i="44" s="1"/>
  <c r="K495" i="79"/>
  <c r="L495" i="79"/>
  <c r="M495" i="79"/>
  <c r="N495" i="79"/>
  <c r="J496" i="79"/>
  <c r="U101" i="44" s="1"/>
  <c r="V101" i="44" s="1"/>
  <c r="AA101" i="44" s="1"/>
  <c r="K496" i="79"/>
  <c r="L496" i="79"/>
  <c r="M496" i="79"/>
  <c r="N496" i="79"/>
  <c r="W101" i="44" s="1"/>
  <c r="J497" i="79"/>
  <c r="U102" i="44" s="1"/>
  <c r="K497" i="79"/>
  <c r="L497" i="79"/>
  <c r="M497" i="79"/>
  <c r="O497" i="79" s="1"/>
  <c r="N497" i="79"/>
  <c r="W102" i="44" s="1"/>
  <c r="J498" i="79"/>
  <c r="U103" i="44" s="1"/>
  <c r="V103" i="44" s="1"/>
  <c r="K498" i="79"/>
  <c r="L498" i="79"/>
  <c r="M498" i="79"/>
  <c r="N498" i="79"/>
  <c r="J499" i="79"/>
  <c r="U104" i="44" s="1"/>
  <c r="Z104" i="44" s="1"/>
  <c r="K499" i="79"/>
  <c r="L499" i="79"/>
  <c r="O499" i="79" s="1"/>
  <c r="M499" i="79"/>
  <c r="N499" i="79"/>
  <c r="W104" i="44" s="1"/>
  <c r="J500" i="79"/>
  <c r="U105" i="44" s="1"/>
  <c r="K500" i="79"/>
  <c r="L500" i="79"/>
  <c r="M500" i="79"/>
  <c r="N500" i="79"/>
  <c r="J501" i="79"/>
  <c r="U106" i="44" s="1"/>
  <c r="V106" i="44" s="1"/>
  <c r="K501" i="79"/>
  <c r="L501" i="79"/>
  <c r="M501" i="79"/>
  <c r="O501" i="79" s="1"/>
  <c r="N501" i="79"/>
  <c r="W106" i="44" s="1"/>
  <c r="J502" i="79"/>
  <c r="U107" i="44" s="1"/>
  <c r="K502" i="79"/>
  <c r="L502" i="79"/>
  <c r="O502" i="79" s="1"/>
  <c r="M502" i="79"/>
  <c r="N502" i="79"/>
  <c r="W107" i="44" s="1"/>
  <c r="J503" i="79"/>
  <c r="U108" i="44" s="1"/>
  <c r="K503" i="79"/>
  <c r="L503" i="79"/>
  <c r="M503" i="79"/>
  <c r="N503" i="79"/>
  <c r="J504" i="79"/>
  <c r="U109" i="44" s="1"/>
  <c r="V109" i="44" s="1"/>
  <c r="K504" i="79"/>
  <c r="L504" i="79"/>
  <c r="M504" i="79"/>
  <c r="N504" i="79"/>
  <c r="J505" i="79"/>
  <c r="K505" i="79"/>
  <c r="L505" i="79"/>
  <c r="M505" i="79"/>
  <c r="N505" i="79"/>
  <c r="J506" i="79"/>
  <c r="K506" i="79"/>
  <c r="L506" i="79"/>
  <c r="M506" i="79"/>
  <c r="N506" i="79"/>
  <c r="O506" i="79" s="1"/>
  <c r="J507" i="79"/>
  <c r="U110" i="44" s="1"/>
  <c r="V110" i="44" s="1"/>
  <c r="K507" i="79"/>
  <c r="L507" i="79"/>
  <c r="O507" i="79" s="1"/>
  <c r="M507" i="79"/>
  <c r="N507" i="79"/>
  <c r="W110" i="44" s="1"/>
  <c r="J508" i="79"/>
  <c r="U111" i="44" s="1"/>
  <c r="K508" i="79"/>
  <c r="L508" i="79"/>
  <c r="M508" i="79"/>
  <c r="N508" i="79"/>
  <c r="W111" i="44" s="1"/>
  <c r="AB111" i="44" s="1"/>
  <c r="J509" i="79"/>
  <c r="K509" i="79"/>
  <c r="L509" i="79"/>
  <c r="M509" i="79"/>
  <c r="O509" i="79" s="1"/>
  <c r="N509" i="79"/>
  <c r="J510" i="79"/>
  <c r="K510" i="79"/>
  <c r="L510" i="79"/>
  <c r="O510" i="79" s="1"/>
  <c r="M510" i="79"/>
  <c r="N510" i="79"/>
  <c r="J511" i="79"/>
  <c r="U112" i="44" s="1"/>
  <c r="K511" i="79"/>
  <c r="L511" i="79"/>
  <c r="M511" i="79"/>
  <c r="N511" i="79"/>
  <c r="J512" i="79"/>
  <c r="U113" i="44" s="1"/>
  <c r="V113" i="44" s="1"/>
  <c r="K512" i="79"/>
  <c r="L512" i="79"/>
  <c r="M512" i="79"/>
  <c r="N512" i="79"/>
  <c r="W113" i="44" s="1"/>
  <c r="AB113" i="44" s="1"/>
  <c r="J513" i="79"/>
  <c r="U114" i="44" s="1"/>
  <c r="K513" i="79"/>
  <c r="L513" i="79"/>
  <c r="M513" i="79"/>
  <c r="N513" i="79"/>
  <c r="J514" i="79"/>
  <c r="U115" i="44" s="1"/>
  <c r="V115" i="44" s="1"/>
  <c r="K514" i="79"/>
  <c r="L514" i="79"/>
  <c r="M514" i="79"/>
  <c r="N514" i="79"/>
  <c r="W115" i="44" s="1"/>
  <c r="AB115" i="44" s="1"/>
  <c r="J515" i="79"/>
  <c r="U116" i="44" s="1"/>
  <c r="V116" i="44" s="1"/>
  <c r="X116" i="44" s="1"/>
  <c r="K515" i="79"/>
  <c r="L515" i="79"/>
  <c r="O515" i="79" s="1"/>
  <c r="M515" i="79"/>
  <c r="N515" i="79"/>
  <c r="W116" i="44" s="1"/>
  <c r="J516" i="79"/>
  <c r="U117" i="44" s="1"/>
  <c r="V117" i="44" s="1"/>
  <c r="AA117" i="44" s="1"/>
  <c r="K516" i="79"/>
  <c r="L516" i="79"/>
  <c r="M516" i="79"/>
  <c r="N516" i="79"/>
  <c r="W117" i="44" s="1"/>
  <c r="AB117" i="44" s="1"/>
  <c r="AC117" i="44" s="1"/>
  <c r="AD117" i="44" s="1"/>
  <c r="J517" i="79"/>
  <c r="K517" i="79"/>
  <c r="L517" i="79"/>
  <c r="M517" i="79"/>
  <c r="O517" i="79" s="1"/>
  <c r="N517" i="79"/>
  <c r="J518" i="79"/>
  <c r="K518" i="79"/>
  <c r="L518" i="79"/>
  <c r="O518" i="79" s="1"/>
  <c r="M518" i="79"/>
  <c r="N518" i="79"/>
  <c r="J519" i="79"/>
  <c r="K519" i="79"/>
  <c r="L519" i="79"/>
  <c r="M519" i="79"/>
  <c r="N519" i="79"/>
  <c r="O519" i="79" s="1"/>
  <c r="J520" i="79"/>
  <c r="K520" i="79"/>
  <c r="L520" i="79"/>
  <c r="M520" i="79"/>
  <c r="N520" i="79"/>
  <c r="J521" i="79"/>
  <c r="K521" i="79"/>
  <c r="L521" i="79"/>
  <c r="M521" i="79"/>
  <c r="N521" i="79"/>
  <c r="O521" i="79" s="1"/>
  <c r="J522" i="79"/>
  <c r="K522" i="79"/>
  <c r="L522" i="79"/>
  <c r="M522" i="79"/>
  <c r="N522" i="79"/>
  <c r="O522" i="79" s="1"/>
  <c r="J523" i="79"/>
  <c r="U118" i="44" s="1"/>
  <c r="K523" i="79"/>
  <c r="L523" i="79"/>
  <c r="O523" i="79" s="1"/>
  <c r="M523" i="79"/>
  <c r="N523" i="79"/>
  <c r="W118" i="44" s="1"/>
  <c r="J524" i="79"/>
  <c r="U119" i="44" s="1"/>
  <c r="V119" i="44" s="1"/>
  <c r="K524" i="79"/>
  <c r="L524" i="79"/>
  <c r="M524" i="79"/>
  <c r="N524" i="79"/>
  <c r="J525" i="79"/>
  <c r="U120" i="44" s="1"/>
  <c r="V120" i="44" s="1"/>
  <c r="K525" i="79"/>
  <c r="L525" i="79"/>
  <c r="M525" i="79"/>
  <c r="N525" i="79"/>
  <c r="W120" i="44" s="1"/>
  <c r="J526" i="79"/>
  <c r="U121" i="44" s="1"/>
  <c r="V121" i="44" s="1"/>
  <c r="K526" i="79"/>
  <c r="L526" i="79"/>
  <c r="O526" i="79" s="1"/>
  <c r="M526" i="79"/>
  <c r="N526" i="79"/>
  <c r="W121" i="44" s="1"/>
  <c r="J527" i="79"/>
  <c r="K527" i="79"/>
  <c r="L527" i="79"/>
  <c r="M527" i="79"/>
  <c r="N527" i="79"/>
  <c r="J528" i="79"/>
  <c r="K528" i="79"/>
  <c r="L528" i="79"/>
  <c r="M528" i="79"/>
  <c r="N528" i="79"/>
  <c r="J730" i="79"/>
  <c r="K730" i="79"/>
  <c r="L730" i="79"/>
  <c r="M730" i="79"/>
  <c r="N730" i="79"/>
  <c r="J731" i="79"/>
  <c r="U10" i="48" s="1"/>
  <c r="V10" i="48" s="1"/>
  <c r="K731" i="79"/>
  <c r="L731" i="79"/>
  <c r="M731" i="79"/>
  <c r="N731" i="79"/>
  <c r="W10" i="48" s="1"/>
  <c r="X10" i="48" s="1"/>
  <c r="Y10" i="48" s="1"/>
  <c r="J732" i="79"/>
  <c r="U11" i="48" s="1"/>
  <c r="V11" i="48" s="1"/>
  <c r="X11" i="48" s="1"/>
  <c r="Y11" i="48" s="1"/>
  <c r="K732" i="79"/>
  <c r="L732" i="79"/>
  <c r="O732" i="79" s="1"/>
  <c r="M732" i="79"/>
  <c r="N732" i="79"/>
  <c r="W11" i="48" s="1"/>
  <c r="J733" i="79"/>
  <c r="U12" i="48" s="1"/>
  <c r="V12" i="48" s="1"/>
  <c r="K733" i="79"/>
  <c r="L733" i="79"/>
  <c r="M733" i="79"/>
  <c r="N733" i="79"/>
  <c r="J734" i="79"/>
  <c r="U13" i="48" s="1"/>
  <c r="V13" i="48" s="1"/>
  <c r="K734" i="79"/>
  <c r="L734" i="79"/>
  <c r="M734" i="79"/>
  <c r="O734" i="79" s="1"/>
  <c r="N734" i="79"/>
  <c r="W13" i="48" s="1"/>
  <c r="J735" i="79"/>
  <c r="U14" i="48" s="1"/>
  <c r="V14" i="48" s="1"/>
  <c r="K735" i="79"/>
  <c r="L735" i="79"/>
  <c r="M735" i="79"/>
  <c r="N735" i="79"/>
  <c r="W14" i="48" s="1"/>
  <c r="J736" i="79"/>
  <c r="U15" i="48" s="1"/>
  <c r="V15" i="48" s="1"/>
  <c r="K736" i="79"/>
  <c r="L736" i="79"/>
  <c r="M736" i="79"/>
  <c r="N736" i="79"/>
  <c r="W15" i="48" s="1"/>
  <c r="J737" i="79"/>
  <c r="U16" i="48" s="1"/>
  <c r="V16" i="48" s="1"/>
  <c r="K737" i="79"/>
  <c r="L737" i="79"/>
  <c r="M737" i="79"/>
  <c r="N737" i="79"/>
  <c r="J738" i="79"/>
  <c r="U17" i="48" s="1"/>
  <c r="V17" i="48" s="1"/>
  <c r="K738" i="79"/>
  <c r="L738" i="79"/>
  <c r="M738" i="79"/>
  <c r="N738" i="79"/>
  <c r="J739" i="79"/>
  <c r="U18" i="48" s="1"/>
  <c r="V18" i="48" s="1"/>
  <c r="K739" i="79"/>
  <c r="L739" i="79"/>
  <c r="M739" i="79"/>
  <c r="N739" i="79"/>
  <c r="J740" i="79"/>
  <c r="U19" i="48" s="1"/>
  <c r="V19" i="48" s="1"/>
  <c r="K740" i="79"/>
  <c r="L740" i="79"/>
  <c r="O740" i="79" s="1"/>
  <c r="M740" i="79"/>
  <c r="N740" i="79"/>
  <c r="W19" i="48" s="1"/>
  <c r="J741" i="79"/>
  <c r="U20" i="48" s="1"/>
  <c r="K741" i="79"/>
  <c r="L741" i="79"/>
  <c r="M741" i="79"/>
  <c r="N741" i="79"/>
  <c r="W20" i="48" s="1"/>
  <c r="J742" i="79"/>
  <c r="U21" i="48" s="1"/>
  <c r="V21" i="48" s="1"/>
  <c r="X21" i="48" s="1"/>
  <c r="K742" i="79"/>
  <c r="L742" i="79"/>
  <c r="M742" i="79"/>
  <c r="N742" i="79"/>
  <c r="W21" i="48" s="1"/>
  <c r="J743" i="79"/>
  <c r="U22" i="48" s="1"/>
  <c r="V22" i="48" s="1"/>
  <c r="K743" i="79"/>
  <c r="L743" i="79"/>
  <c r="O743" i="79" s="1"/>
  <c r="M743" i="79"/>
  <c r="N743" i="79"/>
  <c r="W22" i="48" s="1"/>
  <c r="J744" i="79"/>
  <c r="U23" i="48" s="1"/>
  <c r="V23" i="48" s="1"/>
  <c r="K744" i="79"/>
  <c r="L744" i="79"/>
  <c r="M744" i="79"/>
  <c r="N744" i="79"/>
  <c r="J745" i="79"/>
  <c r="U24" i="48" s="1"/>
  <c r="V24" i="48" s="1"/>
  <c r="AM24" i="48" s="1"/>
  <c r="K745" i="79"/>
  <c r="L745" i="79"/>
  <c r="M745" i="79"/>
  <c r="N745" i="79"/>
  <c r="J746" i="79"/>
  <c r="U25" i="48" s="1"/>
  <c r="V25" i="48" s="1"/>
  <c r="K746" i="79"/>
  <c r="L746" i="79"/>
  <c r="M746" i="79"/>
  <c r="N746" i="79"/>
  <c r="J747" i="79"/>
  <c r="U28" i="48" s="1"/>
  <c r="V28" i="48" s="1"/>
  <c r="K747" i="79"/>
  <c r="L747" i="79"/>
  <c r="M747" i="79"/>
  <c r="N747" i="79"/>
  <c r="W28" i="48" s="1"/>
  <c r="J751" i="79"/>
  <c r="U33" i="48" s="1"/>
  <c r="V33" i="48" s="1"/>
  <c r="K751" i="79"/>
  <c r="L751" i="79"/>
  <c r="M751" i="79"/>
  <c r="N751" i="79"/>
  <c r="W33" i="48" s="1"/>
  <c r="J752" i="79"/>
  <c r="U34" i="48" s="1"/>
  <c r="V34" i="48" s="1"/>
  <c r="K752" i="79"/>
  <c r="L752" i="79"/>
  <c r="M752" i="79"/>
  <c r="N752" i="79"/>
  <c r="W34" i="48" s="1"/>
  <c r="X34" i="48" s="1"/>
  <c r="Y34" i="48" s="1"/>
  <c r="J753" i="79"/>
  <c r="U35" i="48" s="1"/>
  <c r="V35" i="48" s="1"/>
  <c r="K753" i="79"/>
  <c r="L753" i="79"/>
  <c r="M753" i="79"/>
  <c r="N753" i="79"/>
  <c r="W35" i="48" s="1"/>
  <c r="J754" i="79"/>
  <c r="K754" i="79"/>
  <c r="L754" i="79"/>
  <c r="M754" i="79"/>
  <c r="N754" i="79"/>
  <c r="J755" i="79"/>
  <c r="U36" i="48" s="1"/>
  <c r="V36" i="48" s="1"/>
  <c r="K755" i="79"/>
  <c r="L755" i="79"/>
  <c r="M755" i="79"/>
  <c r="N755" i="79"/>
  <c r="W36" i="48" s="1"/>
  <c r="AN36" i="48" s="1"/>
  <c r="J756" i="79"/>
  <c r="U37" i="48" s="1"/>
  <c r="K756" i="79"/>
  <c r="L756" i="79"/>
  <c r="M756" i="79"/>
  <c r="N756" i="79"/>
  <c r="O756" i="79" s="1"/>
  <c r="J277" i="79"/>
  <c r="K277" i="79"/>
  <c r="L277" i="79"/>
  <c r="M277" i="79"/>
  <c r="N277" i="79"/>
  <c r="J278" i="79"/>
  <c r="K278" i="79"/>
  <c r="L278" i="79"/>
  <c r="M278" i="79"/>
  <c r="N278" i="79"/>
  <c r="AC70" i="80" s="1"/>
  <c r="J279" i="79"/>
  <c r="K279" i="79"/>
  <c r="L279" i="79"/>
  <c r="O279" i="79" s="1"/>
  <c r="M279" i="79"/>
  <c r="N279" i="79"/>
  <c r="J280" i="79"/>
  <c r="K280" i="79"/>
  <c r="L280" i="79"/>
  <c r="M280" i="79"/>
  <c r="N280" i="79"/>
  <c r="J281" i="79"/>
  <c r="K281" i="79"/>
  <c r="L281" i="79"/>
  <c r="M281" i="79"/>
  <c r="O281" i="79" s="1"/>
  <c r="N281" i="79"/>
  <c r="J757" i="79"/>
  <c r="K757" i="79"/>
  <c r="L757" i="79"/>
  <c r="O757" i="79" s="1"/>
  <c r="M757" i="79"/>
  <c r="N757" i="79"/>
  <c r="J282" i="79"/>
  <c r="K282" i="79"/>
  <c r="L282" i="79"/>
  <c r="M282" i="79"/>
  <c r="N282" i="79"/>
  <c r="O282" i="79" s="1"/>
  <c r="J283" i="79"/>
  <c r="K283" i="79"/>
  <c r="L283" i="79"/>
  <c r="M283" i="79"/>
  <c r="N283" i="79"/>
  <c r="O283" i="79" s="1"/>
  <c r="N3" i="79"/>
  <c r="M3" i="79"/>
  <c r="L3" i="79"/>
  <c r="O3" i="79" s="1"/>
  <c r="K3" i="79"/>
  <c r="J3" i="79"/>
  <c r="C9" i="80" s="1"/>
  <c r="AL9" i="80" s="1"/>
  <c r="D6" i="78"/>
  <c r="C10" i="77" s="1"/>
  <c r="E6" i="78"/>
  <c r="F6" i="78"/>
  <c r="G6" i="78"/>
  <c r="H6" i="78"/>
  <c r="E10" i="77" s="1"/>
  <c r="D7" i="78"/>
  <c r="C11" i="77" s="1"/>
  <c r="D11" i="77" s="1"/>
  <c r="E7" i="78"/>
  <c r="F7" i="78"/>
  <c r="I7" i="78" s="1"/>
  <c r="G7" i="78"/>
  <c r="H7" i="78"/>
  <c r="E11" i="77" s="1"/>
  <c r="D8" i="78"/>
  <c r="C12" i="77" s="1"/>
  <c r="D12" i="77" s="1"/>
  <c r="E8" i="78"/>
  <c r="F8" i="78"/>
  <c r="G8" i="78"/>
  <c r="G105" i="78" s="1"/>
  <c r="H8" i="78"/>
  <c r="D9" i="78"/>
  <c r="C13" i="77" s="1"/>
  <c r="D13" i="77" s="1"/>
  <c r="E9" i="78"/>
  <c r="F9" i="78"/>
  <c r="G9" i="78"/>
  <c r="H9" i="78"/>
  <c r="E13" i="77" s="1"/>
  <c r="D10" i="78"/>
  <c r="E10" i="78"/>
  <c r="F10" i="78"/>
  <c r="G10" i="78"/>
  <c r="I10" i="78" s="1"/>
  <c r="H10" i="78"/>
  <c r="D11" i="78"/>
  <c r="C14" i="77" s="1"/>
  <c r="E11" i="78"/>
  <c r="F11" i="78"/>
  <c r="G11" i="78"/>
  <c r="H11" i="78"/>
  <c r="E14" i="77" s="1"/>
  <c r="D12" i="89" s="1"/>
  <c r="D12" i="78"/>
  <c r="E12" i="78"/>
  <c r="F12" i="78"/>
  <c r="G12" i="78"/>
  <c r="H12" i="78"/>
  <c r="I12" i="78" s="1"/>
  <c r="D13" i="78"/>
  <c r="C16" i="77"/>
  <c r="AL16" i="77" s="1"/>
  <c r="E13" i="78"/>
  <c r="F13" i="78"/>
  <c r="G13" i="78"/>
  <c r="I13" i="78" s="1"/>
  <c r="H13" i="78"/>
  <c r="E16" i="77" s="1"/>
  <c r="D14" i="78"/>
  <c r="C17" i="77" s="1"/>
  <c r="E14" i="78"/>
  <c r="F14" i="78"/>
  <c r="G14" i="78"/>
  <c r="H14" i="78"/>
  <c r="I14" i="78" s="1"/>
  <c r="E17" i="77"/>
  <c r="D13" i="89" s="1"/>
  <c r="D15" i="78"/>
  <c r="C19" i="77" s="1"/>
  <c r="D19" i="77" s="1"/>
  <c r="F19" i="77" s="1"/>
  <c r="G19" i="77" s="1"/>
  <c r="E15" i="78"/>
  <c r="F15" i="78"/>
  <c r="G15" i="78"/>
  <c r="H15" i="78"/>
  <c r="E19" i="77" s="1"/>
  <c r="D16" i="78"/>
  <c r="C30" i="77" s="1"/>
  <c r="E16" i="78"/>
  <c r="F16" i="78"/>
  <c r="G16" i="78"/>
  <c r="H16" i="78"/>
  <c r="E30" i="77" s="1"/>
  <c r="D17" i="78"/>
  <c r="C31" i="77" s="1"/>
  <c r="E17" i="78"/>
  <c r="F17" i="78"/>
  <c r="G17" i="78"/>
  <c r="H17" i="78"/>
  <c r="D18" i="78"/>
  <c r="C32" i="77" s="1"/>
  <c r="AL32" i="77" s="1"/>
  <c r="E18" i="78"/>
  <c r="F18" i="78"/>
  <c r="G18" i="78"/>
  <c r="H18" i="78"/>
  <c r="E32" i="77" s="1"/>
  <c r="D19" i="78"/>
  <c r="C33" i="77" s="1"/>
  <c r="E19" i="78"/>
  <c r="F19" i="78"/>
  <c r="G19" i="78"/>
  <c r="H19" i="78"/>
  <c r="D20" i="78"/>
  <c r="C34" i="77" s="1"/>
  <c r="E20" i="78"/>
  <c r="F20" i="78"/>
  <c r="G20" i="78"/>
  <c r="H20" i="78"/>
  <c r="D21" i="78"/>
  <c r="C20" i="77" s="1"/>
  <c r="AL20" i="77" s="1"/>
  <c r="E21" i="78"/>
  <c r="F21" i="78"/>
  <c r="I21" i="78" s="1"/>
  <c r="G21" i="78"/>
  <c r="H21" i="78"/>
  <c r="E20" i="77" s="1"/>
  <c r="D22" i="78"/>
  <c r="C35" i="77" s="1"/>
  <c r="D35" i="77" s="1"/>
  <c r="E22" i="78"/>
  <c r="F22" i="78"/>
  <c r="G22" i="78"/>
  <c r="H22" i="78"/>
  <c r="D23" i="78"/>
  <c r="C36" i="77" s="1"/>
  <c r="AL36" i="77" s="1"/>
  <c r="E23" i="78"/>
  <c r="F23" i="78"/>
  <c r="G23" i="78"/>
  <c r="I23" i="78" s="1"/>
  <c r="H23" i="78"/>
  <c r="E36" i="77" s="1"/>
  <c r="D24" i="78"/>
  <c r="C21" i="77" s="1"/>
  <c r="D21" i="77" s="1"/>
  <c r="E24" i="78"/>
  <c r="F24" i="78"/>
  <c r="G24" i="78"/>
  <c r="H24" i="78"/>
  <c r="E21" i="77" s="1"/>
  <c r="D25" i="78"/>
  <c r="C37" i="77" s="1"/>
  <c r="E25" i="78"/>
  <c r="F25" i="78"/>
  <c r="G25" i="78"/>
  <c r="H25" i="78"/>
  <c r="D26" i="78"/>
  <c r="C38" i="77" s="1"/>
  <c r="D38" i="77" s="1"/>
  <c r="E26" i="78"/>
  <c r="F26" i="78"/>
  <c r="G26" i="78"/>
  <c r="H26" i="78"/>
  <c r="D27" i="78"/>
  <c r="C22" i="77" s="1"/>
  <c r="E27" i="78"/>
  <c r="F27" i="78"/>
  <c r="G27" i="78"/>
  <c r="H27" i="78"/>
  <c r="E22" i="77" s="1"/>
  <c r="D16" i="89" s="1"/>
  <c r="D28" i="78"/>
  <c r="C23" i="77" s="1"/>
  <c r="E28" i="78"/>
  <c r="F28" i="78"/>
  <c r="G28" i="78"/>
  <c r="H28" i="78"/>
  <c r="D29" i="78"/>
  <c r="C39" i="77" s="1"/>
  <c r="D39" i="77" s="1"/>
  <c r="F39" i="77" s="1"/>
  <c r="G39" i="77" s="1"/>
  <c r="E29" i="78"/>
  <c r="F29" i="78"/>
  <c r="I29" i="78" s="1"/>
  <c r="G29" i="78"/>
  <c r="H29" i="78"/>
  <c r="E39" i="77" s="1"/>
  <c r="D30" i="78"/>
  <c r="C41" i="77" s="1"/>
  <c r="D41" i="77" s="1"/>
  <c r="E30" i="78"/>
  <c r="F30" i="78"/>
  <c r="G30" i="78"/>
  <c r="H30" i="78"/>
  <c r="I30" i="78" s="1"/>
  <c r="D31" i="78"/>
  <c r="E31" i="78"/>
  <c r="F31" i="78"/>
  <c r="G31" i="78"/>
  <c r="I31" i="78" s="1"/>
  <c r="H31" i="78"/>
  <c r="D32" i="78"/>
  <c r="I16" i="77" s="1"/>
  <c r="J16" i="77" s="1"/>
  <c r="L16" i="77" s="1"/>
  <c r="M16" i="77" s="1"/>
  <c r="E32" i="78"/>
  <c r="F32" i="78"/>
  <c r="G32" i="78"/>
  <c r="H32" i="78"/>
  <c r="K16" i="77" s="1"/>
  <c r="D33" i="78"/>
  <c r="I30" i="77" s="1"/>
  <c r="J30" i="77" s="1"/>
  <c r="E33" i="78"/>
  <c r="F33" i="78"/>
  <c r="G33" i="78"/>
  <c r="H33" i="78"/>
  <c r="D34" i="78"/>
  <c r="I31" i="77" s="1"/>
  <c r="J31" i="77" s="1"/>
  <c r="E34" i="78"/>
  <c r="F34" i="78"/>
  <c r="G34" i="78"/>
  <c r="H34" i="78"/>
  <c r="K31" i="77" s="1"/>
  <c r="D35" i="78"/>
  <c r="I32" i="77"/>
  <c r="J32" i="77" s="1"/>
  <c r="L32" i="77" s="1"/>
  <c r="M32" i="77" s="1"/>
  <c r="E35" i="78"/>
  <c r="F35" i="78"/>
  <c r="G35" i="78"/>
  <c r="H35" i="78"/>
  <c r="K32" i="77" s="1"/>
  <c r="D36" i="78"/>
  <c r="I33" i="77" s="1"/>
  <c r="J33" i="77" s="1"/>
  <c r="E36" i="78"/>
  <c r="F36" i="78"/>
  <c r="G36" i="78"/>
  <c r="H36" i="78"/>
  <c r="I36" i="78" s="1"/>
  <c r="K33" i="77"/>
  <c r="D37" i="78"/>
  <c r="I34" i="77" s="1"/>
  <c r="J34" i="77" s="1"/>
  <c r="L34" i="77" s="1"/>
  <c r="M34" i="77" s="1"/>
  <c r="E37" i="78"/>
  <c r="F37" i="78"/>
  <c r="G37" i="78"/>
  <c r="I37" i="78" s="1"/>
  <c r="H37" i="78"/>
  <c r="K34" i="77" s="1"/>
  <c r="D38" i="78"/>
  <c r="I20" i="77" s="1"/>
  <c r="J20" i="77" s="1"/>
  <c r="E38" i="78"/>
  <c r="F38" i="78"/>
  <c r="G38" i="78"/>
  <c r="I38" i="78" s="1"/>
  <c r="H38" i="78"/>
  <c r="K20" i="77" s="1"/>
  <c r="D39" i="78"/>
  <c r="I35" i="77"/>
  <c r="J35" i="77" s="1"/>
  <c r="E39" i="78"/>
  <c r="F39" i="78"/>
  <c r="G39" i="78"/>
  <c r="H39" i="78"/>
  <c r="K35" i="77" s="1"/>
  <c r="E19" i="89" s="1"/>
  <c r="D40" i="78"/>
  <c r="I36" i="77" s="1"/>
  <c r="J36" i="77" s="1"/>
  <c r="E40" i="78"/>
  <c r="F40" i="78"/>
  <c r="G40" i="78"/>
  <c r="H40" i="78"/>
  <c r="K36" i="77"/>
  <c r="L36" i="77" s="1"/>
  <c r="M36" i="77" s="1"/>
  <c r="D41" i="78"/>
  <c r="I37" i="77"/>
  <c r="J37" i="77" s="1"/>
  <c r="E41" i="78"/>
  <c r="F41" i="78"/>
  <c r="G41" i="78"/>
  <c r="H41" i="78"/>
  <c r="D42" i="78"/>
  <c r="I38" i="77" s="1"/>
  <c r="J38" i="77" s="1"/>
  <c r="E42" i="78"/>
  <c r="F42" i="78"/>
  <c r="G42" i="78"/>
  <c r="H42" i="78"/>
  <c r="D43" i="78"/>
  <c r="I22" i="77" s="1"/>
  <c r="J22" i="77" s="1"/>
  <c r="E43" i="78"/>
  <c r="F43" i="78"/>
  <c r="G43" i="78"/>
  <c r="H43" i="78"/>
  <c r="D44" i="78"/>
  <c r="I23" i="77" s="1"/>
  <c r="J23" i="77" s="1"/>
  <c r="E44" i="78"/>
  <c r="F44" i="78"/>
  <c r="I44" i="78" s="1"/>
  <c r="G44" i="78"/>
  <c r="H44" i="78"/>
  <c r="K23" i="77" s="1"/>
  <c r="D45" i="78"/>
  <c r="I39" i="77" s="1"/>
  <c r="J39" i="77" s="1"/>
  <c r="E45" i="78"/>
  <c r="F45" i="78"/>
  <c r="G45" i="78"/>
  <c r="H45" i="78"/>
  <c r="K39" i="77" s="1"/>
  <c r="D46" i="78"/>
  <c r="I24" i="77" s="1"/>
  <c r="J24" i="77" s="1"/>
  <c r="E46" i="78"/>
  <c r="F46" i="78"/>
  <c r="G46" i="78"/>
  <c r="H46" i="78"/>
  <c r="K24" i="77" s="1"/>
  <c r="D47" i="78"/>
  <c r="I25" i="77" s="1"/>
  <c r="E47" i="78"/>
  <c r="F47" i="78"/>
  <c r="G47" i="78"/>
  <c r="I47" i="78" s="1"/>
  <c r="H47" i="78"/>
  <c r="K25" i="77" s="1"/>
  <c r="D48" i="78"/>
  <c r="I41" i="77" s="1"/>
  <c r="E48" i="78"/>
  <c r="F48" i="78"/>
  <c r="G48" i="78"/>
  <c r="H48" i="78"/>
  <c r="D49" i="78"/>
  <c r="I40" i="77" s="1"/>
  <c r="J40" i="77" s="1"/>
  <c r="E49" i="78"/>
  <c r="F49" i="78"/>
  <c r="G49" i="78"/>
  <c r="H49" i="78"/>
  <c r="D50" i="78"/>
  <c r="O9" i="77" s="1"/>
  <c r="P9" i="77" s="1"/>
  <c r="E50" i="78"/>
  <c r="F50" i="78"/>
  <c r="G50" i="78"/>
  <c r="H50" i="78"/>
  <c r="H107" i="78" s="1"/>
  <c r="D51" i="78"/>
  <c r="O10" i="77" s="1"/>
  <c r="P10" i="77" s="1"/>
  <c r="E51" i="78"/>
  <c r="F51" i="78"/>
  <c r="G51" i="78"/>
  <c r="H51" i="78"/>
  <c r="Q10" i="77" s="1"/>
  <c r="R10" i="77" s="1"/>
  <c r="S10" i="77" s="1"/>
  <c r="D52" i="78"/>
  <c r="O11" i="77" s="1"/>
  <c r="P11" i="77" s="1"/>
  <c r="E52" i="78"/>
  <c r="F52" i="78"/>
  <c r="G52" i="78"/>
  <c r="H52" i="78"/>
  <c r="Q11" i="77" s="1"/>
  <c r="D53" i="78"/>
  <c r="O12" i="77" s="1"/>
  <c r="P12" i="77" s="1"/>
  <c r="E53" i="78"/>
  <c r="F53" i="78"/>
  <c r="G53" i="78"/>
  <c r="H53" i="78"/>
  <c r="D54" i="78"/>
  <c r="O13" i="77" s="1"/>
  <c r="P13" i="77" s="1"/>
  <c r="E54" i="78"/>
  <c r="F54" i="78"/>
  <c r="G54" i="78"/>
  <c r="H54" i="78"/>
  <c r="Q13" i="77" s="1"/>
  <c r="D55" i="78"/>
  <c r="E55" i="78"/>
  <c r="F55" i="78"/>
  <c r="G55" i="78"/>
  <c r="I55" i="78" s="1"/>
  <c r="H55" i="78"/>
  <c r="D56" i="78"/>
  <c r="O14" i="77" s="1"/>
  <c r="P14" i="77" s="1"/>
  <c r="E56" i="78"/>
  <c r="F56" i="78"/>
  <c r="G56" i="78"/>
  <c r="H56" i="78"/>
  <c r="Q14" i="77" s="1"/>
  <c r="F12" i="89" s="1"/>
  <c r="D57" i="78"/>
  <c r="E57" i="78"/>
  <c r="F57" i="78"/>
  <c r="G57" i="78"/>
  <c r="H57" i="78"/>
  <c r="I57" i="78" s="1"/>
  <c r="D58" i="78"/>
  <c r="O16" i="77" s="1"/>
  <c r="P16" i="77" s="1"/>
  <c r="E58" i="78"/>
  <c r="F58" i="78"/>
  <c r="G58" i="78"/>
  <c r="H58" i="78"/>
  <c r="D59" i="78"/>
  <c r="O17" i="77" s="1"/>
  <c r="P17" i="77" s="1"/>
  <c r="E59" i="78"/>
  <c r="F59" i="78"/>
  <c r="G59" i="78"/>
  <c r="H59" i="78"/>
  <c r="D60" i="78"/>
  <c r="O15" i="77" s="1"/>
  <c r="P15" i="77" s="1"/>
  <c r="R15" i="77" s="1"/>
  <c r="S15" i="77" s="1"/>
  <c r="E60" i="78"/>
  <c r="F60" i="78"/>
  <c r="G60" i="78"/>
  <c r="H60" i="78"/>
  <c r="Q15" i="77" s="1"/>
  <c r="D61" i="78"/>
  <c r="O18" i="77" s="1"/>
  <c r="P18" i="77" s="1"/>
  <c r="E61" i="78"/>
  <c r="F61" i="78"/>
  <c r="G61" i="78"/>
  <c r="H61" i="78"/>
  <c r="Q18" i="77" s="1"/>
  <c r="D62" i="78"/>
  <c r="O19" i="77" s="1"/>
  <c r="P19" i="77" s="1"/>
  <c r="E62" i="78"/>
  <c r="F62" i="78"/>
  <c r="G62" i="78"/>
  <c r="H62" i="78"/>
  <c r="Q19" i="77" s="1"/>
  <c r="D63" i="78"/>
  <c r="O29" i="77" s="1"/>
  <c r="E63" i="78"/>
  <c r="F63" i="78"/>
  <c r="G63" i="78"/>
  <c r="H63" i="78"/>
  <c r="D64" i="78"/>
  <c r="O30" i="77" s="1"/>
  <c r="P30" i="77" s="1"/>
  <c r="E64" i="78"/>
  <c r="F64" i="78"/>
  <c r="G64" i="78"/>
  <c r="H64" i="78"/>
  <c r="Q30" i="77" s="1"/>
  <c r="D65" i="78"/>
  <c r="O31" i="77" s="1"/>
  <c r="P31" i="77" s="1"/>
  <c r="E65" i="78"/>
  <c r="F65" i="78"/>
  <c r="G65" i="78"/>
  <c r="H65" i="78"/>
  <c r="Q31" i="77" s="1"/>
  <c r="D66" i="78"/>
  <c r="O33" i="77" s="1"/>
  <c r="P33" i="77" s="1"/>
  <c r="E66" i="78"/>
  <c r="F66" i="78"/>
  <c r="G66" i="78"/>
  <c r="I66" i="78" s="1"/>
  <c r="H66" i="78"/>
  <c r="Q33" i="77" s="1"/>
  <c r="D67" i="78"/>
  <c r="O34" i="77" s="1"/>
  <c r="P34" i="77" s="1"/>
  <c r="E67" i="78"/>
  <c r="F67" i="78"/>
  <c r="G67" i="78"/>
  <c r="H67" i="78"/>
  <c r="D68" i="78"/>
  <c r="O20" i="77" s="1"/>
  <c r="P20" i="77" s="1"/>
  <c r="E68" i="78"/>
  <c r="F68" i="78"/>
  <c r="G68" i="78"/>
  <c r="H68" i="78"/>
  <c r="Q20" i="77" s="1"/>
  <c r="D69" i="78"/>
  <c r="O35" i="77" s="1"/>
  <c r="P35" i="77" s="1"/>
  <c r="E69" i="78"/>
  <c r="F69" i="78"/>
  <c r="G69" i="78"/>
  <c r="H69" i="78"/>
  <c r="Q35" i="77" s="1"/>
  <c r="F19" i="89" s="1"/>
  <c r="D70" i="78"/>
  <c r="O36" i="77" s="1"/>
  <c r="P36" i="77" s="1"/>
  <c r="E70" i="78"/>
  <c r="F70" i="78"/>
  <c r="G70" i="78"/>
  <c r="H70" i="78"/>
  <c r="Q36" i="77" s="1"/>
  <c r="D71" i="78"/>
  <c r="O21" i="77" s="1"/>
  <c r="P21" i="77" s="1"/>
  <c r="E71" i="78"/>
  <c r="F71" i="78"/>
  <c r="I71" i="78" s="1"/>
  <c r="G71" i="78"/>
  <c r="H71" i="78"/>
  <c r="Q21" i="77" s="1"/>
  <c r="D72" i="78"/>
  <c r="O37" i="77" s="1"/>
  <c r="P37" i="77" s="1"/>
  <c r="E72" i="78"/>
  <c r="F72" i="78"/>
  <c r="G72" i="78"/>
  <c r="H72" i="78"/>
  <c r="D73" i="78"/>
  <c r="O38" i="77" s="1"/>
  <c r="P38" i="77" s="1"/>
  <c r="E73" i="78"/>
  <c r="F73" i="78"/>
  <c r="G73" i="78"/>
  <c r="H73" i="78"/>
  <c r="Q38" i="77" s="1"/>
  <c r="D74" i="78"/>
  <c r="O22" i="77" s="1"/>
  <c r="P22" i="77" s="1"/>
  <c r="E74" i="78"/>
  <c r="F74" i="78"/>
  <c r="G74" i="78"/>
  <c r="I74" i="78" s="1"/>
  <c r="H74" i="78"/>
  <c r="Q22" i="77" s="1"/>
  <c r="D75" i="78"/>
  <c r="O23" i="77" s="1"/>
  <c r="P23" i="77" s="1"/>
  <c r="E75" i="78"/>
  <c r="F75" i="78"/>
  <c r="G75" i="78"/>
  <c r="H75" i="78"/>
  <c r="Q23" i="77" s="1"/>
  <c r="D76" i="78"/>
  <c r="O39" i="77" s="1"/>
  <c r="P39" i="77" s="1"/>
  <c r="E76" i="78"/>
  <c r="F76" i="78"/>
  <c r="G76" i="78"/>
  <c r="H76" i="78"/>
  <c r="Q39" i="77" s="1"/>
  <c r="D77" i="78"/>
  <c r="E77" i="78"/>
  <c r="F77" i="78"/>
  <c r="G77" i="78"/>
  <c r="H77" i="78"/>
  <c r="I77" i="78" s="1"/>
  <c r="D78" i="78"/>
  <c r="O40" i="77" s="1"/>
  <c r="P40" i="77" s="1"/>
  <c r="E78" i="78"/>
  <c r="F78" i="78"/>
  <c r="G78" i="78"/>
  <c r="H78" i="78"/>
  <c r="Q40" i="77" s="1"/>
  <c r="D79" i="78"/>
  <c r="U16" i="77" s="1"/>
  <c r="V16" i="77" s="1"/>
  <c r="X16" i="77" s="1"/>
  <c r="E79" i="78"/>
  <c r="F79" i="78"/>
  <c r="G79" i="78"/>
  <c r="H79" i="78"/>
  <c r="W16" i="77" s="1"/>
  <c r="D80" i="78"/>
  <c r="U29" i="77" s="1"/>
  <c r="V29" i="77" s="1"/>
  <c r="E80" i="78"/>
  <c r="F80" i="78"/>
  <c r="G80" i="78"/>
  <c r="H80" i="78"/>
  <c r="D81" i="78"/>
  <c r="U30" i="77" s="1"/>
  <c r="V30" i="77" s="1"/>
  <c r="X30" i="77" s="1"/>
  <c r="E81" i="78"/>
  <c r="F81" i="78"/>
  <c r="G81" i="78"/>
  <c r="H81" i="78"/>
  <c r="W30" i="77" s="1"/>
  <c r="D82" i="78"/>
  <c r="U31" i="77" s="1"/>
  <c r="V31" i="77" s="1"/>
  <c r="E82" i="78"/>
  <c r="F82" i="78"/>
  <c r="G82" i="78"/>
  <c r="H82" i="78"/>
  <c r="W31" i="77" s="1"/>
  <c r="D83" i="78"/>
  <c r="U33" i="77" s="1"/>
  <c r="V33" i="77" s="1"/>
  <c r="E83" i="78"/>
  <c r="F83" i="78"/>
  <c r="G83" i="78"/>
  <c r="H83" i="78"/>
  <c r="W33" i="77" s="1"/>
  <c r="D84" i="78"/>
  <c r="U34" i="77" s="1"/>
  <c r="V34" i="77" s="1"/>
  <c r="X34" i="77" s="1"/>
  <c r="Y34" i="77" s="1"/>
  <c r="E84" i="78"/>
  <c r="F84" i="78"/>
  <c r="G84" i="78"/>
  <c r="H84" i="78"/>
  <c r="D85" i="78"/>
  <c r="U20" i="77" s="1"/>
  <c r="V20" i="77" s="1"/>
  <c r="E85" i="78"/>
  <c r="F85" i="78"/>
  <c r="G85" i="78"/>
  <c r="H85" i="78"/>
  <c r="W20" i="77" s="1"/>
  <c r="D86" i="78"/>
  <c r="U35" i="77" s="1"/>
  <c r="V35" i="77" s="1"/>
  <c r="E86" i="78"/>
  <c r="F86" i="78"/>
  <c r="G86" i="78"/>
  <c r="H86" i="78"/>
  <c r="W35" i="77" s="1"/>
  <c r="D87" i="78"/>
  <c r="U36" i="77" s="1"/>
  <c r="V36" i="77" s="1"/>
  <c r="E87" i="78"/>
  <c r="F87" i="78"/>
  <c r="G87" i="78"/>
  <c r="H87" i="78"/>
  <c r="W36" i="77" s="1"/>
  <c r="D88" i="78"/>
  <c r="U37" i="77" s="1"/>
  <c r="V37" i="77" s="1"/>
  <c r="E88" i="78"/>
  <c r="F88" i="78"/>
  <c r="G88" i="78"/>
  <c r="H88" i="78"/>
  <c r="D89" i="78"/>
  <c r="U38" i="77" s="1"/>
  <c r="V38" i="77" s="1"/>
  <c r="E89" i="78"/>
  <c r="F89" i="78"/>
  <c r="G89" i="78"/>
  <c r="H89" i="78"/>
  <c r="W38" i="77" s="1"/>
  <c r="D90" i="78"/>
  <c r="U22" i="77" s="1"/>
  <c r="V22" i="77" s="1"/>
  <c r="E90" i="78"/>
  <c r="F90" i="78"/>
  <c r="G90" i="78"/>
  <c r="H90" i="78"/>
  <c r="W22" i="77" s="1"/>
  <c r="D91" i="78"/>
  <c r="U23" i="77" s="1"/>
  <c r="V23" i="77" s="1"/>
  <c r="E91" i="78"/>
  <c r="F91" i="78"/>
  <c r="G91" i="78"/>
  <c r="H91" i="78"/>
  <c r="W23" i="77" s="1"/>
  <c r="D92" i="78"/>
  <c r="U39" i="77" s="1"/>
  <c r="V39" i="77" s="1"/>
  <c r="E92" i="78"/>
  <c r="F92" i="78"/>
  <c r="G92" i="78"/>
  <c r="H92" i="78"/>
  <c r="W39" i="77" s="1"/>
  <c r="D93" i="78"/>
  <c r="U24" i="77" s="1"/>
  <c r="V24" i="77" s="1"/>
  <c r="E93" i="78"/>
  <c r="F93" i="78"/>
  <c r="G93" i="78"/>
  <c r="H93" i="78"/>
  <c r="D94" i="78"/>
  <c r="U25" i="77" s="1"/>
  <c r="V25" i="77" s="1"/>
  <c r="E94" i="78"/>
  <c r="F94" i="78"/>
  <c r="G94" i="78"/>
  <c r="H94" i="78"/>
  <c r="W25" i="77" s="1"/>
  <c r="D95" i="78"/>
  <c r="U41" i="77" s="1"/>
  <c r="V41" i="77" s="1"/>
  <c r="X41" i="77" s="1"/>
  <c r="E95" i="78"/>
  <c r="F95" i="78"/>
  <c r="G95" i="78"/>
  <c r="H95" i="78"/>
  <c r="W41" i="77" s="1"/>
  <c r="D96" i="78"/>
  <c r="U40" i="77" s="1"/>
  <c r="V40" i="77" s="1"/>
  <c r="E96" i="78"/>
  <c r="F96" i="78"/>
  <c r="G96" i="78"/>
  <c r="H96" i="78"/>
  <c r="W40" i="77" s="1"/>
  <c r="D97" i="78"/>
  <c r="AA33" i="77" s="1"/>
  <c r="E97" i="78"/>
  <c r="F97" i="78"/>
  <c r="G97" i="78"/>
  <c r="H97" i="78"/>
  <c r="AC33" i="77" s="1"/>
  <c r="D98" i="78"/>
  <c r="AA35" i="77" s="1"/>
  <c r="E98" i="78"/>
  <c r="F98" i="78"/>
  <c r="F109" i="78" s="1"/>
  <c r="G98" i="78"/>
  <c r="I98" i="78" s="1"/>
  <c r="H98" i="78"/>
  <c r="AC35" i="77" s="1"/>
  <c r="D99" i="78"/>
  <c r="AA37" i="77" s="1"/>
  <c r="AB37" i="77" s="1"/>
  <c r="E99" i="78"/>
  <c r="F99" i="78"/>
  <c r="G99" i="78"/>
  <c r="H99" i="78"/>
  <c r="AC37" i="77" s="1"/>
  <c r="AD37" i="77" s="1"/>
  <c r="D100" i="78"/>
  <c r="AA23" i="77"/>
  <c r="AB23" i="77" s="1"/>
  <c r="E100" i="78"/>
  <c r="F100" i="78"/>
  <c r="G100" i="78"/>
  <c r="H100" i="78"/>
  <c r="H5" i="78"/>
  <c r="E9" i="77" s="1"/>
  <c r="G5" i="78"/>
  <c r="F5" i="78"/>
  <c r="F105" i="78" s="1"/>
  <c r="E5" i="78"/>
  <c r="D5" i="78"/>
  <c r="C9" i="77"/>
  <c r="D9" i="77" s="1"/>
  <c r="O7" i="90"/>
  <c r="I7" i="90"/>
  <c r="A3" i="90"/>
  <c r="A3" i="86"/>
  <c r="A3" i="83"/>
  <c r="A3" i="87"/>
  <c r="A3" i="80"/>
  <c r="A3" i="89"/>
  <c r="A3" i="77"/>
  <c r="K25" i="92"/>
  <c r="O18" i="91"/>
  <c r="O19" i="91"/>
  <c r="P19" i="91" s="1"/>
  <c r="O14" i="91"/>
  <c r="O15" i="91" s="1"/>
  <c r="O16" i="91"/>
  <c r="P16" i="91" s="1"/>
  <c r="O10" i="91"/>
  <c r="O11" i="91" s="1"/>
  <c r="O12" i="91"/>
  <c r="P12" i="91" s="1"/>
  <c r="O22" i="90"/>
  <c r="I30" i="90" s="1"/>
  <c r="O16" i="90"/>
  <c r="I29" i="90" s="1"/>
  <c r="O11" i="90"/>
  <c r="I28" i="90" s="1"/>
  <c r="AI11" i="87"/>
  <c r="AG11" i="87"/>
  <c r="AH11" i="87"/>
  <c r="AM11" i="87" s="1"/>
  <c r="AO11" i="87" s="1"/>
  <c r="AP11" i="87" s="1"/>
  <c r="AC11" i="87"/>
  <c r="AI10" i="87"/>
  <c r="AG10" i="87"/>
  <c r="AC10" i="87"/>
  <c r="AC14" i="87" s="1"/>
  <c r="AP7" i="87"/>
  <c r="AO7" i="87"/>
  <c r="AN7" i="87"/>
  <c r="AM7" i="87"/>
  <c r="AL7" i="87"/>
  <c r="AK7" i="87"/>
  <c r="AJ7" i="87"/>
  <c r="AI7" i="87"/>
  <c r="AH7" i="87"/>
  <c r="AG7" i="87"/>
  <c r="AE7" i="87"/>
  <c r="AD7" i="87"/>
  <c r="AC7" i="87"/>
  <c r="AB7" i="87"/>
  <c r="AA7" i="87"/>
  <c r="Y7" i="87"/>
  <c r="X7" i="87"/>
  <c r="W7" i="87"/>
  <c r="V7" i="87"/>
  <c r="U7" i="87"/>
  <c r="S7" i="87"/>
  <c r="R7" i="87"/>
  <c r="Q7" i="87"/>
  <c r="P7" i="87"/>
  <c r="O7" i="87"/>
  <c r="M7" i="87"/>
  <c r="L7" i="87"/>
  <c r="K7" i="87"/>
  <c r="J7" i="87"/>
  <c r="I7" i="87"/>
  <c r="AP6" i="87"/>
  <c r="AO6" i="87"/>
  <c r="AN6" i="87"/>
  <c r="AM6" i="87"/>
  <c r="AL6" i="87"/>
  <c r="AK6" i="87"/>
  <c r="AJ6" i="87"/>
  <c r="AI6" i="87"/>
  <c r="AH6" i="87"/>
  <c r="AG6" i="87"/>
  <c r="AE6" i="87"/>
  <c r="AD6" i="87"/>
  <c r="AC6" i="87"/>
  <c r="AB6" i="87"/>
  <c r="AA6" i="87"/>
  <c r="Y6" i="87"/>
  <c r="X6" i="87"/>
  <c r="W6" i="87"/>
  <c r="V6" i="87"/>
  <c r="U6" i="87"/>
  <c r="S6" i="87"/>
  <c r="R6" i="87"/>
  <c r="Q6" i="87"/>
  <c r="P6" i="87"/>
  <c r="O6" i="87"/>
  <c r="M6" i="87"/>
  <c r="L6" i="87"/>
  <c r="K6" i="87"/>
  <c r="J6" i="87"/>
  <c r="I6" i="87"/>
  <c r="O24" i="86"/>
  <c r="O19" i="86"/>
  <c r="K27" i="86"/>
  <c r="K24" i="86"/>
  <c r="K19" i="86"/>
  <c r="O39" i="86"/>
  <c r="M39" i="86"/>
  <c r="M38" i="86"/>
  <c r="O53" i="86"/>
  <c r="O54" i="86" s="1"/>
  <c r="M53" i="86"/>
  <c r="G47" i="86"/>
  <c r="M35" i="86"/>
  <c r="M34" i="86"/>
  <c r="M33" i="86"/>
  <c r="O9" i="86"/>
  <c r="O10" i="86" s="1"/>
  <c r="O11" i="86" s="1"/>
  <c r="A3" i="85"/>
  <c r="A4" i="85"/>
  <c r="G213" i="85" s="1"/>
  <c r="A5" i="85"/>
  <c r="A6" i="85"/>
  <c r="A7" i="85"/>
  <c r="A8" i="85"/>
  <c r="A9" i="85"/>
  <c r="A10" i="85"/>
  <c r="A11" i="85"/>
  <c r="A12" i="85"/>
  <c r="A13" i="85"/>
  <c r="A14" i="85"/>
  <c r="A15" i="85"/>
  <c r="A16" i="85"/>
  <c r="A17" i="85"/>
  <c r="A18" i="85"/>
  <c r="A19" i="85"/>
  <c r="A20" i="85"/>
  <c r="A21" i="85"/>
  <c r="A22" i="85"/>
  <c r="A23" i="85"/>
  <c r="A24" i="85"/>
  <c r="A25" i="85"/>
  <c r="A26" i="85"/>
  <c r="A27" i="85"/>
  <c r="A28" i="85"/>
  <c r="A29" i="85"/>
  <c r="A30" i="85"/>
  <c r="A31" i="85"/>
  <c r="A32" i="85"/>
  <c r="A33" i="85"/>
  <c r="A34" i="85"/>
  <c r="A35" i="85"/>
  <c r="A36" i="85"/>
  <c r="A37" i="85"/>
  <c r="A38" i="85"/>
  <c r="A40" i="85"/>
  <c r="A41" i="85"/>
  <c r="A42" i="85"/>
  <c r="A43" i="85"/>
  <c r="A44" i="85"/>
  <c r="A45" i="85"/>
  <c r="A46" i="85"/>
  <c r="A47" i="85"/>
  <c r="A48" i="85"/>
  <c r="A49" i="85"/>
  <c r="A50" i="85"/>
  <c r="A51" i="85"/>
  <c r="A52" i="85"/>
  <c r="A53" i="85"/>
  <c r="A54" i="85"/>
  <c r="A55" i="85"/>
  <c r="A56" i="85"/>
  <c r="A57" i="85"/>
  <c r="A58" i="85"/>
  <c r="A59" i="85"/>
  <c r="A60" i="85"/>
  <c r="A61" i="85"/>
  <c r="A62" i="85"/>
  <c r="A63" i="85"/>
  <c r="A64" i="85"/>
  <c r="A65" i="85"/>
  <c r="A66" i="85"/>
  <c r="A67" i="85"/>
  <c r="A68" i="85"/>
  <c r="A69" i="85"/>
  <c r="A70" i="85"/>
  <c r="A71" i="85"/>
  <c r="A72" i="85"/>
  <c r="A73" i="85"/>
  <c r="A74" i="85"/>
  <c r="A75" i="85"/>
  <c r="A76" i="85"/>
  <c r="A77" i="85"/>
  <c r="A78" i="85"/>
  <c r="A79" i="85"/>
  <c r="A80" i="85"/>
  <c r="A81" i="85"/>
  <c r="A82" i="85"/>
  <c r="A83" i="85"/>
  <c r="A84" i="85"/>
  <c r="A85" i="85"/>
  <c r="A86" i="85"/>
  <c r="A87" i="85"/>
  <c r="A88" i="85"/>
  <c r="A89" i="85"/>
  <c r="A90" i="85"/>
  <c r="A91" i="85"/>
  <c r="A92" i="85"/>
  <c r="A93" i="85"/>
  <c r="A94" i="85"/>
  <c r="A95" i="85"/>
  <c r="A96" i="85"/>
  <c r="A97" i="85"/>
  <c r="A98" i="85"/>
  <c r="A99" i="85"/>
  <c r="A100" i="85"/>
  <c r="A101" i="85"/>
  <c r="A102" i="85"/>
  <c r="A103" i="85"/>
  <c r="A104" i="85"/>
  <c r="A105" i="85"/>
  <c r="A106" i="85"/>
  <c r="A107" i="85"/>
  <c r="A108" i="85"/>
  <c r="A109" i="85"/>
  <c r="A110" i="85"/>
  <c r="A111" i="85"/>
  <c r="A112" i="85"/>
  <c r="A113" i="85"/>
  <c r="A114" i="85"/>
  <c r="A115" i="85"/>
  <c r="A116" i="85"/>
  <c r="A117" i="85"/>
  <c r="A118" i="85"/>
  <c r="A119" i="85"/>
  <c r="A120" i="85"/>
  <c r="A121" i="85"/>
  <c r="A122" i="85"/>
  <c r="A123" i="85"/>
  <c r="A124" i="85"/>
  <c r="A125" i="85"/>
  <c r="A126" i="85"/>
  <c r="A127" i="85"/>
  <c r="A129" i="85"/>
  <c r="A130" i="85"/>
  <c r="A131" i="85"/>
  <c r="A133" i="85"/>
  <c r="A134" i="85"/>
  <c r="A135" i="85"/>
  <c r="A136" i="85"/>
  <c r="A137" i="85"/>
  <c r="A138" i="85"/>
  <c r="A140" i="85"/>
  <c r="A141" i="85"/>
  <c r="A142" i="85"/>
  <c r="A143" i="85"/>
  <c r="A144" i="85"/>
  <c r="A145" i="85"/>
  <c r="A146" i="85"/>
  <c r="A147" i="85"/>
  <c r="A148" i="85"/>
  <c r="A149" i="85"/>
  <c r="A150" i="85"/>
  <c r="A151" i="85"/>
  <c r="A152" i="85"/>
  <c r="A153" i="85"/>
  <c r="A154" i="85"/>
  <c r="A155" i="85"/>
  <c r="A156" i="85"/>
  <c r="A157" i="85"/>
  <c r="A158" i="85"/>
  <c r="A159" i="85"/>
  <c r="A160" i="85"/>
  <c r="A161" i="85"/>
  <c r="A162" i="85"/>
  <c r="A163" i="85"/>
  <c r="A164" i="85"/>
  <c r="A165" i="85"/>
  <c r="A166" i="85"/>
  <c r="A167" i="85"/>
  <c r="A168" i="85"/>
  <c r="A169" i="85"/>
  <c r="A170" i="85"/>
  <c r="A171" i="85"/>
  <c r="A172" i="85"/>
  <c r="A173" i="85"/>
  <c r="A174" i="85"/>
  <c r="A176" i="85"/>
  <c r="A177" i="85"/>
  <c r="A178" i="85"/>
  <c r="A179" i="85"/>
  <c r="A180" i="85"/>
  <c r="A181" i="85"/>
  <c r="A182" i="85"/>
  <c r="A183" i="85"/>
  <c r="A184" i="85"/>
  <c r="A185" i="85"/>
  <c r="A186" i="85"/>
  <c r="A187" i="85"/>
  <c r="A188" i="85"/>
  <c r="A189" i="85"/>
  <c r="A190" i="85"/>
  <c r="A191" i="85"/>
  <c r="A192" i="85"/>
  <c r="A193" i="85"/>
  <c r="A194" i="85"/>
  <c r="A195" i="85"/>
  <c r="A196" i="85"/>
  <c r="A197" i="85"/>
  <c r="A198" i="85"/>
  <c r="A199" i="85"/>
  <c r="A200" i="85"/>
  <c r="A201" i="85"/>
  <c r="A202" i="85"/>
  <c r="A203" i="85"/>
  <c r="A204" i="85"/>
  <c r="A205" i="85"/>
  <c r="A2" i="85"/>
  <c r="AI9" i="83"/>
  <c r="AG9" i="83"/>
  <c r="AH9" i="83"/>
  <c r="AC9" i="83"/>
  <c r="AA9" i="83"/>
  <c r="AB9" i="83" s="1"/>
  <c r="AD9" i="83" s="1"/>
  <c r="AE9" i="83" s="1"/>
  <c r="W9" i="83"/>
  <c r="U9" i="83"/>
  <c r="V9" i="83" s="1"/>
  <c r="Q9" i="83"/>
  <c r="O9" i="83"/>
  <c r="P9" i="83" s="1"/>
  <c r="P36" i="83" s="1"/>
  <c r="K9" i="83"/>
  <c r="I9" i="83"/>
  <c r="C9" i="83"/>
  <c r="D9" i="83" s="1"/>
  <c r="K3" i="85"/>
  <c r="K6" i="85"/>
  <c r="K7" i="85"/>
  <c r="K9" i="85"/>
  <c r="K10" i="85"/>
  <c r="E9" i="87" s="1"/>
  <c r="K11" i="85"/>
  <c r="E10" i="87" s="1"/>
  <c r="K12" i="85"/>
  <c r="K13" i="85"/>
  <c r="K15" i="85"/>
  <c r="E11" i="87" s="1"/>
  <c r="K26" i="85"/>
  <c r="E11" i="83" s="1"/>
  <c r="K27" i="85"/>
  <c r="K28" i="85"/>
  <c r="E9" i="83" s="1"/>
  <c r="F9" i="83" s="1"/>
  <c r="G9" i="83" s="1"/>
  <c r="K30" i="85"/>
  <c r="K31" i="85"/>
  <c r="K32" i="85"/>
  <c r="E25" i="83" s="1"/>
  <c r="K34" i="85"/>
  <c r="E32" i="83" s="1"/>
  <c r="K36" i="85"/>
  <c r="K37" i="85"/>
  <c r="K38" i="85"/>
  <c r="E31" i="83" s="1"/>
  <c r="K40" i="85"/>
  <c r="K42" i="85"/>
  <c r="K43" i="85"/>
  <c r="K44" i="85"/>
  <c r="E33" i="83" s="1"/>
  <c r="K45" i="85"/>
  <c r="K48" i="85"/>
  <c r="K50" i="85"/>
  <c r="K51" i="85"/>
  <c r="K52" i="85"/>
  <c r="K53" i="85"/>
  <c r="K56" i="85"/>
  <c r="K58" i="85"/>
  <c r="K59" i="85"/>
  <c r="K60" i="85"/>
  <c r="K9" i="87" s="1"/>
  <c r="K61" i="85"/>
  <c r="K10" i="87" s="1"/>
  <c r="L10" i="87" s="1"/>
  <c r="M10" i="87" s="1"/>
  <c r="K62" i="85"/>
  <c r="K64" i="85"/>
  <c r="K11" i="87" s="1"/>
  <c r="L11" i="87" s="1"/>
  <c r="M11" i="87" s="1"/>
  <c r="K66" i="85"/>
  <c r="K12" i="87" s="1"/>
  <c r="L12" i="87" s="1"/>
  <c r="M12" i="87" s="1"/>
  <c r="K67" i="85"/>
  <c r="K68" i="85"/>
  <c r="K12" i="83" s="1"/>
  <c r="K69" i="85"/>
  <c r="K72" i="85"/>
  <c r="K73" i="85"/>
  <c r="K75" i="85"/>
  <c r="K32" i="83" s="1"/>
  <c r="L32" i="83" s="1"/>
  <c r="M32" i="83" s="1"/>
  <c r="K76" i="85"/>
  <c r="K77" i="85"/>
  <c r="K13" i="83" s="1"/>
  <c r="K78" i="85"/>
  <c r="K80" i="85"/>
  <c r="K82" i="85"/>
  <c r="K84" i="85"/>
  <c r="K85" i="85"/>
  <c r="K88" i="85"/>
  <c r="K89" i="85"/>
  <c r="K90" i="85"/>
  <c r="K92" i="85"/>
  <c r="K93" i="85"/>
  <c r="K96" i="85"/>
  <c r="K98" i="85"/>
  <c r="Q10" i="87" s="1"/>
  <c r="K99" i="85"/>
  <c r="K100" i="85"/>
  <c r="K101" i="85"/>
  <c r="K103" i="85"/>
  <c r="Q11" i="87" s="1"/>
  <c r="R11" i="87" s="1"/>
  <c r="S11" i="87" s="1"/>
  <c r="K104" i="85"/>
  <c r="K105" i="85"/>
  <c r="Q12" i="87" s="1"/>
  <c r="K107" i="85"/>
  <c r="K108" i="85"/>
  <c r="K109" i="85"/>
  <c r="K112" i="85"/>
  <c r="K113" i="85"/>
  <c r="K115" i="85"/>
  <c r="K116" i="85"/>
  <c r="K117" i="85"/>
  <c r="Q14" i="83" s="1"/>
  <c r="K120" i="85"/>
  <c r="Q25" i="83" s="1"/>
  <c r="K121" i="85"/>
  <c r="Q15" i="83" s="1"/>
  <c r="K122" i="85"/>
  <c r="K123" i="85"/>
  <c r="K125" i="85"/>
  <c r="K129" i="85"/>
  <c r="K130" i="85"/>
  <c r="Q18" i="83" s="1"/>
  <c r="K131" i="85"/>
  <c r="Q27" i="83" s="1"/>
  <c r="K133" i="85"/>
  <c r="K134" i="85"/>
  <c r="Q32" i="83" s="1"/>
  <c r="K135" i="85"/>
  <c r="K136" i="85"/>
  <c r="K138" i="85"/>
  <c r="Q31" i="83" s="1"/>
  <c r="R31" i="83" s="1"/>
  <c r="S31" i="83" s="1"/>
  <c r="K141" i="85"/>
  <c r="K142" i="85"/>
  <c r="K143" i="85"/>
  <c r="K144" i="85"/>
  <c r="Q33" i="83" s="1"/>
  <c r="K147" i="85"/>
  <c r="K149" i="85"/>
  <c r="K150" i="85"/>
  <c r="K151" i="85"/>
  <c r="K152" i="85"/>
  <c r="K155" i="85"/>
  <c r="K158" i="85"/>
  <c r="K159" i="85"/>
  <c r="W9" i="87" s="1"/>
  <c r="K160" i="85"/>
  <c r="W10" i="87" s="1"/>
  <c r="K163" i="85"/>
  <c r="W11" i="87" s="1"/>
  <c r="X11" i="87" s="1"/>
  <c r="Y11" i="87" s="1"/>
  <c r="K165" i="85"/>
  <c r="W12" i="87" s="1"/>
  <c r="X12" i="87" s="1"/>
  <c r="Y12" i="87" s="1"/>
  <c r="K166" i="85"/>
  <c r="K168" i="85"/>
  <c r="K170" i="85"/>
  <c r="K171" i="85"/>
  <c r="K173" i="85"/>
  <c r="W22" i="83" s="1"/>
  <c r="K174" i="85"/>
  <c r="K176" i="85"/>
  <c r="W24" i="83" s="1"/>
  <c r="AN24" i="83" s="1"/>
  <c r="K177" i="85"/>
  <c r="K179" i="85"/>
  <c r="K181" i="85"/>
  <c r="B177" i="85"/>
  <c r="B113" i="85"/>
  <c r="B178" i="85"/>
  <c r="B100" i="85"/>
  <c r="B43" i="85"/>
  <c r="B82" i="85"/>
  <c r="B143" i="85"/>
  <c r="B186" i="85"/>
  <c r="B44" i="85"/>
  <c r="B83" i="85"/>
  <c r="B144" i="85"/>
  <c r="B187" i="85"/>
  <c r="B30" i="85"/>
  <c r="B109" i="85"/>
  <c r="B18" i="85"/>
  <c r="B67" i="85"/>
  <c r="B106" i="85"/>
  <c r="B166" i="85"/>
  <c r="B193" i="85"/>
  <c r="B201" i="85"/>
  <c r="B148" i="85"/>
  <c r="B87" i="85"/>
  <c r="B189" i="85"/>
  <c r="B42" i="85"/>
  <c r="B81" i="85"/>
  <c r="B142" i="85"/>
  <c r="B185" i="85"/>
  <c r="B19" i="85"/>
  <c r="B47" i="85"/>
  <c r="B14" i="85"/>
  <c r="B63" i="85"/>
  <c r="B102" i="85"/>
  <c r="B162" i="85"/>
  <c r="B32" i="85"/>
  <c r="B120" i="85"/>
  <c r="B31" i="85"/>
  <c r="B118" i="85"/>
  <c r="B198" i="85"/>
  <c r="B203" i="85"/>
  <c r="B36" i="85"/>
  <c r="B136" i="85"/>
  <c r="B131" i="85"/>
  <c r="B111" i="85"/>
  <c r="B9" i="85"/>
  <c r="B59" i="85"/>
  <c r="B96" i="85"/>
  <c r="B158" i="85"/>
  <c r="B10" i="85"/>
  <c r="B60" i="85"/>
  <c r="B97" i="85"/>
  <c r="B159" i="85"/>
  <c r="B2" i="85"/>
  <c r="B52" i="85"/>
  <c r="B90" i="85"/>
  <c r="B152" i="85"/>
  <c r="B7" i="85"/>
  <c r="B58" i="85"/>
  <c r="B95" i="85"/>
  <c r="B157" i="85"/>
  <c r="B4" i="85"/>
  <c r="B54" i="85"/>
  <c r="B92" i="85"/>
  <c r="B154" i="85"/>
  <c r="B3" i="85"/>
  <c r="B53" i="85"/>
  <c r="B91" i="85"/>
  <c r="B153" i="85"/>
  <c r="B110" i="85"/>
  <c r="B194" i="85"/>
  <c r="B74" i="85"/>
  <c r="B33" i="85"/>
  <c r="B200" i="85"/>
  <c r="B13" i="85"/>
  <c r="B101" i="85"/>
  <c r="B68" i="85"/>
  <c r="B69" i="85"/>
  <c r="B70" i="85"/>
  <c r="B71" i="85"/>
  <c r="B72" i="85"/>
  <c r="B73" i="85"/>
  <c r="B76" i="85"/>
  <c r="B21" i="85"/>
  <c r="B22" i="85"/>
  <c r="B23" i="85"/>
  <c r="B24" i="85"/>
  <c r="B28" i="85"/>
  <c r="B25" i="85"/>
  <c r="B26" i="85"/>
  <c r="B27" i="85"/>
  <c r="B35" i="85"/>
  <c r="B11" i="85"/>
  <c r="B61" i="85"/>
  <c r="B98" i="85"/>
  <c r="B160" i="85"/>
  <c r="B17" i="85"/>
  <c r="B66" i="85"/>
  <c r="B105" i="85"/>
  <c r="B165" i="85"/>
  <c r="B12" i="85"/>
  <c r="B62" i="85"/>
  <c r="B99" i="85"/>
  <c r="B161" i="85"/>
  <c r="B179" i="85"/>
  <c r="B133" i="85"/>
  <c r="B167" i="85"/>
  <c r="B169" i="85"/>
  <c r="B168" i="85"/>
  <c r="B170" i="85"/>
  <c r="B172" i="85"/>
  <c r="B171" i="85"/>
  <c r="B173" i="85"/>
  <c r="B174" i="85"/>
  <c r="B176" i="85"/>
  <c r="B181" i="85"/>
  <c r="B55" i="85"/>
  <c r="B117" i="85"/>
  <c r="B108" i="85"/>
  <c r="B122" i="85"/>
  <c r="B121" i="85"/>
  <c r="B119" i="85"/>
  <c r="B123" i="85"/>
  <c r="B124" i="85"/>
  <c r="B125" i="85"/>
  <c r="B126" i="85"/>
  <c r="B127" i="85"/>
  <c r="B129" i="85"/>
  <c r="B130" i="85"/>
  <c r="B135" i="85"/>
  <c r="B6" i="85"/>
  <c r="B57" i="85"/>
  <c r="B94" i="85"/>
  <c r="B156" i="85"/>
  <c r="B16" i="85"/>
  <c r="B65" i="85"/>
  <c r="B104" i="85"/>
  <c r="B164" i="85"/>
  <c r="B84" i="85"/>
  <c r="B188" i="85"/>
  <c r="B48" i="85"/>
  <c r="B147" i="85"/>
  <c r="B85" i="85"/>
  <c r="B199" i="85"/>
  <c r="B204" i="85"/>
  <c r="B205" i="85"/>
  <c r="B195" i="85"/>
  <c r="B140" i="85"/>
  <c r="B116" i="85"/>
  <c r="B20" i="85"/>
  <c r="B77" i="85"/>
  <c r="B40" i="85"/>
  <c r="B196" i="85"/>
  <c r="B202" i="85"/>
  <c r="B197" i="85"/>
  <c r="B49" i="85"/>
  <c r="B149" i="85"/>
  <c r="B114" i="85"/>
  <c r="B56" i="85"/>
  <c r="B155" i="85"/>
  <c r="B8" i="85"/>
  <c r="B45" i="85"/>
  <c r="B145" i="85"/>
  <c r="B46" i="85"/>
  <c r="B146" i="85"/>
  <c r="B51" i="85"/>
  <c r="B89" i="85"/>
  <c r="B151" i="85"/>
  <c r="B191" i="85"/>
  <c r="B50" i="85"/>
  <c r="B88" i="85"/>
  <c r="B150" i="85"/>
  <c r="B190" i="85"/>
  <c r="B86" i="85"/>
  <c r="B29" i="85"/>
  <c r="B107" i="85"/>
  <c r="B15" i="85"/>
  <c r="B64" i="85"/>
  <c r="B103" i="85"/>
  <c r="B163" i="85"/>
  <c r="B192" i="85"/>
  <c r="B5" i="85"/>
  <c r="B93" i="85"/>
  <c r="B37" i="85"/>
  <c r="B78" i="85"/>
  <c r="B137" i="85"/>
  <c r="B182" i="85"/>
  <c r="B34" i="85"/>
  <c r="B75" i="85"/>
  <c r="B134" i="85"/>
  <c r="B180" i="85"/>
  <c r="B41" i="85"/>
  <c r="B80" i="85"/>
  <c r="B141" i="85"/>
  <c r="B184" i="85"/>
  <c r="B38" i="85"/>
  <c r="B79" i="85"/>
  <c r="B138" i="85"/>
  <c r="B183" i="85"/>
  <c r="B115" i="85"/>
  <c r="B112" i="85"/>
  <c r="AP7" i="83"/>
  <c r="AO7" i="83"/>
  <c r="AN7" i="83"/>
  <c r="AM7" i="83"/>
  <c r="AL7" i="83"/>
  <c r="AK7" i="83"/>
  <c r="AJ7" i="83"/>
  <c r="AI7" i="83"/>
  <c r="AH7" i="83"/>
  <c r="AG7" i="83"/>
  <c r="AE7" i="83"/>
  <c r="AD7" i="83"/>
  <c r="AC7" i="83"/>
  <c r="AB7" i="83"/>
  <c r="AA7" i="83"/>
  <c r="Y7" i="83"/>
  <c r="X7" i="83"/>
  <c r="W7" i="83"/>
  <c r="V7" i="83"/>
  <c r="U7" i="83"/>
  <c r="S7" i="83"/>
  <c r="R7" i="83"/>
  <c r="Q7" i="83"/>
  <c r="P7" i="83"/>
  <c r="O7" i="83"/>
  <c r="M7" i="83"/>
  <c r="L7" i="83"/>
  <c r="K7" i="83"/>
  <c r="J7" i="83"/>
  <c r="I7" i="83"/>
  <c r="AP6" i="83"/>
  <c r="AO6" i="83"/>
  <c r="AN6" i="83"/>
  <c r="AM6" i="83"/>
  <c r="AL6" i="83"/>
  <c r="AK6" i="83"/>
  <c r="AJ6" i="83"/>
  <c r="AI6" i="83"/>
  <c r="AH6" i="83"/>
  <c r="AG6" i="83"/>
  <c r="AE6" i="83"/>
  <c r="AD6" i="83"/>
  <c r="AC6" i="83"/>
  <c r="AB6" i="83"/>
  <c r="AA6" i="83"/>
  <c r="Y6" i="83"/>
  <c r="X6" i="83"/>
  <c r="W6" i="83"/>
  <c r="V6" i="83"/>
  <c r="U6" i="83"/>
  <c r="S6" i="83"/>
  <c r="R6" i="83"/>
  <c r="Q6" i="83"/>
  <c r="P6" i="83"/>
  <c r="O6" i="83"/>
  <c r="M6" i="83"/>
  <c r="L6" i="83"/>
  <c r="K6" i="83"/>
  <c r="J6" i="83"/>
  <c r="I6" i="83"/>
  <c r="F283" i="79"/>
  <c r="B283" i="79"/>
  <c r="A283" i="79"/>
  <c r="F282" i="79"/>
  <c r="B282" i="79"/>
  <c r="A282" i="79"/>
  <c r="F757" i="79"/>
  <c r="B757" i="79"/>
  <c r="A757" i="79"/>
  <c r="F281" i="79"/>
  <c r="B281" i="79"/>
  <c r="A281" i="79"/>
  <c r="F280" i="79"/>
  <c r="B280" i="79"/>
  <c r="A280" i="79"/>
  <c r="D280" i="79" s="1"/>
  <c r="G280" i="79" s="1"/>
  <c r="F279" i="79"/>
  <c r="B279" i="79"/>
  <c r="A279" i="79"/>
  <c r="C279" i="79" s="1"/>
  <c r="F278" i="79"/>
  <c r="B278" i="79"/>
  <c r="A278" i="79"/>
  <c r="F277" i="79"/>
  <c r="B277" i="79"/>
  <c r="A277" i="79"/>
  <c r="C277" i="79" s="1"/>
  <c r="G756" i="79"/>
  <c r="F756" i="79"/>
  <c r="B756" i="79"/>
  <c r="A756" i="79"/>
  <c r="F755" i="79"/>
  <c r="B755" i="79"/>
  <c r="A755" i="79"/>
  <c r="C755" i="79" s="1"/>
  <c r="F754" i="79"/>
  <c r="B754" i="79"/>
  <c r="A754" i="79"/>
  <c r="C754" i="79" s="1"/>
  <c r="F753" i="79"/>
  <c r="B753" i="79"/>
  <c r="A753" i="79"/>
  <c r="C753" i="79" s="1"/>
  <c r="F752" i="79"/>
  <c r="B752" i="79"/>
  <c r="A752" i="79"/>
  <c r="F751" i="79"/>
  <c r="B751" i="79"/>
  <c r="A751" i="79"/>
  <c r="F747" i="79"/>
  <c r="B747" i="79"/>
  <c r="A747" i="79"/>
  <c r="C747" i="79" s="1"/>
  <c r="F746" i="79"/>
  <c r="B746" i="79"/>
  <c r="A746" i="79"/>
  <c r="C746" i="79" s="1"/>
  <c r="F745" i="79"/>
  <c r="B745" i="79"/>
  <c r="A745" i="79"/>
  <c r="C745" i="79"/>
  <c r="F744" i="79"/>
  <c r="B744" i="79"/>
  <c r="A744" i="79"/>
  <c r="F743" i="79"/>
  <c r="B743" i="79"/>
  <c r="A743" i="79"/>
  <c r="C743" i="79" s="1"/>
  <c r="F742" i="79"/>
  <c r="B742" i="79"/>
  <c r="A742" i="79"/>
  <c r="F741" i="79"/>
  <c r="B741" i="79"/>
  <c r="A741" i="79"/>
  <c r="C741" i="79" s="1"/>
  <c r="F740" i="79"/>
  <c r="B740" i="79"/>
  <c r="A740" i="79"/>
  <c r="D740" i="79" s="1"/>
  <c r="F739" i="79"/>
  <c r="B739" i="79"/>
  <c r="A739" i="79"/>
  <c r="F738" i="79"/>
  <c r="B738" i="79"/>
  <c r="A738" i="79"/>
  <c r="C738" i="79" s="1"/>
  <c r="F737" i="79"/>
  <c r="B737" i="79"/>
  <c r="A737" i="79"/>
  <c r="C737" i="79" s="1"/>
  <c r="F736" i="79"/>
  <c r="B736" i="79"/>
  <c r="A736" i="79"/>
  <c r="F735" i="79"/>
  <c r="B735" i="79"/>
  <c r="A735" i="79"/>
  <c r="C735" i="79"/>
  <c r="F734" i="79"/>
  <c r="B734" i="79"/>
  <c r="A734" i="79"/>
  <c r="F733" i="79"/>
  <c r="B733" i="79"/>
  <c r="A733" i="79"/>
  <c r="F732" i="79"/>
  <c r="B732" i="79"/>
  <c r="A732" i="79"/>
  <c r="F731" i="79"/>
  <c r="B731" i="79"/>
  <c r="A731" i="79"/>
  <c r="C731" i="79" s="1"/>
  <c r="F730" i="79"/>
  <c r="B730" i="79"/>
  <c r="A730" i="79"/>
  <c r="F528" i="79"/>
  <c r="B528" i="79"/>
  <c r="A528" i="79"/>
  <c r="C528" i="79" s="1"/>
  <c r="F527" i="79"/>
  <c r="B527" i="79"/>
  <c r="A527" i="79"/>
  <c r="F526" i="79"/>
  <c r="B526" i="79"/>
  <c r="A526" i="79"/>
  <c r="F525" i="79"/>
  <c r="B525" i="79"/>
  <c r="A525" i="79"/>
  <c r="D525" i="79" s="1"/>
  <c r="F524" i="79"/>
  <c r="B524" i="79"/>
  <c r="A524" i="79"/>
  <c r="F523" i="79"/>
  <c r="B523" i="79"/>
  <c r="A523" i="79"/>
  <c r="F522" i="79"/>
  <c r="B522" i="79"/>
  <c r="A522" i="79"/>
  <c r="F521" i="79"/>
  <c r="B521" i="79"/>
  <c r="A521" i="79"/>
  <c r="D521" i="79" s="1"/>
  <c r="F520" i="79"/>
  <c r="B520" i="79"/>
  <c r="A520" i="79"/>
  <c r="F519" i="79"/>
  <c r="B519" i="79"/>
  <c r="A519" i="79"/>
  <c r="C519" i="79" s="1"/>
  <c r="F518" i="79"/>
  <c r="B518" i="79"/>
  <c r="A518" i="79"/>
  <c r="F517" i="79"/>
  <c r="B517" i="79"/>
  <c r="A517" i="79"/>
  <c r="C517" i="79" s="1"/>
  <c r="F516" i="79"/>
  <c r="B516" i="79"/>
  <c r="A516" i="79"/>
  <c r="C516" i="79" s="1"/>
  <c r="F515" i="79"/>
  <c r="B515" i="79"/>
  <c r="A515" i="79"/>
  <c r="F514" i="79"/>
  <c r="B514" i="79"/>
  <c r="A514" i="79"/>
  <c r="C514" i="79" s="1"/>
  <c r="F513" i="79"/>
  <c r="B513" i="79"/>
  <c r="A513" i="79"/>
  <c r="C513" i="79" s="1"/>
  <c r="F512" i="79"/>
  <c r="B512" i="79"/>
  <c r="A512" i="79"/>
  <c r="C512" i="79" s="1"/>
  <c r="F511" i="79"/>
  <c r="B511" i="79"/>
  <c r="A511" i="79"/>
  <c r="C511" i="79" s="1"/>
  <c r="F510" i="79"/>
  <c r="B510" i="79"/>
  <c r="A510" i="79"/>
  <c r="D510" i="79"/>
  <c r="F509" i="79"/>
  <c r="B509" i="79"/>
  <c r="A509" i="79"/>
  <c r="F508" i="79"/>
  <c r="B508" i="79"/>
  <c r="A508" i="79"/>
  <c r="D508" i="79" s="1"/>
  <c r="F507" i="79"/>
  <c r="B507" i="79"/>
  <c r="A507" i="79"/>
  <c r="C507" i="79" s="1"/>
  <c r="F506" i="79"/>
  <c r="B506" i="79"/>
  <c r="A506" i="79"/>
  <c r="D506" i="79" s="1"/>
  <c r="F505" i="79"/>
  <c r="B505" i="79"/>
  <c r="A505" i="79"/>
  <c r="D505" i="79"/>
  <c r="F504" i="79"/>
  <c r="B504" i="79"/>
  <c r="A504" i="79"/>
  <c r="C504" i="79" s="1"/>
  <c r="D504" i="79"/>
  <c r="F503" i="79"/>
  <c r="B503" i="79"/>
  <c r="A503" i="79"/>
  <c r="C503" i="79"/>
  <c r="F502" i="79"/>
  <c r="B502" i="79"/>
  <c r="A502" i="79"/>
  <c r="C502" i="79"/>
  <c r="F501" i="79"/>
  <c r="B501" i="79"/>
  <c r="A501" i="79"/>
  <c r="D501" i="79"/>
  <c r="F500" i="79"/>
  <c r="B500" i="79"/>
  <c r="A500" i="79"/>
  <c r="C500" i="79" s="1"/>
  <c r="F499" i="79"/>
  <c r="B499" i="79"/>
  <c r="A499" i="79"/>
  <c r="C499" i="79" s="1"/>
  <c r="F498" i="79"/>
  <c r="B498" i="79"/>
  <c r="A498" i="79"/>
  <c r="C498" i="79" s="1"/>
  <c r="F497" i="79"/>
  <c r="B497" i="79"/>
  <c r="A497" i="79"/>
  <c r="F496" i="79"/>
  <c r="B496" i="79"/>
  <c r="A496" i="79"/>
  <c r="F495" i="79"/>
  <c r="B495" i="79"/>
  <c r="A495" i="79"/>
  <c r="F494" i="79"/>
  <c r="B494" i="79"/>
  <c r="A494" i="79"/>
  <c r="D494" i="79"/>
  <c r="F493" i="79"/>
  <c r="B493" i="79"/>
  <c r="A493" i="79"/>
  <c r="C493" i="79" s="1"/>
  <c r="F492" i="79"/>
  <c r="B492" i="79"/>
  <c r="A492" i="79"/>
  <c r="D492" i="79"/>
  <c r="F491" i="79"/>
  <c r="B491" i="79"/>
  <c r="A491" i="79"/>
  <c r="F490" i="79"/>
  <c r="B490" i="79"/>
  <c r="A490" i="79"/>
  <c r="F489" i="79"/>
  <c r="B489" i="79"/>
  <c r="A489" i="79"/>
  <c r="D489" i="79" s="1"/>
  <c r="F488" i="79"/>
  <c r="B488" i="79"/>
  <c r="A488" i="79"/>
  <c r="C488" i="79" s="1"/>
  <c r="F487" i="79"/>
  <c r="B487" i="79"/>
  <c r="A487" i="79"/>
  <c r="F486" i="79"/>
  <c r="B486" i="79"/>
  <c r="A486" i="79"/>
  <c r="F485" i="79"/>
  <c r="B485" i="79"/>
  <c r="A485" i="79"/>
  <c r="F484" i="79"/>
  <c r="B484" i="79"/>
  <c r="A484" i="79"/>
  <c r="D484" i="79" s="1"/>
  <c r="F483" i="79"/>
  <c r="B483" i="79"/>
  <c r="A483" i="79"/>
  <c r="F482" i="79"/>
  <c r="B482" i="79"/>
  <c r="A482" i="79"/>
  <c r="F481" i="79"/>
  <c r="B481" i="79"/>
  <c r="A481" i="79"/>
  <c r="C481" i="79" s="1"/>
  <c r="F480" i="79"/>
  <c r="B480" i="79"/>
  <c r="A480" i="79"/>
  <c r="F479" i="79"/>
  <c r="B479" i="79"/>
  <c r="A479" i="79"/>
  <c r="D479" i="79" s="1"/>
  <c r="F478" i="79"/>
  <c r="B478" i="79"/>
  <c r="A478" i="79"/>
  <c r="C478" i="79" s="1"/>
  <c r="F477" i="79"/>
  <c r="B477" i="79"/>
  <c r="A477" i="79"/>
  <c r="D477" i="79" s="1"/>
  <c r="F476" i="79"/>
  <c r="B476" i="79"/>
  <c r="A476" i="79"/>
  <c r="F475" i="79"/>
  <c r="B475" i="79"/>
  <c r="A475" i="79"/>
  <c r="F474" i="79"/>
  <c r="B474" i="79"/>
  <c r="A474" i="79"/>
  <c r="C474" i="79"/>
  <c r="F473" i="79"/>
  <c r="B473" i="79"/>
  <c r="A473" i="79"/>
  <c r="F472" i="79"/>
  <c r="B472" i="79"/>
  <c r="A472" i="79"/>
  <c r="D472" i="79"/>
  <c r="F471" i="79"/>
  <c r="B471" i="79"/>
  <c r="A471" i="79"/>
  <c r="D471" i="79" s="1"/>
  <c r="F470" i="79"/>
  <c r="B470" i="79"/>
  <c r="A470" i="79"/>
  <c r="D470" i="79" s="1"/>
  <c r="F469" i="79"/>
  <c r="B469" i="79"/>
  <c r="A469" i="79"/>
  <c r="C469" i="79" s="1"/>
  <c r="F468" i="79"/>
  <c r="B468" i="79"/>
  <c r="A468" i="79"/>
  <c r="F467" i="79"/>
  <c r="G467" i="79" s="1"/>
  <c r="B467" i="79"/>
  <c r="A467" i="79"/>
  <c r="D467" i="79"/>
  <c r="F466" i="79"/>
  <c r="B466" i="79"/>
  <c r="A466" i="79"/>
  <c r="D466" i="79" s="1"/>
  <c r="F465" i="79"/>
  <c r="B465" i="79"/>
  <c r="A465" i="79"/>
  <c r="F464" i="79"/>
  <c r="B464" i="79"/>
  <c r="A464" i="79"/>
  <c r="F463" i="79"/>
  <c r="B463" i="79"/>
  <c r="A463" i="79"/>
  <c r="C463" i="79" s="1"/>
  <c r="F462" i="79"/>
  <c r="B462" i="79"/>
  <c r="A462" i="79"/>
  <c r="F461" i="79"/>
  <c r="B461" i="79"/>
  <c r="A461" i="79"/>
  <c r="F460" i="79"/>
  <c r="B460" i="79"/>
  <c r="A460" i="79"/>
  <c r="F459" i="79"/>
  <c r="B459" i="79"/>
  <c r="A459" i="79"/>
  <c r="D459" i="79" s="1"/>
  <c r="F458" i="79"/>
  <c r="B458" i="79"/>
  <c r="A458" i="79"/>
  <c r="C458" i="79" s="1"/>
  <c r="F457" i="79"/>
  <c r="G457" i="79" s="1"/>
  <c r="B457" i="79"/>
  <c r="A457" i="79"/>
  <c r="D457" i="79" s="1"/>
  <c r="F456" i="79"/>
  <c r="B456" i="79"/>
  <c r="A456" i="79"/>
  <c r="C456" i="79" s="1"/>
  <c r="F455" i="79"/>
  <c r="B455" i="79"/>
  <c r="A455" i="79"/>
  <c r="F454" i="79"/>
  <c r="B454" i="79"/>
  <c r="A454" i="79"/>
  <c r="C454" i="79" s="1"/>
  <c r="F453" i="79"/>
  <c r="B453" i="79"/>
  <c r="A453" i="79"/>
  <c r="F452" i="79"/>
  <c r="B452" i="79"/>
  <c r="A452" i="79"/>
  <c r="C452" i="79"/>
  <c r="F451" i="79"/>
  <c r="B451" i="79"/>
  <c r="A451" i="79"/>
  <c r="F450" i="79"/>
  <c r="B450" i="79"/>
  <c r="A450" i="79"/>
  <c r="F449" i="79"/>
  <c r="B449" i="79"/>
  <c r="A449" i="79"/>
  <c r="F448" i="79"/>
  <c r="B448" i="79"/>
  <c r="A448" i="79"/>
  <c r="C448" i="79" s="1"/>
  <c r="F447" i="79"/>
  <c r="B447" i="79"/>
  <c r="A447" i="79"/>
  <c r="F446" i="79"/>
  <c r="B446" i="79"/>
  <c r="A446" i="79"/>
  <c r="D446" i="79" s="1"/>
  <c r="F445" i="79"/>
  <c r="B445" i="79"/>
  <c r="A445" i="79"/>
  <c r="C445" i="79" s="1"/>
  <c r="F444" i="79"/>
  <c r="B444" i="79"/>
  <c r="A444" i="79"/>
  <c r="C444" i="79" s="1"/>
  <c r="F443" i="79"/>
  <c r="B443" i="79"/>
  <c r="A443" i="79"/>
  <c r="D443" i="79" s="1"/>
  <c r="F276" i="79"/>
  <c r="B276" i="79"/>
  <c r="A276" i="79"/>
  <c r="F275" i="79"/>
  <c r="B275" i="79"/>
  <c r="A275" i="79"/>
  <c r="F274" i="79"/>
  <c r="B274" i="79"/>
  <c r="A274" i="79"/>
  <c r="F273" i="79"/>
  <c r="B273" i="79"/>
  <c r="A273" i="79"/>
  <c r="D273" i="79" s="1"/>
  <c r="F272" i="79"/>
  <c r="B272" i="79"/>
  <c r="A272" i="79"/>
  <c r="D272" i="79" s="1"/>
  <c r="F271" i="79"/>
  <c r="B271" i="79"/>
  <c r="A271" i="79"/>
  <c r="F270" i="79"/>
  <c r="B270" i="79"/>
  <c r="A270" i="79"/>
  <c r="C270" i="79"/>
  <c r="F269" i="79"/>
  <c r="B269" i="79"/>
  <c r="A269" i="79"/>
  <c r="D269" i="79"/>
  <c r="F268" i="79"/>
  <c r="B268" i="79"/>
  <c r="A268" i="79"/>
  <c r="C268" i="79"/>
  <c r="F267" i="79"/>
  <c r="B267" i="79"/>
  <c r="A267" i="79"/>
  <c r="F266" i="79"/>
  <c r="B266" i="79"/>
  <c r="A266" i="79"/>
  <c r="D266" i="79" s="1"/>
  <c r="F265" i="79"/>
  <c r="B265" i="79"/>
  <c r="A265" i="79"/>
  <c r="D265" i="79" s="1"/>
  <c r="F264" i="79"/>
  <c r="B264" i="79"/>
  <c r="A264" i="79"/>
  <c r="F263" i="79"/>
  <c r="B263" i="79"/>
  <c r="A263" i="79"/>
  <c r="C263" i="79" s="1"/>
  <c r="F262" i="79"/>
  <c r="B262" i="79"/>
  <c r="A262" i="79"/>
  <c r="D262" i="79" s="1"/>
  <c r="F261" i="79"/>
  <c r="B261" i="79"/>
  <c r="A261" i="79"/>
  <c r="D261" i="79" s="1"/>
  <c r="F260" i="79"/>
  <c r="B260" i="79"/>
  <c r="A260" i="79"/>
  <c r="C260" i="79" s="1"/>
  <c r="F259" i="79"/>
  <c r="B259" i="79"/>
  <c r="A259" i="79"/>
  <c r="F258" i="79"/>
  <c r="B258" i="79"/>
  <c r="A258" i="79"/>
  <c r="F257" i="79"/>
  <c r="B257" i="79"/>
  <c r="A257" i="79"/>
  <c r="C257" i="79" s="1"/>
  <c r="F256" i="79"/>
  <c r="B256" i="79"/>
  <c r="A256" i="79"/>
  <c r="C256" i="79" s="1"/>
  <c r="F255" i="79"/>
  <c r="B255" i="79"/>
  <c r="A255" i="79"/>
  <c r="C255" i="79"/>
  <c r="F254" i="79"/>
  <c r="B254" i="79"/>
  <c r="A254" i="79"/>
  <c r="C254" i="79"/>
  <c r="F253" i="79"/>
  <c r="B253" i="79"/>
  <c r="A253" i="79"/>
  <c r="D253" i="79"/>
  <c r="F252" i="79"/>
  <c r="B252" i="79"/>
  <c r="A252" i="79"/>
  <c r="C252" i="79" s="1"/>
  <c r="D252" i="79"/>
  <c r="G252" i="79" s="1"/>
  <c r="F251" i="79"/>
  <c r="B251" i="79"/>
  <c r="A251" i="79"/>
  <c r="D251" i="79"/>
  <c r="F250" i="79"/>
  <c r="B250" i="79"/>
  <c r="A250" i="79"/>
  <c r="C250" i="79" s="1"/>
  <c r="D250" i="79"/>
  <c r="F249" i="79"/>
  <c r="G249" i="79" s="1"/>
  <c r="B249" i="79"/>
  <c r="A249" i="79"/>
  <c r="D249" i="79"/>
  <c r="F248" i="79"/>
  <c r="B248" i="79"/>
  <c r="A248" i="79"/>
  <c r="C248" i="79"/>
  <c r="F247" i="79"/>
  <c r="G247" i="79" s="1"/>
  <c r="B247" i="79"/>
  <c r="A247" i="79"/>
  <c r="D247" i="79"/>
  <c r="F246" i="79"/>
  <c r="B246" i="79"/>
  <c r="A246" i="79"/>
  <c r="C246" i="79"/>
  <c r="F245" i="79"/>
  <c r="B245" i="79"/>
  <c r="A245" i="79"/>
  <c r="D245" i="79"/>
  <c r="F244" i="79"/>
  <c r="B244" i="79"/>
  <c r="A244" i="79"/>
  <c r="D244" i="79" s="1"/>
  <c r="C244" i="79"/>
  <c r="F243" i="79"/>
  <c r="B243" i="79"/>
  <c r="A243" i="79"/>
  <c r="C243" i="79"/>
  <c r="F242" i="79"/>
  <c r="B242" i="79"/>
  <c r="A242" i="79"/>
  <c r="D242" i="79"/>
  <c r="F241" i="79"/>
  <c r="B241" i="79"/>
  <c r="A241" i="79"/>
  <c r="C241" i="79"/>
  <c r="F240" i="79"/>
  <c r="B240" i="79"/>
  <c r="A240" i="79"/>
  <c r="C240" i="79"/>
  <c r="F239" i="79"/>
  <c r="B239" i="79"/>
  <c r="A239" i="79"/>
  <c r="F238" i="79"/>
  <c r="B238" i="79"/>
  <c r="A238" i="79"/>
  <c r="F237" i="79"/>
  <c r="B237" i="79"/>
  <c r="A237" i="79"/>
  <c r="F236" i="79"/>
  <c r="B236" i="79"/>
  <c r="A236" i="79"/>
  <c r="C236" i="79"/>
  <c r="F235" i="79"/>
  <c r="B235" i="79"/>
  <c r="A235" i="79"/>
  <c r="C235" i="79" s="1"/>
  <c r="F234" i="79"/>
  <c r="B234" i="79"/>
  <c r="A234" i="79"/>
  <c r="F233" i="79"/>
  <c r="B233" i="79"/>
  <c r="A233" i="79"/>
  <c r="D233" i="79" s="1"/>
  <c r="G233" i="79" s="1"/>
  <c r="F232" i="79"/>
  <c r="B232" i="79"/>
  <c r="A232" i="79"/>
  <c r="D232" i="79"/>
  <c r="G232" i="79" s="1"/>
  <c r="F231" i="79"/>
  <c r="B231" i="79"/>
  <c r="A231" i="79"/>
  <c r="F230" i="79"/>
  <c r="B230" i="79"/>
  <c r="A230" i="79"/>
  <c r="D230" i="79" s="1"/>
  <c r="F229" i="79"/>
  <c r="B229" i="79"/>
  <c r="A229" i="79"/>
  <c r="F228" i="79"/>
  <c r="B228" i="79"/>
  <c r="A228" i="79"/>
  <c r="D228" i="79" s="1"/>
  <c r="F225" i="79"/>
  <c r="B225" i="79"/>
  <c r="A225" i="79"/>
  <c r="F224" i="79"/>
  <c r="B224" i="79"/>
  <c r="A224" i="79"/>
  <c r="C224" i="79" s="1"/>
  <c r="F223" i="79"/>
  <c r="B223" i="79"/>
  <c r="A223" i="79"/>
  <c r="F222" i="79"/>
  <c r="B222" i="79"/>
  <c r="A222" i="79"/>
  <c r="D222" i="79" s="1"/>
  <c r="F221" i="79"/>
  <c r="B221" i="79"/>
  <c r="A221" i="79"/>
  <c r="F220" i="79"/>
  <c r="B220" i="79"/>
  <c r="A220" i="79"/>
  <c r="D220" i="79" s="1"/>
  <c r="F219" i="79"/>
  <c r="B219" i="79"/>
  <c r="A219" i="79"/>
  <c r="F218" i="79"/>
  <c r="B218" i="79"/>
  <c r="A218" i="79"/>
  <c r="C218" i="79" s="1"/>
  <c r="F217" i="79"/>
  <c r="B217" i="79"/>
  <c r="A217" i="79"/>
  <c r="F216" i="79"/>
  <c r="B216" i="79"/>
  <c r="A216" i="79"/>
  <c r="C216" i="79" s="1"/>
  <c r="F215" i="79"/>
  <c r="B215" i="79"/>
  <c r="A215" i="79"/>
  <c r="F214" i="79"/>
  <c r="B214" i="79"/>
  <c r="A214" i="79"/>
  <c r="F213" i="79"/>
  <c r="B213" i="79"/>
  <c r="A213" i="79"/>
  <c r="D213" i="79" s="1"/>
  <c r="F212" i="79"/>
  <c r="B212" i="79"/>
  <c r="A212" i="79"/>
  <c r="D212" i="79" s="1"/>
  <c r="F211" i="79"/>
  <c r="B211" i="79"/>
  <c r="A211" i="79"/>
  <c r="F210" i="79"/>
  <c r="B210" i="79"/>
  <c r="A210" i="79"/>
  <c r="D210" i="79" s="1"/>
  <c r="F209" i="79"/>
  <c r="B209" i="79"/>
  <c r="A209" i="79"/>
  <c r="D209" i="79" s="1"/>
  <c r="F208" i="79"/>
  <c r="B208" i="79"/>
  <c r="A208" i="79"/>
  <c r="G729" i="79"/>
  <c r="F729" i="79"/>
  <c r="B729" i="79"/>
  <c r="A729" i="79"/>
  <c r="D729" i="79" s="1"/>
  <c r="F728" i="79"/>
  <c r="B728" i="79"/>
  <c r="A728" i="79"/>
  <c r="C728" i="79" s="1"/>
  <c r="F727" i="79"/>
  <c r="B727" i="79"/>
  <c r="A727" i="79"/>
  <c r="F726" i="79"/>
  <c r="B726" i="79"/>
  <c r="A726" i="79"/>
  <c r="F725" i="79"/>
  <c r="B725" i="79"/>
  <c r="A725" i="79"/>
  <c r="F724" i="79"/>
  <c r="B724" i="79"/>
  <c r="A724" i="79"/>
  <c r="D724" i="79" s="1"/>
  <c r="F720" i="79"/>
  <c r="B720" i="79"/>
  <c r="A720" i="79"/>
  <c r="F719" i="79"/>
  <c r="B719" i="79"/>
  <c r="A719" i="79"/>
  <c r="D719" i="79" s="1"/>
  <c r="F718" i="79"/>
  <c r="B718" i="79"/>
  <c r="A718" i="79"/>
  <c r="F717" i="79"/>
  <c r="G717" i="79" s="1"/>
  <c r="B717" i="79"/>
  <c r="A717" i="79"/>
  <c r="D717" i="79" s="1"/>
  <c r="F716" i="79"/>
  <c r="B716" i="79"/>
  <c r="A716" i="79"/>
  <c r="C716" i="79" s="1"/>
  <c r="F715" i="79"/>
  <c r="B715" i="79"/>
  <c r="A715" i="79"/>
  <c r="F714" i="79"/>
  <c r="B714" i="79"/>
  <c r="A714" i="79"/>
  <c r="F713" i="79"/>
  <c r="B713" i="79"/>
  <c r="A713" i="79"/>
  <c r="F712" i="79"/>
  <c r="B712" i="79"/>
  <c r="A712" i="79"/>
  <c r="F711" i="79"/>
  <c r="B711" i="79"/>
  <c r="A711" i="79"/>
  <c r="C711" i="79" s="1"/>
  <c r="F710" i="79"/>
  <c r="B710" i="79"/>
  <c r="A710" i="79"/>
  <c r="F709" i="79"/>
  <c r="G709" i="79" s="1"/>
  <c r="B709" i="79"/>
  <c r="A709" i="79"/>
  <c r="C709" i="79" s="1"/>
  <c r="F708" i="79"/>
  <c r="B708" i="79"/>
  <c r="A708" i="79"/>
  <c r="F707" i="79"/>
  <c r="B707" i="79"/>
  <c r="A707" i="79"/>
  <c r="F706" i="79"/>
  <c r="B706" i="79"/>
  <c r="A706" i="79"/>
  <c r="F705" i="79"/>
  <c r="B705" i="79"/>
  <c r="A705" i="79"/>
  <c r="F704" i="79"/>
  <c r="B704" i="79"/>
  <c r="A704" i="79"/>
  <c r="F703" i="79"/>
  <c r="B703" i="79"/>
  <c r="A703" i="79"/>
  <c r="D703" i="79" s="1"/>
  <c r="F648" i="79"/>
  <c r="B648" i="79"/>
  <c r="A648" i="79"/>
  <c r="F647" i="79"/>
  <c r="B647" i="79"/>
  <c r="A647" i="79"/>
  <c r="F646" i="79"/>
  <c r="B646" i="79"/>
  <c r="A646" i="79"/>
  <c r="D646" i="79"/>
  <c r="F645" i="79"/>
  <c r="B645" i="79"/>
  <c r="A645" i="79"/>
  <c r="F644" i="79"/>
  <c r="B644" i="79"/>
  <c r="A644" i="79"/>
  <c r="C644" i="79" s="1"/>
  <c r="F643" i="79"/>
  <c r="B643" i="79"/>
  <c r="A643" i="79"/>
  <c r="F642" i="79"/>
  <c r="B642" i="79"/>
  <c r="A642" i="79"/>
  <c r="C642" i="79"/>
  <c r="F641" i="79"/>
  <c r="B641" i="79"/>
  <c r="A641" i="79"/>
  <c r="C641" i="79" s="1"/>
  <c r="F640" i="79"/>
  <c r="B640" i="79"/>
  <c r="A640" i="79"/>
  <c r="C640" i="79" s="1"/>
  <c r="F639" i="79"/>
  <c r="B639" i="79"/>
  <c r="A639" i="79"/>
  <c r="F638" i="79"/>
  <c r="B638" i="79"/>
  <c r="A638" i="79"/>
  <c r="F637" i="79"/>
  <c r="B637" i="79"/>
  <c r="A637" i="79"/>
  <c r="C637" i="79" s="1"/>
  <c r="F636" i="79"/>
  <c r="B636" i="79"/>
  <c r="A636" i="79"/>
  <c r="C636" i="79" s="1"/>
  <c r="F635" i="79"/>
  <c r="B635" i="79"/>
  <c r="A635" i="79"/>
  <c r="F634" i="79"/>
  <c r="B634" i="79"/>
  <c r="A634" i="79"/>
  <c r="F633" i="79"/>
  <c r="B633" i="79"/>
  <c r="A633" i="79"/>
  <c r="F632" i="79"/>
  <c r="B632" i="79"/>
  <c r="A632" i="79"/>
  <c r="C632" i="79" s="1"/>
  <c r="F631" i="79"/>
  <c r="B631" i="79"/>
  <c r="A631" i="79"/>
  <c r="F630" i="79"/>
  <c r="B630" i="79"/>
  <c r="A630" i="79"/>
  <c r="F629" i="79"/>
  <c r="B629" i="79"/>
  <c r="A629" i="79"/>
  <c r="F628" i="79"/>
  <c r="B628" i="79"/>
  <c r="A628" i="79"/>
  <c r="F627" i="79"/>
  <c r="B627" i="79"/>
  <c r="A627" i="79"/>
  <c r="F626" i="79"/>
  <c r="B626" i="79"/>
  <c r="A626" i="79"/>
  <c r="D626" i="79" s="1"/>
  <c r="G626" i="79" s="1"/>
  <c r="F625" i="79"/>
  <c r="B625" i="79"/>
  <c r="A625" i="79"/>
  <c r="F624" i="79"/>
  <c r="B624" i="79"/>
  <c r="A624" i="79"/>
  <c r="C624" i="79" s="1"/>
  <c r="F623" i="79"/>
  <c r="B623" i="79"/>
  <c r="A623" i="79"/>
  <c r="F622" i="79"/>
  <c r="B622" i="79"/>
  <c r="A622" i="79"/>
  <c r="D622" i="79" s="1"/>
  <c r="F621" i="79"/>
  <c r="B621" i="79"/>
  <c r="A621" i="79"/>
  <c r="F592" i="79"/>
  <c r="B592" i="79"/>
  <c r="A592" i="79"/>
  <c r="F591" i="79"/>
  <c r="B591" i="79"/>
  <c r="A591" i="79"/>
  <c r="F590" i="79"/>
  <c r="B590" i="79"/>
  <c r="A590" i="79"/>
  <c r="F589" i="79"/>
  <c r="B589" i="79"/>
  <c r="A589" i="79"/>
  <c r="C589" i="79" s="1"/>
  <c r="F588" i="79"/>
  <c r="G588" i="79" s="1"/>
  <c r="B588" i="79"/>
  <c r="A588" i="79"/>
  <c r="C588" i="79"/>
  <c r="F587" i="79"/>
  <c r="B587" i="79"/>
  <c r="A587" i="79"/>
  <c r="D587" i="79"/>
  <c r="F586" i="79"/>
  <c r="B586" i="79"/>
  <c r="A586" i="79"/>
  <c r="C586" i="79"/>
  <c r="F585" i="79"/>
  <c r="B585" i="79"/>
  <c r="A585" i="79"/>
  <c r="D585" i="79"/>
  <c r="G585" i="79" s="1"/>
  <c r="F584" i="79"/>
  <c r="B584" i="79"/>
  <c r="A584" i="79"/>
  <c r="D584" i="79" s="1"/>
  <c r="F583" i="79"/>
  <c r="B583" i="79"/>
  <c r="A583" i="79"/>
  <c r="C583" i="79" s="1"/>
  <c r="F582" i="79"/>
  <c r="B582" i="79"/>
  <c r="A582" i="79"/>
  <c r="F581" i="79"/>
  <c r="B581" i="79"/>
  <c r="A581" i="79"/>
  <c r="D581" i="79" s="1"/>
  <c r="F580" i="79"/>
  <c r="B580" i="79"/>
  <c r="A580" i="79"/>
  <c r="F579" i="79"/>
  <c r="B579" i="79"/>
  <c r="A579" i="79"/>
  <c r="D579" i="79" s="1"/>
  <c r="F578" i="79"/>
  <c r="B578" i="79"/>
  <c r="A578" i="79"/>
  <c r="F577" i="79"/>
  <c r="B577" i="79"/>
  <c r="A577" i="79"/>
  <c r="F576" i="79"/>
  <c r="B576" i="79"/>
  <c r="A576" i="79"/>
  <c r="F575" i="79"/>
  <c r="B575" i="79"/>
  <c r="A575" i="79"/>
  <c r="C575" i="79" s="1"/>
  <c r="F574" i="79"/>
  <c r="B574" i="79"/>
  <c r="A574" i="79"/>
  <c r="F573" i="79"/>
  <c r="B573" i="79"/>
  <c r="A573" i="79"/>
  <c r="F572" i="79"/>
  <c r="B572" i="79"/>
  <c r="A572" i="79"/>
  <c r="C572" i="79"/>
  <c r="F571" i="79"/>
  <c r="B571" i="79"/>
  <c r="A571" i="79"/>
  <c r="F570" i="79"/>
  <c r="B570" i="79"/>
  <c r="A570" i="79"/>
  <c r="D570" i="79" s="1"/>
  <c r="F569" i="79"/>
  <c r="B569" i="79"/>
  <c r="A569" i="79"/>
  <c r="F568" i="79"/>
  <c r="B568" i="79"/>
  <c r="A568" i="79"/>
  <c r="C568" i="79" s="1"/>
  <c r="F567" i="79"/>
  <c r="B567" i="79"/>
  <c r="A567" i="79"/>
  <c r="D567" i="79" s="1"/>
  <c r="F566" i="79"/>
  <c r="B566" i="79"/>
  <c r="A566" i="79"/>
  <c r="C566" i="79" s="1"/>
  <c r="F565" i="79"/>
  <c r="B565" i="79"/>
  <c r="A565" i="79"/>
  <c r="F564" i="79"/>
  <c r="B564" i="79"/>
  <c r="A564" i="79"/>
  <c r="F563" i="79"/>
  <c r="B563" i="79"/>
  <c r="A563" i="79"/>
  <c r="F562" i="79"/>
  <c r="B562" i="79"/>
  <c r="A562" i="79"/>
  <c r="C562" i="79" s="1"/>
  <c r="F561" i="79"/>
  <c r="B561" i="79"/>
  <c r="A561" i="79"/>
  <c r="D561" i="79" s="1"/>
  <c r="F442" i="79"/>
  <c r="B442" i="79"/>
  <c r="A442" i="79"/>
  <c r="F441" i="79"/>
  <c r="B441" i="79"/>
  <c r="A441" i="79"/>
  <c r="F440" i="79"/>
  <c r="B440" i="79"/>
  <c r="A440" i="79"/>
  <c r="D440" i="79" s="1"/>
  <c r="F439" i="79"/>
  <c r="B439" i="79"/>
  <c r="A439" i="79"/>
  <c r="F438" i="79"/>
  <c r="B438" i="79"/>
  <c r="A438" i="79"/>
  <c r="C438" i="79" s="1"/>
  <c r="F437" i="79"/>
  <c r="B437" i="79"/>
  <c r="A437" i="79"/>
  <c r="D437" i="79" s="1"/>
  <c r="F436" i="79"/>
  <c r="B436" i="79"/>
  <c r="A436" i="79"/>
  <c r="F435" i="79"/>
  <c r="B435" i="79"/>
  <c r="A435" i="79"/>
  <c r="C435" i="79" s="1"/>
  <c r="F434" i="79"/>
  <c r="B434" i="79"/>
  <c r="A434" i="79"/>
  <c r="F433" i="79"/>
  <c r="B433" i="79"/>
  <c r="A433" i="79"/>
  <c r="D433" i="79" s="1"/>
  <c r="F432" i="79"/>
  <c r="B432" i="79"/>
  <c r="A432" i="79"/>
  <c r="F431" i="79"/>
  <c r="B431" i="79"/>
  <c r="A431" i="79"/>
  <c r="D431" i="79" s="1"/>
  <c r="F430" i="79"/>
  <c r="B430" i="79"/>
  <c r="A430" i="79"/>
  <c r="D430" i="79" s="1"/>
  <c r="F429" i="79"/>
  <c r="B429" i="79"/>
  <c r="A429" i="79"/>
  <c r="D429" i="79" s="1"/>
  <c r="F428" i="79"/>
  <c r="B428" i="79"/>
  <c r="A428" i="79"/>
  <c r="F427" i="79"/>
  <c r="B427" i="79"/>
  <c r="A427" i="79"/>
  <c r="C427" i="79" s="1"/>
  <c r="F426" i="79"/>
  <c r="B426" i="79"/>
  <c r="A426" i="79"/>
  <c r="F425" i="79"/>
  <c r="B425" i="79"/>
  <c r="A425" i="79"/>
  <c r="F424" i="79"/>
  <c r="B424" i="79"/>
  <c r="A424" i="79"/>
  <c r="C424" i="79" s="1"/>
  <c r="F423" i="79"/>
  <c r="B423" i="79"/>
  <c r="A423" i="79"/>
  <c r="F422" i="79"/>
  <c r="B422" i="79"/>
  <c r="A422" i="79"/>
  <c r="D422" i="79" s="1"/>
  <c r="F421" i="79"/>
  <c r="B421" i="79"/>
  <c r="A421" i="79"/>
  <c r="D421" i="79" s="1"/>
  <c r="F420" i="79"/>
  <c r="B420" i="79"/>
  <c r="A420" i="79"/>
  <c r="F419" i="79"/>
  <c r="B419" i="79"/>
  <c r="A419" i="79"/>
  <c r="D419" i="79"/>
  <c r="F418" i="79"/>
  <c r="B418" i="79"/>
  <c r="A418" i="79"/>
  <c r="D418" i="79" s="1"/>
  <c r="F417" i="79"/>
  <c r="B417" i="79"/>
  <c r="A417" i="79"/>
  <c r="D417" i="79" s="1"/>
  <c r="F416" i="79"/>
  <c r="B416" i="79"/>
  <c r="A416" i="79"/>
  <c r="C416" i="79" s="1"/>
  <c r="F415" i="79"/>
  <c r="B415" i="79"/>
  <c r="A415" i="79"/>
  <c r="F414" i="79"/>
  <c r="B414" i="79"/>
  <c r="A414" i="79"/>
  <c r="C414" i="79"/>
  <c r="F413" i="79"/>
  <c r="B413" i="79"/>
  <c r="A413" i="79"/>
  <c r="F412" i="79"/>
  <c r="B412" i="79"/>
  <c r="A412" i="79"/>
  <c r="C412" i="79"/>
  <c r="F411" i="79"/>
  <c r="B411" i="79"/>
  <c r="A411" i="79"/>
  <c r="F410" i="79"/>
  <c r="B410" i="79"/>
  <c r="A410" i="79"/>
  <c r="D410" i="79" s="1"/>
  <c r="F409" i="79"/>
  <c r="B409" i="79"/>
  <c r="A409" i="79"/>
  <c r="C409" i="79" s="1"/>
  <c r="F408" i="79"/>
  <c r="B408" i="79"/>
  <c r="A408" i="79"/>
  <c r="D408" i="79" s="1"/>
  <c r="F407" i="79"/>
  <c r="B407" i="79"/>
  <c r="A407" i="79"/>
  <c r="F406" i="79"/>
  <c r="B406" i="79"/>
  <c r="A406" i="79"/>
  <c r="D406" i="79" s="1"/>
  <c r="C406" i="79"/>
  <c r="F405" i="79"/>
  <c r="B405" i="79"/>
  <c r="A405" i="79"/>
  <c r="D405" i="79" s="1"/>
  <c r="F404" i="79"/>
  <c r="B404" i="79"/>
  <c r="A404" i="79"/>
  <c r="C404" i="79" s="1"/>
  <c r="F403" i="79"/>
  <c r="B403" i="79"/>
  <c r="A403" i="79"/>
  <c r="F402" i="79"/>
  <c r="B402" i="79"/>
  <c r="A402" i="79"/>
  <c r="D402" i="79" s="1"/>
  <c r="F401" i="79"/>
  <c r="B401" i="79"/>
  <c r="A401" i="79"/>
  <c r="C401" i="79" s="1"/>
  <c r="F400" i="79"/>
  <c r="B400" i="79"/>
  <c r="A400" i="79"/>
  <c r="C400" i="79" s="1"/>
  <c r="F399" i="79"/>
  <c r="B399" i="79"/>
  <c r="A399" i="79"/>
  <c r="F398" i="79"/>
  <c r="B398" i="79"/>
  <c r="A398" i="79"/>
  <c r="F397" i="79"/>
  <c r="B397" i="79"/>
  <c r="A397" i="79"/>
  <c r="F396" i="79"/>
  <c r="B396" i="79"/>
  <c r="A396" i="79"/>
  <c r="C396" i="79" s="1"/>
  <c r="F395" i="79"/>
  <c r="B395" i="79"/>
  <c r="A395" i="79"/>
  <c r="D395" i="79" s="1"/>
  <c r="F394" i="79"/>
  <c r="B394" i="79"/>
  <c r="A394" i="79"/>
  <c r="F393" i="79"/>
  <c r="B393" i="79"/>
  <c r="A393" i="79"/>
  <c r="F392" i="79"/>
  <c r="B392" i="79"/>
  <c r="A392" i="79"/>
  <c r="C392" i="79" s="1"/>
  <c r="F391" i="79"/>
  <c r="B391" i="79"/>
  <c r="A391" i="79"/>
  <c r="F390" i="79"/>
  <c r="B390" i="79"/>
  <c r="A390" i="79"/>
  <c r="F389" i="79"/>
  <c r="B389" i="79"/>
  <c r="A389" i="79"/>
  <c r="C389" i="79" s="1"/>
  <c r="F388" i="79"/>
  <c r="B388" i="79"/>
  <c r="A388" i="79"/>
  <c r="D388" i="79" s="1"/>
  <c r="G388" i="79" s="1"/>
  <c r="F387" i="79"/>
  <c r="B387" i="79"/>
  <c r="A387" i="79"/>
  <c r="F386" i="79"/>
  <c r="B386" i="79"/>
  <c r="A386" i="79"/>
  <c r="D386" i="79" s="1"/>
  <c r="G386" i="79" s="1"/>
  <c r="F207" i="79"/>
  <c r="B207" i="79"/>
  <c r="A207" i="79"/>
  <c r="F206" i="79"/>
  <c r="B206" i="79"/>
  <c r="A206" i="79"/>
  <c r="C206" i="79" s="1"/>
  <c r="F205" i="79"/>
  <c r="B205" i="79"/>
  <c r="A205" i="79"/>
  <c r="F204" i="79"/>
  <c r="B204" i="79"/>
  <c r="A204" i="79"/>
  <c r="D204" i="79" s="1"/>
  <c r="F203" i="79"/>
  <c r="B203" i="79"/>
  <c r="A203" i="79"/>
  <c r="F202" i="79"/>
  <c r="B202" i="79"/>
  <c r="A202" i="79"/>
  <c r="C202" i="79" s="1"/>
  <c r="F201" i="79"/>
  <c r="B201" i="79"/>
  <c r="A201" i="79"/>
  <c r="F200" i="79"/>
  <c r="B200" i="79"/>
  <c r="A200" i="79"/>
  <c r="C200" i="79" s="1"/>
  <c r="F199" i="79"/>
  <c r="B199" i="79"/>
  <c r="A199" i="79"/>
  <c r="C199" i="79" s="1"/>
  <c r="F198" i="79"/>
  <c r="B198" i="79"/>
  <c r="A198" i="79"/>
  <c r="F197" i="79"/>
  <c r="B197" i="79"/>
  <c r="A197" i="79"/>
  <c r="F196" i="79"/>
  <c r="B196" i="79"/>
  <c r="A196" i="79"/>
  <c r="D196" i="79" s="1"/>
  <c r="F195" i="79"/>
  <c r="B195" i="79"/>
  <c r="A195" i="79"/>
  <c r="C195" i="79" s="1"/>
  <c r="F194" i="79"/>
  <c r="B194" i="79"/>
  <c r="A194" i="79"/>
  <c r="C194" i="79" s="1"/>
  <c r="F193" i="79"/>
  <c r="B193" i="79"/>
  <c r="A193" i="79"/>
  <c r="D193" i="79" s="1"/>
  <c r="F192" i="79"/>
  <c r="B192" i="79"/>
  <c r="A192" i="79"/>
  <c r="D192" i="79" s="1"/>
  <c r="F191" i="79"/>
  <c r="B191" i="79"/>
  <c r="A191" i="79"/>
  <c r="F190" i="79"/>
  <c r="B190" i="79"/>
  <c r="A190" i="79"/>
  <c r="F189" i="79"/>
  <c r="B189" i="79"/>
  <c r="A189" i="79"/>
  <c r="F188" i="79"/>
  <c r="B188" i="79"/>
  <c r="A188" i="79"/>
  <c r="C188" i="79" s="1"/>
  <c r="F187" i="79"/>
  <c r="B187" i="79"/>
  <c r="A187" i="79"/>
  <c r="D187" i="79" s="1"/>
  <c r="F186" i="79"/>
  <c r="B186" i="79"/>
  <c r="A186" i="79"/>
  <c r="F185" i="79"/>
  <c r="B185" i="79"/>
  <c r="A185" i="79"/>
  <c r="D185" i="79" s="1"/>
  <c r="F184" i="79"/>
  <c r="B184" i="79"/>
  <c r="A184" i="79"/>
  <c r="F183" i="79"/>
  <c r="B183" i="79"/>
  <c r="A183" i="79"/>
  <c r="F182" i="79"/>
  <c r="B182" i="79"/>
  <c r="A182" i="79"/>
  <c r="C182" i="79" s="1"/>
  <c r="F180" i="79"/>
  <c r="B180" i="79"/>
  <c r="A180" i="79"/>
  <c r="F179" i="79"/>
  <c r="B179" i="79"/>
  <c r="A179" i="79"/>
  <c r="D179" i="79" s="1"/>
  <c r="G179" i="79" s="1"/>
  <c r="F178" i="79"/>
  <c r="B178" i="79"/>
  <c r="A178" i="79"/>
  <c r="F177" i="79"/>
  <c r="B177" i="79"/>
  <c r="A177" i="79"/>
  <c r="F176" i="79"/>
  <c r="B176" i="79"/>
  <c r="A176" i="79"/>
  <c r="F175" i="79"/>
  <c r="B175" i="79"/>
  <c r="A175" i="79"/>
  <c r="C175" i="79" s="1"/>
  <c r="F174" i="79"/>
  <c r="B174" i="79"/>
  <c r="A174" i="79"/>
  <c r="F173" i="79"/>
  <c r="B173" i="79"/>
  <c r="A173" i="79"/>
  <c r="F172" i="79"/>
  <c r="B172" i="79"/>
  <c r="A172" i="79"/>
  <c r="F171" i="79"/>
  <c r="B171" i="79"/>
  <c r="A171" i="79"/>
  <c r="C171" i="79" s="1"/>
  <c r="F170" i="79"/>
  <c r="B170" i="79"/>
  <c r="A170" i="79"/>
  <c r="F169" i="79"/>
  <c r="B169" i="79"/>
  <c r="A169" i="79"/>
  <c r="C169" i="79"/>
  <c r="F168" i="79"/>
  <c r="B168" i="79"/>
  <c r="A168" i="79"/>
  <c r="F167" i="79"/>
  <c r="B167" i="79"/>
  <c r="A167" i="79"/>
  <c r="D167" i="79" s="1"/>
  <c r="F166" i="79"/>
  <c r="B166" i="79"/>
  <c r="A166" i="79"/>
  <c r="F165" i="79"/>
  <c r="B165" i="79"/>
  <c r="A165" i="79"/>
  <c r="F164" i="79"/>
  <c r="B164" i="79"/>
  <c r="A164" i="79"/>
  <c r="F163" i="79"/>
  <c r="B163" i="79"/>
  <c r="A163" i="79"/>
  <c r="F162" i="79"/>
  <c r="B162" i="79"/>
  <c r="A162" i="79"/>
  <c r="D162" i="79" s="1"/>
  <c r="F161" i="79"/>
  <c r="B161" i="79"/>
  <c r="A161" i="79"/>
  <c r="C161" i="79" s="1"/>
  <c r="F160" i="79"/>
  <c r="B160" i="79"/>
  <c r="A160" i="79"/>
  <c r="D160" i="79" s="1"/>
  <c r="F159" i="79"/>
  <c r="B159" i="79"/>
  <c r="A159" i="79"/>
  <c r="F158" i="79"/>
  <c r="B158" i="79"/>
  <c r="A158" i="79"/>
  <c r="F157" i="79"/>
  <c r="B157" i="79"/>
  <c r="A157" i="79"/>
  <c r="F156" i="79"/>
  <c r="B156" i="79"/>
  <c r="A156" i="79"/>
  <c r="D156" i="79" s="1"/>
  <c r="F153" i="79"/>
  <c r="B153" i="79"/>
  <c r="A153" i="79"/>
  <c r="F152" i="79"/>
  <c r="B152" i="79"/>
  <c r="A152" i="79"/>
  <c r="D152" i="79" s="1"/>
  <c r="F151" i="79"/>
  <c r="B151" i="79"/>
  <c r="A151" i="79"/>
  <c r="D151" i="79" s="1"/>
  <c r="F150" i="79"/>
  <c r="B150" i="79"/>
  <c r="A150" i="79"/>
  <c r="D150" i="79"/>
  <c r="G150" i="79" s="1"/>
  <c r="F149" i="79"/>
  <c r="B149" i="79"/>
  <c r="A149" i="79"/>
  <c r="F148" i="79"/>
  <c r="B148" i="79"/>
  <c r="A148" i="79"/>
  <c r="F147" i="79"/>
  <c r="B147" i="79"/>
  <c r="A147" i="79"/>
  <c r="D147" i="79" s="1"/>
  <c r="G147" i="79" s="1"/>
  <c r="F146" i="79"/>
  <c r="B146" i="79"/>
  <c r="A146" i="79"/>
  <c r="F145" i="79"/>
  <c r="B145" i="79"/>
  <c r="A145" i="79"/>
  <c r="F144" i="79"/>
  <c r="B144" i="79"/>
  <c r="A144" i="79"/>
  <c r="D144" i="79" s="1"/>
  <c r="F143" i="79"/>
  <c r="B143" i="79"/>
  <c r="A143" i="79"/>
  <c r="F142" i="79"/>
  <c r="B142" i="79"/>
  <c r="A142" i="79"/>
  <c r="D142" i="79" s="1"/>
  <c r="F141" i="79"/>
  <c r="B141" i="79"/>
  <c r="A141" i="79"/>
  <c r="F140" i="79"/>
  <c r="B140" i="79"/>
  <c r="A140" i="79"/>
  <c r="D140" i="79" s="1"/>
  <c r="G140" i="79" s="1"/>
  <c r="F139" i="79"/>
  <c r="B139" i="79"/>
  <c r="A139" i="79"/>
  <c r="F138" i="79"/>
  <c r="B138" i="79"/>
  <c r="A138" i="79"/>
  <c r="F137" i="79"/>
  <c r="B137" i="79"/>
  <c r="A137" i="79"/>
  <c r="F136" i="79"/>
  <c r="B136" i="79"/>
  <c r="A136" i="79"/>
  <c r="G702" i="79"/>
  <c r="F702" i="79"/>
  <c r="B702" i="79"/>
  <c r="A702" i="79"/>
  <c r="F701" i="79"/>
  <c r="B701" i="79"/>
  <c r="A701" i="79"/>
  <c r="C701" i="79" s="1"/>
  <c r="F700" i="79"/>
  <c r="B700" i="79"/>
  <c r="A700" i="79"/>
  <c r="F699" i="79"/>
  <c r="B699" i="79"/>
  <c r="A699" i="79"/>
  <c r="F698" i="79"/>
  <c r="B698" i="79"/>
  <c r="A698" i="79"/>
  <c r="F697" i="79"/>
  <c r="B697" i="79"/>
  <c r="A697" i="79"/>
  <c r="F693" i="79"/>
  <c r="B693" i="79"/>
  <c r="A693" i="79"/>
  <c r="D693" i="79" s="1"/>
  <c r="G693" i="79" s="1"/>
  <c r="F692" i="79"/>
  <c r="B692" i="79"/>
  <c r="A692" i="79"/>
  <c r="F691" i="79"/>
  <c r="B691" i="79"/>
  <c r="A691" i="79"/>
  <c r="C691" i="79"/>
  <c r="F690" i="79"/>
  <c r="B690" i="79"/>
  <c r="A690" i="79"/>
  <c r="C690" i="79" s="1"/>
  <c r="F689" i="79"/>
  <c r="B689" i="79"/>
  <c r="A689" i="79"/>
  <c r="F688" i="79"/>
  <c r="B688" i="79"/>
  <c r="A688" i="79"/>
  <c r="D688" i="79" s="1"/>
  <c r="G688" i="79" s="1"/>
  <c r="F687" i="79"/>
  <c r="B687" i="79"/>
  <c r="A687" i="79"/>
  <c r="F686" i="79"/>
  <c r="B686" i="79"/>
  <c r="A686" i="79"/>
  <c r="F685" i="79"/>
  <c r="B685" i="79"/>
  <c r="A685" i="79"/>
  <c r="C685" i="79" s="1"/>
  <c r="F684" i="79"/>
  <c r="B684" i="79"/>
  <c r="A684" i="79"/>
  <c r="F683" i="79"/>
  <c r="B683" i="79"/>
  <c r="A683" i="79"/>
  <c r="C683" i="79" s="1"/>
  <c r="F682" i="79"/>
  <c r="B682" i="79"/>
  <c r="A682" i="79"/>
  <c r="F681" i="79"/>
  <c r="B681" i="79"/>
  <c r="A681" i="79"/>
  <c r="C681" i="79" s="1"/>
  <c r="F680" i="79"/>
  <c r="B680" i="79"/>
  <c r="A680" i="79"/>
  <c r="D680" i="79" s="1"/>
  <c r="F679" i="79"/>
  <c r="B679" i="79"/>
  <c r="A679" i="79"/>
  <c r="F678" i="79"/>
  <c r="B678" i="79"/>
  <c r="A678" i="79"/>
  <c r="C678" i="79" s="1"/>
  <c r="F677" i="79"/>
  <c r="B677" i="79"/>
  <c r="A677" i="79"/>
  <c r="C677" i="79"/>
  <c r="F676" i="79"/>
  <c r="B676" i="79"/>
  <c r="A676" i="79"/>
  <c r="D676" i="79"/>
  <c r="F385" i="79"/>
  <c r="B385" i="79"/>
  <c r="A385" i="79"/>
  <c r="D385" i="79" s="1"/>
  <c r="F384" i="79"/>
  <c r="B384" i="79"/>
  <c r="A384" i="79"/>
  <c r="F383" i="79"/>
  <c r="B383" i="79"/>
  <c r="A383" i="79"/>
  <c r="C383" i="79" s="1"/>
  <c r="F382" i="79"/>
  <c r="B382" i="79"/>
  <c r="A382" i="79"/>
  <c r="F381" i="79"/>
  <c r="B381" i="79"/>
  <c r="A381" i="79"/>
  <c r="D381" i="79" s="1"/>
  <c r="F380" i="79"/>
  <c r="B380" i="79"/>
  <c r="A380" i="79"/>
  <c r="F379" i="79"/>
  <c r="B379" i="79"/>
  <c r="A379" i="79"/>
  <c r="F378" i="79"/>
  <c r="B378" i="79"/>
  <c r="A378" i="79"/>
  <c r="F377" i="79"/>
  <c r="B377" i="79"/>
  <c r="A377" i="79"/>
  <c r="C377" i="79" s="1"/>
  <c r="F376" i="79"/>
  <c r="B376" i="79"/>
  <c r="A376" i="79"/>
  <c r="C376" i="79" s="1"/>
  <c r="F375" i="79"/>
  <c r="B375" i="79"/>
  <c r="A375" i="79"/>
  <c r="F374" i="79"/>
  <c r="B374" i="79"/>
  <c r="A374" i="79"/>
  <c r="F373" i="79"/>
  <c r="B373" i="79"/>
  <c r="A373" i="79"/>
  <c r="D373" i="79"/>
  <c r="F372" i="79"/>
  <c r="B372" i="79"/>
  <c r="A372" i="79"/>
  <c r="D372" i="79"/>
  <c r="F371" i="79"/>
  <c r="B371" i="79"/>
  <c r="A371" i="79"/>
  <c r="C371" i="79"/>
  <c r="F370" i="79"/>
  <c r="B370" i="79"/>
  <c r="A370" i="79"/>
  <c r="D370" i="79"/>
  <c r="F369" i="79"/>
  <c r="B369" i="79"/>
  <c r="A369" i="79"/>
  <c r="C369" i="79"/>
  <c r="F368" i="79"/>
  <c r="B368" i="79"/>
  <c r="A368" i="79"/>
  <c r="C368" i="79"/>
  <c r="F367" i="79"/>
  <c r="B367" i="79"/>
  <c r="A367" i="79"/>
  <c r="F366" i="79"/>
  <c r="B366" i="79"/>
  <c r="A366" i="79"/>
  <c r="F365" i="79"/>
  <c r="B365" i="79"/>
  <c r="A365" i="79"/>
  <c r="F364" i="79"/>
  <c r="B364" i="79"/>
  <c r="A364" i="79"/>
  <c r="C364" i="79" s="1"/>
  <c r="F363" i="79"/>
  <c r="B363" i="79"/>
  <c r="A363" i="79"/>
  <c r="D363" i="79" s="1"/>
  <c r="F362" i="79"/>
  <c r="B362" i="79"/>
  <c r="A362" i="79"/>
  <c r="C362" i="79" s="1"/>
  <c r="F361" i="79"/>
  <c r="B361" i="79"/>
  <c r="A361" i="79"/>
  <c r="C361" i="79" s="1"/>
  <c r="F360" i="79"/>
  <c r="B360" i="79"/>
  <c r="A360" i="79"/>
  <c r="F359" i="79"/>
  <c r="B359" i="79"/>
  <c r="A359" i="79"/>
  <c r="D359" i="79" s="1"/>
  <c r="F358" i="79"/>
  <c r="B358" i="79"/>
  <c r="A358" i="79"/>
  <c r="C358" i="79" s="1"/>
  <c r="F357" i="79"/>
  <c r="B357" i="79"/>
  <c r="A357" i="79"/>
  <c r="F356" i="79"/>
  <c r="B356" i="79"/>
  <c r="A356" i="79"/>
  <c r="F355" i="79"/>
  <c r="B355" i="79"/>
  <c r="A355" i="79"/>
  <c r="F354" i="79"/>
  <c r="B354" i="79"/>
  <c r="A354" i="79"/>
  <c r="C354" i="79" s="1"/>
  <c r="F353" i="79"/>
  <c r="B353" i="79"/>
  <c r="A353" i="79"/>
  <c r="D353" i="79" s="1"/>
  <c r="F352" i="79"/>
  <c r="B352" i="79"/>
  <c r="A352" i="79"/>
  <c r="F351" i="79"/>
  <c r="B351" i="79"/>
  <c r="A351" i="79"/>
  <c r="F350" i="79"/>
  <c r="B350" i="79"/>
  <c r="A350" i="79"/>
  <c r="D350" i="79" s="1"/>
  <c r="F349" i="79"/>
  <c r="B349" i="79"/>
  <c r="A349" i="79"/>
  <c r="F348" i="79"/>
  <c r="B348" i="79"/>
  <c r="A348" i="79"/>
  <c r="C348" i="79" s="1"/>
  <c r="F347" i="79"/>
  <c r="B347" i="79"/>
  <c r="A347" i="79"/>
  <c r="F346" i="79"/>
  <c r="B346" i="79"/>
  <c r="A346" i="79"/>
  <c r="F345" i="79"/>
  <c r="B345" i="79"/>
  <c r="A345" i="79"/>
  <c r="F344" i="79"/>
  <c r="B344" i="79"/>
  <c r="A344" i="79"/>
  <c r="D344" i="79" s="1"/>
  <c r="F343" i="79"/>
  <c r="G343" i="79" s="1"/>
  <c r="B343" i="79"/>
  <c r="A343" i="79"/>
  <c r="D343" i="79" s="1"/>
  <c r="F342" i="79"/>
  <c r="B342" i="79"/>
  <c r="A342" i="79"/>
  <c r="F341" i="79"/>
  <c r="B341" i="79"/>
  <c r="A341" i="79"/>
  <c r="F340" i="79"/>
  <c r="B340" i="79"/>
  <c r="A340" i="79"/>
  <c r="F135" i="79"/>
  <c r="B135" i="79"/>
  <c r="A135" i="79"/>
  <c r="F134" i="79"/>
  <c r="B134" i="79"/>
  <c r="A134" i="79"/>
  <c r="C134" i="79" s="1"/>
  <c r="F133" i="79"/>
  <c r="B133" i="79"/>
  <c r="A133" i="79"/>
  <c r="D133" i="79" s="1"/>
  <c r="F132" i="79"/>
  <c r="B132" i="79"/>
  <c r="A132" i="79"/>
  <c r="C132" i="79" s="1"/>
  <c r="F131" i="79"/>
  <c r="G131" i="79" s="1"/>
  <c r="B131" i="79"/>
  <c r="A131" i="79"/>
  <c r="D131" i="79" s="1"/>
  <c r="F130" i="79"/>
  <c r="B130" i="79"/>
  <c r="A130" i="79"/>
  <c r="F129" i="79"/>
  <c r="B129" i="79"/>
  <c r="A129" i="79"/>
  <c r="F128" i="79"/>
  <c r="B128" i="79"/>
  <c r="A128" i="79"/>
  <c r="F127" i="79"/>
  <c r="B127" i="79"/>
  <c r="A127" i="79"/>
  <c r="D127" i="79" s="1"/>
  <c r="F126" i="79"/>
  <c r="B126" i="79"/>
  <c r="A126" i="79"/>
  <c r="D126" i="79" s="1"/>
  <c r="F125" i="79"/>
  <c r="B125" i="79"/>
  <c r="A125" i="79"/>
  <c r="F124" i="79"/>
  <c r="B124" i="79"/>
  <c r="A124" i="79"/>
  <c r="F123" i="79"/>
  <c r="B123" i="79"/>
  <c r="A123" i="79"/>
  <c r="D123" i="79" s="1"/>
  <c r="F122" i="79"/>
  <c r="B122" i="79"/>
  <c r="A122" i="79"/>
  <c r="F121" i="79"/>
  <c r="B121" i="79"/>
  <c r="A121" i="79"/>
  <c r="F120" i="79"/>
  <c r="B120" i="79"/>
  <c r="A120" i="79"/>
  <c r="F119" i="79"/>
  <c r="B119" i="79"/>
  <c r="A119" i="79"/>
  <c r="D119" i="79"/>
  <c r="F118" i="79"/>
  <c r="B118" i="79"/>
  <c r="A118" i="79"/>
  <c r="F117" i="79"/>
  <c r="B117" i="79"/>
  <c r="A117" i="79"/>
  <c r="F116" i="79"/>
  <c r="B116" i="79"/>
  <c r="A116" i="79"/>
  <c r="F115" i="79"/>
  <c r="B115" i="79"/>
  <c r="A115" i="79"/>
  <c r="C115" i="79" s="1"/>
  <c r="F114" i="79"/>
  <c r="B114" i="79"/>
  <c r="A114" i="79"/>
  <c r="D114" i="79"/>
  <c r="F113" i="79"/>
  <c r="B113" i="79"/>
  <c r="A113" i="79"/>
  <c r="C113" i="79"/>
  <c r="F112" i="79"/>
  <c r="B112" i="79"/>
  <c r="A112" i="79"/>
  <c r="D112" i="79"/>
  <c r="F111" i="79"/>
  <c r="G111" i="79" s="1"/>
  <c r="B111" i="79"/>
  <c r="A111" i="79"/>
  <c r="D111" i="79"/>
  <c r="F110" i="79"/>
  <c r="B110" i="79"/>
  <c r="A110" i="79"/>
  <c r="D110" i="79"/>
  <c r="F109" i="79"/>
  <c r="B109" i="79"/>
  <c r="A109" i="79"/>
  <c r="F108" i="79"/>
  <c r="B108" i="79"/>
  <c r="A108" i="79"/>
  <c r="F107" i="79"/>
  <c r="B107" i="79"/>
  <c r="A107" i="79"/>
  <c r="F106" i="79"/>
  <c r="B106" i="79"/>
  <c r="A106" i="79"/>
  <c r="D106" i="79" s="1"/>
  <c r="F105" i="79"/>
  <c r="B105" i="79"/>
  <c r="A105" i="79"/>
  <c r="C105" i="79" s="1"/>
  <c r="F104" i="79"/>
  <c r="B104" i="79"/>
  <c r="A104" i="79"/>
  <c r="D104" i="79" s="1"/>
  <c r="F103" i="79"/>
  <c r="B103" i="79"/>
  <c r="A103" i="79"/>
  <c r="F102" i="79"/>
  <c r="B102" i="79"/>
  <c r="A102" i="79"/>
  <c r="F101" i="79"/>
  <c r="B101" i="79"/>
  <c r="A101" i="79"/>
  <c r="F100" i="79"/>
  <c r="B100" i="79"/>
  <c r="A100" i="79"/>
  <c r="F99" i="79"/>
  <c r="B99" i="79"/>
  <c r="A99" i="79"/>
  <c r="C99" i="79" s="1"/>
  <c r="F98" i="79"/>
  <c r="B98" i="79"/>
  <c r="A98" i="79"/>
  <c r="F97" i="79"/>
  <c r="B97" i="79"/>
  <c r="A97" i="79"/>
  <c r="F96" i="79"/>
  <c r="B96" i="79"/>
  <c r="A96" i="79"/>
  <c r="D96" i="79" s="1"/>
  <c r="F95" i="79"/>
  <c r="B95" i="79"/>
  <c r="A95" i="79"/>
  <c r="F94" i="79"/>
  <c r="B94" i="79"/>
  <c r="A94" i="79"/>
  <c r="F93" i="79"/>
  <c r="B93" i="79"/>
  <c r="A93" i="79"/>
  <c r="D93" i="79" s="1"/>
  <c r="F92" i="79"/>
  <c r="B92" i="79"/>
  <c r="A92" i="79"/>
  <c r="D92" i="79" s="1"/>
  <c r="F91" i="79"/>
  <c r="B91" i="79"/>
  <c r="A91" i="79"/>
  <c r="F90" i="79"/>
  <c r="B90" i="79"/>
  <c r="A90" i="79"/>
  <c r="F87" i="79"/>
  <c r="B87" i="79"/>
  <c r="A87" i="79"/>
  <c r="D87" i="79" s="1"/>
  <c r="F86" i="79"/>
  <c r="B86" i="79"/>
  <c r="A86" i="79"/>
  <c r="F85" i="79"/>
  <c r="B85" i="79"/>
  <c r="A85" i="79"/>
  <c r="F84" i="79"/>
  <c r="B84" i="79"/>
  <c r="A84" i="79"/>
  <c r="D84" i="79" s="1"/>
  <c r="F83" i="79"/>
  <c r="B83" i="79"/>
  <c r="A83" i="79"/>
  <c r="C83" i="79" s="1"/>
  <c r="F82" i="79"/>
  <c r="B82" i="79"/>
  <c r="A82" i="79"/>
  <c r="F81" i="79"/>
  <c r="B81" i="79"/>
  <c r="A81" i="79"/>
  <c r="F80" i="79"/>
  <c r="B80" i="79"/>
  <c r="A80" i="79"/>
  <c r="F79" i="79"/>
  <c r="B79" i="79"/>
  <c r="A79" i="79"/>
  <c r="D79" i="79"/>
  <c r="F78" i="79"/>
  <c r="B78" i="79"/>
  <c r="A78" i="79"/>
  <c r="D78" i="79" s="1"/>
  <c r="G78" i="79" s="1"/>
  <c r="F77" i="79"/>
  <c r="B77" i="79"/>
  <c r="A77" i="79"/>
  <c r="C77" i="79" s="1"/>
  <c r="F76" i="79"/>
  <c r="G76" i="79" s="1"/>
  <c r="B76" i="79"/>
  <c r="A76" i="79"/>
  <c r="D76" i="79" s="1"/>
  <c r="F75" i="79"/>
  <c r="B75" i="79"/>
  <c r="A75" i="79"/>
  <c r="F74" i="79"/>
  <c r="B74" i="79"/>
  <c r="A74" i="79"/>
  <c r="F73" i="79"/>
  <c r="B73" i="79"/>
  <c r="A73" i="79"/>
  <c r="C73" i="79" s="1"/>
  <c r="F72" i="79"/>
  <c r="B72" i="79"/>
  <c r="A72" i="79"/>
  <c r="D72" i="79" s="1"/>
  <c r="G72" i="79" s="1"/>
  <c r="F71" i="79"/>
  <c r="G71" i="79" s="1"/>
  <c r="B71" i="79"/>
  <c r="A71" i="79"/>
  <c r="D71" i="79"/>
  <c r="F70" i="79"/>
  <c r="B70" i="79"/>
  <c r="A70" i="79"/>
  <c r="G675" i="79"/>
  <c r="F675" i="79"/>
  <c r="B675" i="79"/>
  <c r="A675" i="79"/>
  <c r="D675" i="79"/>
  <c r="F674" i="79"/>
  <c r="B674" i="79"/>
  <c r="A674" i="79"/>
  <c r="C674" i="79"/>
  <c r="F673" i="79"/>
  <c r="G673" i="79" s="1"/>
  <c r="B673" i="79"/>
  <c r="A673" i="79"/>
  <c r="C673" i="79"/>
  <c r="F672" i="79"/>
  <c r="B672" i="79"/>
  <c r="A672" i="79"/>
  <c r="D672" i="79"/>
  <c r="F671" i="79"/>
  <c r="B671" i="79"/>
  <c r="A671" i="79"/>
  <c r="F670" i="79"/>
  <c r="B670" i="79"/>
  <c r="A670" i="79"/>
  <c r="C670" i="79" s="1"/>
  <c r="F666" i="79"/>
  <c r="B666" i="79"/>
  <c r="A666" i="79"/>
  <c r="F665" i="79"/>
  <c r="B665" i="79"/>
  <c r="A665" i="79"/>
  <c r="D665" i="79" s="1"/>
  <c r="F664" i="79"/>
  <c r="B664" i="79"/>
  <c r="A664" i="79"/>
  <c r="C664" i="79" s="1"/>
  <c r="F663" i="79"/>
  <c r="G663" i="79" s="1"/>
  <c r="B663" i="79"/>
  <c r="A663" i="79"/>
  <c r="D663" i="79" s="1"/>
  <c r="F662" i="79"/>
  <c r="B662" i="79"/>
  <c r="A662" i="79"/>
  <c r="C662" i="79"/>
  <c r="F661" i="79"/>
  <c r="B661" i="79"/>
  <c r="A661" i="79"/>
  <c r="F660" i="79"/>
  <c r="B660" i="79"/>
  <c r="A660" i="79"/>
  <c r="F659" i="79"/>
  <c r="B659" i="79"/>
  <c r="A659" i="79"/>
  <c r="D659" i="79" s="1"/>
  <c r="F658" i="79"/>
  <c r="B658" i="79"/>
  <c r="A658" i="79"/>
  <c r="C658" i="79" s="1"/>
  <c r="F657" i="79"/>
  <c r="B657" i="79"/>
  <c r="A657" i="79"/>
  <c r="F656" i="79"/>
  <c r="B656" i="79"/>
  <c r="A656" i="79"/>
  <c r="F655" i="79"/>
  <c r="B655" i="79"/>
  <c r="A655" i="79"/>
  <c r="D655" i="79" s="1"/>
  <c r="F654" i="79"/>
  <c r="B654" i="79"/>
  <c r="A654" i="79"/>
  <c r="F653" i="79"/>
  <c r="B653" i="79"/>
  <c r="A653" i="79"/>
  <c r="F652" i="79"/>
  <c r="B652" i="79"/>
  <c r="A652" i="79"/>
  <c r="F651" i="79"/>
  <c r="B651" i="79"/>
  <c r="A651" i="79"/>
  <c r="F650" i="79"/>
  <c r="B650" i="79"/>
  <c r="A650" i="79"/>
  <c r="C650" i="79" s="1"/>
  <c r="F649" i="79"/>
  <c r="B649" i="79"/>
  <c r="A649" i="79"/>
  <c r="C649" i="79"/>
  <c r="F620" i="79"/>
  <c r="B620" i="79"/>
  <c r="A620" i="79"/>
  <c r="D620" i="79" s="1"/>
  <c r="F619" i="79"/>
  <c r="B619" i="79"/>
  <c r="A619" i="79"/>
  <c r="F618" i="79"/>
  <c r="B618" i="79"/>
  <c r="A618" i="79"/>
  <c r="D618" i="79" s="1"/>
  <c r="F617" i="79"/>
  <c r="B617" i="79"/>
  <c r="A617" i="79"/>
  <c r="F616" i="79"/>
  <c r="B616" i="79"/>
  <c r="A616" i="79"/>
  <c r="F615" i="79"/>
  <c r="B615" i="79"/>
  <c r="A615" i="79"/>
  <c r="D615" i="79" s="1"/>
  <c r="F614" i="79"/>
  <c r="B614" i="79"/>
  <c r="A614" i="79"/>
  <c r="F613" i="79"/>
  <c r="B613" i="79"/>
  <c r="A613" i="79"/>
  <c r="D613" i="79"/>
  <c r="G613" i="79" s="1"/>
  <c r="F612" i="79"/>
  <c r="B612" i="79"/>
  <c r="A612" i="79"/>
  <c r="D612" i="79"/>
  <c r="F611" i="79"/>
  <c r="B611" i="79"/>
  <c r="A611" i="79"/>
  <c r="C611" i="79" s="1"/>
  <c r="D611" i="79"/>
  <c r="F610" i="79"/>
  <c r="B610" i="79"/>
  <c r="A610" i="79"/>
  <c r="F609" i="79"/>
  <c r="B609" i="79"/>
  <c r="A609" i="79"/>
  <c r="F608" i="79"/>
  <c r="B608" i="79"/>
  <c r="A608" i="79"/>
  <c r="F607" i="79"/>
  <c r="B607" i="79"/>
  <c r="A607" i="79"/>
  <c r="F606" i="79"/>
  <c r="B606" i="79"/>
  <c r="A606" i="79"/>
  <c r="D606" i="79" s="1"/>
  <c r="F605" i="79"/>
  <c r="B605" i="79"/>
  <c r="A605" i="79"/>
  <c r="F604" i="79"/>
  <c r="B604" i="79"/>
  <c r="A604" i="79"/>
  <c r="D604" i="79" s="1"/>
  <c r="F603" i="79"/>
  <c r="B603" i="79"/>
  <c r="A603" i="79"/>
  <c r="F602" i="79"/>
  <c r="G602" i="79" s="1"/>
  <c r="B602" i="79"/>
  <c r="A602" i="79"/>
  <c r="D602" i="79" s="1"/>
  <c r="F601" i="79"/>
  <c r="B601" i="79"/>
  <c r="A601" i="79"/>
  <c r="F600" i="79"/>
  <c r="B600" i="79"/>
  <c r="A600" i="79"/>
  <c r="D600" i="79" s="1"/>
  <c r="G600" i="79" s="1"/>
  <c r="F599" i="79"/>
  <c r="B599" i="79"/>
  <c r="A599" i="79"/>
  <c r="F598" i="79"/>
  <c r="B598" i="79"/>
  <c r="A598" i="79"/>
  <c r="F597" i="79"/>
  <c r="B597" i="79"/>
  <c r="A597" i="79"/>
  <c r="F596" i="79"/>
  <c r="B596" i="79"/>
  <c r="A596" i="79"/>
  <c r="C596" i="79" s="1"/>
  <c r="F595" i="79"/>
  <c r="B595" i="79"/>
  <c r="A595" i="79"/>
  <c r="D595" i="79" s="1"/>
  <c r="F594" i="79"/>
  <c r="G594" i="79" s="1"/>
  <c r="B594" i="79"/>
  <c r="A594" i="79"/>
  <c r="D594" i="79" s="1"/>
  <c r="F593" i="79"/>
  <c r="B593" i="79"/>
  <c r="A593" i="79"/>
  <c r="F560" i="79"/>
  <c r="B560" i="79"/>
  <c r="A560" i="79"/>
  <c r="F559" i="79"/>
  <c r="B559" i="79"/>
  <c r="A559" i="79"/>
  <c r="F558" i="79"/>
  <c r="B558" i="79"/>
  <c r="A558" i="79"/>
  <c r="D558" i="79" s="1"/>
  <c r="F557" i="79"/>
  <c r="B557" i="79"/>
  <c r="A557" i="79"/>
  <c r="F556" i="79"/>
  <c r="B556" i="79"/>
  <c r="A556" i="79"/>
  <c r="D556" i="79"/>
  <c r="G556" i="79" s="1"/>
  <c r="F555" i="79"/>
  <c r="B555" i="79"/>
  <c r="A555" i="79"/>
  <c r="F554" i="79"/>
  <c r="B554" i="79"/>
  <c r="A554" i="79"/>
  <c r="D554" i="79"/>
  <c r="F553" i="79"/>
  <c r="B553" i="79"/>
  <c r="A553" i="79"/>
  <c r="C553" i="79" s="1"/>
  <c r="F552" i="79"/>
  <c r="B552" i="79"/>
  <c r="A552" i="79"/>
  <c r="D552" i="79"/>
  <c r="G552" i="79" s="1"/>
  <c r="F551" i="79"/>
  <c r="B551" i="79"/>
  <c r="A551" i="79"/>
  <c r="C551" i="79" s="1"/>
  <c r="F550" i="79"/>
  <c r="B550" i="79"/>
  <c r="A550" i="79"/>
  <c r="D550" i="79"/>
  <c r="F549" i="79"/>
  <c r="B549" i="79"/>
  <c r="A549" i="79"/>
  <c r="C549" i="79" s="1"/>
  <c r="F548" i="79"/>
  <c r="B548" i="79"/>
  <c r="A548" i="79"/>
  <c r="D548" i="79"/>
  <c r="F547" i="79"/>
  <c r="B547" i="79"/>
  <c r="A547" i="79"/>
  <c r="D547" i="79" s="1"/>
  <c r="F546" i="79"/>
  <c r="B546" i="79"/>
  <c r="A546" i="79"/>
  <c r="D546" i="79"/>
  <c r="F545" i="79"/>
  <c r="B545" i="79"/>
  <c r="A545" i="79"/>
  <c r="D545" i="79" s="1"/>
  <c r="F544" i="79"/>
  <c r="B544" i="79"/>
  <c r="A544" i="79"/>
  <c r="D544" i="79"/>
  <c r="F543" i="79"/>
  <c r="B543" i="79"/>
  <c r="A543" i="79"/>
  <c r="D543" i="79" s="1"/>
  <c r="F542" i="79"/>
  <c r="B542" i="79"/>
  <c r="A542" i="79"/>
  <c r="D542" i="79" s="1"/>
  <c r="F541" i="79"/>
  <c r="B541" i="79"/>
  <c r="A541" i="79"/>
  <c r="C541" i="79" s="1"/>
  <c r="F540" i="79"/>
  <c r="B540" i="79"/>
  <c r="A540" i="79"/>
  <c r="D540" i="79" s="1"/>
  <c r="F539" i="79"/>
  <c r="B539" i="79"/>
  <c r="A539" i="79"/>
  <c r="D539" i="79" s="1"/>
  <c r="F538" i="79"/>
  <c r="B538" i="79"/>
  <c r="A538" i="79"/>
  <c r="F537" i="79"/>
  <c r="B537" i="79"/>
  <c r="A537" i="79"/>
  <c r="F536" i="79"/>
  <c r="B536" i="79"/>
  <c r="A536" i="79"/>
  <c r="F535" i="79"/>
  <c r="B535" i="79"/>
  <c r="A535" i="79"/>
  <c r="F534" i="79"/>
  <c r="B534" i="79"/>
  <c r="A534" i="79"/>
  <c r="F533" i="79"/>
  <c r="B533" i="79"/>
  <c r="A533" i="79"/>
  <c r="F532" i="79"/>
  <c r="B532" i="79"/>
  <c r="A532" i="79"/>
  <c r="F531" i="79"/>
  <c r="B531" i="79"/>
  <c r="A531" i="79"/>
  <c r="F530" i="79"/>
  <c r="B530" i="79"/>
  <c r="A530" i="79"/>
  <c r="D530" i="79" s="1"/>
  <c r="G530" i="79" s="1"/>
  <c r="F529" i="79"/>
  <c r="B529" i="79"/>
  <c r="A529" i="79"/>
  <c r="F339" i="79"/>
  <c r="B339" i="79"/>
  <c r="A339" i="79"/>
  <c r="C339" i="79" s="1"/>
  <c r="F338" i="79"/>
  <c r="B338" i="79"/>
  <c r="A338" i="79"/>
  <c r="F337" i="79"/>
  <c r="B337" i="79"/>
  <c r="A337" i="79"/>
  <c r="F336" i="79"/>
  <c r="B336" i="79"/>
  <c r="A336" i="79"/>
  <c r="F335" i="79"/>
  <c r="B335" i="79"/>
  <c r="A335" i="79"/>
  <c r="D335" i="79" s="1"/>
  <c r="F334" i="79"/>
  <c r="B334" i="79"/>
  <c r="A334" i="79"/>
  <c r="F333" i="79"/>
  <c r="B333" i="79"/>
  <c r="A333" i="79"/>
  <c r="F332" i="79"/>
  <c r="B332" i="79"/>
  <c r="A332" i="79"/>
  <c r="C332" i="79" s="1"/>
  <c r="F331" i="79"/>
  <c r="B331" i="79"/>
  <c r="A331" i="79"/>
  <c r="F330" i="79"/>
  <c r="B330" i="79"/>
  <c r="A330" i="79"/>
  <c r="D330" i="79" s="1"/>
  <c r="F329" i="79"/>
  <c r="B329" i="79"/>
  <c r="A329" i="79"/>
  <c r="F328" i="79"/>
  <c r="B328" i="79"/>
  <c r="A328" i="79"/>
  <c r="F327" i="79"/>
  <c r="B327" i="79"/>
  <c r="A327" i="79"/>
  <c r="C327" i="79" s="1"/>
  <c r="F326" i="79"/>
  <c r="B326" i="79"/>
  <c r="A326" i="79"/>
  <c r="F325" i="79"/>
  <c r="B325" i="79"/>
  <c r="A325" i="79"/>
  <c r="F324" i="79"/>
  <c r="B324" i="79"/>
  <c r="A324" i="79"/>
  <c r="F323" i="79"/>
  <c r="B323" i="79"/>
  <c r="A323" i="79"/>
  <c r="F322" i="79"/>
  <c r="B322" i="79"/>
  <c r="A322" i="79"/>
  <c r="D322" i="79" s="1"/>
  <c r="F321" i="79"/>
  <c r="B321" i="79"/>
  <c r="A321" i="79"/>
  <c r="F320" i="79"/>
  <c r="B320" i="79"/>
  <c r="A320" i="79"/>
  <c r="F319" i="79"/>
  <c r="B319" i="79"/>
  <c r="A319" i="79"/>
  <c r="C319" i="79" s="1"/>
  <c r="F318" i="79"/>
  <c r="B318" i="79"/>
  <c r="A318" i="79"/>
  <c r="F317" i="79"/>
  <c r="B317" i="79"/>
  <c r="A317" i="79"/>
  <c r="F316" i="79"/>
  <c r="B316" i="79"/>
  <c r="A316" i="79"/>
  <c r="F315" i="79"/>
  <c r="B315" i="79"/>
  <c r="A315" i="79"/>
  <c r="F314" i="79"/>
  <c r="B314" i="79"/>
  <c r="A314" i="79"/>
  <c r="F313" i="79"/>
  <c r="B313" i="79"/>
  <c r="A313" i="79"/>
  <c r="F312" i="79"/>
  <c r="B312" i="79"/>
  <c r="A312" i="79"/>
  <c r="F311" i="79"/>
  <c r="B311" i="79"/>
  <c r="A311" i="79"/>
  <c r="C311" i="79" s="1"/>
  <c r="F310" i="79"/>
  <c r="B310" i="79"/>
  <c r="A310" i="79"/>
  <c r="F309" i="79"/>
  <c r="B309" i="79"/>
  <c r="A309" i="79"/>
  <c r="F308" i="79"/>
  <c r="B308" i="79"/>
  <c r="A308" i="79"/>
  <c r="F307" i="79"/>
  <c r="B307" i="79"/>
  <c r="A307" i="79"/>
  <c r="F306" i="79"/>
  <c r="B306" i="79"/>
  <c r="A306" i="79"/>
  <c r="F305" i="79"/>
  <c r="B305" i="79"/>
  <c r="A305" i="79"/>
  <c r="F304" i="79"/>
  <c r="B304" i="79"/>
  <c r="A304" i="79"/>
  <c r="F303" i="79"/>
  <c r="B303" i="79"/>
  <c r="A303" i="79"/>
  <c r="F302" i="79"/>
  <c r="B302" i="79"/>
  <c r="A302" i="79"/>
  <c r="F301" i="79"/>
  <c r="B301" i="79"/>
  <c r="A301" i="79"/>
  <c r="F300" i="79"/>
  <c r="B300" i="79"/>
  <c r="A300" i="79"/>
  <c r="F299" i="79"/>
  <c r="B299" i="79"/>
  <c r="A299" i="79"/>
  <c r="F298" i="79"/>
  <c r="B298" i="79"/>
  <c r="A298" i="79"/>
  <c r="D298" i="79" s="1"/>
  <c r="F297" i="79"/>
  <c r="B297" i="79"/>
  <c r="A297" i="79"/>
  <c r="F296" i="79"/>
  <c r="B296" i="79"/>
  <c r="A296" i="79"/>
  <c r="F295" i="79"/>
  <c r="G295" i="79" s="1"/>
  <c r="B295" i="79"/>
  <c r="A295" i="79"/>
  <c r="D295" i="79" s="1"/>
  <c r="F294" i="79"/>
  <c r="B294" i="79"/>
  <c r="A294" i="79"/>
  <c r="F293" i="79"/>
  <c r="B293" i="79"/>
  <c r="A293" i="79"/>
  <c r="D293" i="79" s="1"/>
  <c r="F292" i="79"/>
  <c r="B292" i="79"/>
  <c r="A292" i="79"/>
  <c r="D292" i="79" s="1"/>
  <c r="G292" i="79" s="1"/>
  <c r="F291" i="79"/>
  <c r="B291" i="79"/>
  <c r="A291" i="79"/>
  <c r="F290" i="79"/>
  <c r="G290" i="79" s="1"/>
  <c r="B290" i="79"/>
  <c r="A290" i="79"/>
  <c r="D290" i="79" s="1"/>
  <c r="F289" i="79"/>
  <c r="B289" i="79"/>
  <c r="A289" i="79"/>
  <c r="C289" i="79" s="1"/>
  <c r="F288" i="79"/>
  <c r="B288" i="79"/>
  <c r="A288" i="79"/>
  <c r="C288" i="79" s="1"/>
  <c r="F287" i="79"/>
  <c r="B287" i="79"/>
  <c r="A287" i="79"/>
  <c r="C287" i="79"/>
  <c r="F286" i="79"/>
  <c r="B286" i="79"/>
  <c r="A286" i="79"/>
  <c r="C286" i="79"/>
  <c r="F285" i="79"/>
  <c r="B285" i="79"/>
  <c r="A285" i="79"/>
  <c r="C285" i="79"/>
  <c r="F284" i="79"/>
  <c r="B284" i="79"/>
  <c r="A284" i="79"/>
  <c r="F69" i="79"/>
  <c r="B69" i="79"/>
  <c r="A69" i="79"/>
  <c r="F68" i="79"/>
  <c r="B68" i="79"/>
  <c r="A68" i="79"/>
  <c r="C68" i="79" s="1"/>
  <c r="F67" i="79"/>
  <c r="B67" i="79"/>
  <c r="A67" i="79"/>
  <c r="F66" i="79"/>
  <c r="B66" i="79"/>
  <c r="A66" i="79"/>
  <c r="F65" i="79"/>
  <c r="B65" i="79"/>
  <c r="A65" i="79"/>
  <c r="F64" i="79"/>
  <c r="B64" i="79"/>
  <c r="A64" i="79"/>
  <c r="F63" i="79"/>
  <c r="B63" i="79"/>
  <c r="A63" i="79"/>
  <c r="F62" i="79"/>
  <c r="B62" i="79"/>
  <c r="A62" i="79"/>
  <c r="F61" i="79"/>
  <c r="B61" i="79"/>
  <c r="A61" i="79"/>
  <c r="F60" i="79"/>
  <c r="B60" i="79"/>
  <c r="A60" i="79"/>
  <c r="F59" i="79"/>
  <c r="B59" i="79"/>
  <c r="A59" i="79"/>
  <c r="F58" i="79"/>
  <c r="B58" i="79"/>
  <c r="A58" i="79"/>
  <c r="C58" i="79" s="1"/>
  <c r="F57" i="79"/>
  <c r="B57" i="79"/>
  <c r="A57" i="79"/>
  <c r="C57" i="79" s="1"/>
  <c r="F56" i="79"/>
  <c r="B56" i="79"/>
  <c r="A56" i="79"/>
  <c r="F55" i="79"/>
  <c r="B55" i="79"/>
  <c r="A55" i="79"/>
  <c r="F54" i="79"/>
  <c r="B54" i="79"/>
  <c r="A54" i="79"/>
  <c r="D54" i="79" s="1"/>
  <c r="F53" i="79"/>
  <c r="B53" i="79"/>
  <c r="A53" i="79"/>
  <c r="C53" i="79" s="1"/>
  <c r="F52" i="79"/>
  <c r="B52" i="79"/>
  <c r="A52" i="79"/>
  <c r="C52" i="79" s="1"/>
  <c r="F51" i="79"/>
  <c r="B51" i="79"/>
  <c r="A51" i="79"/>
  <c r="F50" i="79"/>
  <c r="B50" i="79"/>
  <c r="A50" i="79"/>
  <c r="C50" i="79" s="1"/>
  <c r="F49" i="79"/>
  <c r="B49" i="79"/>
  <c r="A49" i="79"/>
  <c r="C49" i="79" s="1"/>
  <c r="F48" i="79"/>
  <c r="B48" i="79"/>
  <c r="A48" i="79"/>
  <c r="C48" i="79" s="1"/>
  <c r="F46" i="79"/>
  <c r="B46" i="79"/>
  <c r="A46" i="79"/>
  <c r="D46" i="79" s="1"/>
  <c r="F45" i="79"/>
  <c r="B45" i="79"/>
  <c r="A45" i="79"/>
  <c r="D45" i="79" s="1"/>
  <c r="F44" i="79"/>
  <c r="B44" i="79"/>
  <c r="A44" i="79"/>
  <c r="C44" i="79"/>
  <c r="F43" i="79"/>
  <c r="B43" i="79"/>
  <c r="A43" i="79"/>
  <c r="C43" i="79"/>
  <c r="F42" i="79"/>
  <c r="B42" i="79"/>
  <c r="A42" i="79"/>
  <c r="D42" i="79"/>
  <c r="F41" i="79"/>
  <c r="B41" i="79"/>
  <c r="A41" i="79"/>
  <c r="F40" i="79"/>
  <c r="B40" i="79"/>
  <c r="A40" i="79"/>
  <c r="F39" i="79"/>
  <c r="B39" i="79"/>
  <c r="A39" i="79"/>
  <c r="F38" i="79"/>
  <c r="B38" i="79"/>
  <c r="A38" i="79"/>
  <c r="F37" i="79"/>
  <c r="B37" i="79"/>
  <c r="A37" i="79"/>
  <c r="F36" i="79"/>
  <c r="B36" i="79"/>
  <c r="A36" i="79"/>
  <c r="D36" i="79" s="1"/>
  <c r="F35" i="79"/>
  <c r="B35" i="79"/>
  <c r="A35" i="79"/>
  <c r="C35" i="79" s="1"/>
  <c r="F34" i="79"/>
  <c r="B34" i="79"/>
  <c r="A34" i="79"/>
  <c r="D34" i="79" s="1"/>
  <c r="F33" i="79"/>
  <c r="B33" i="79"/>
  <c r="A33" i="79"/>
  <c r="F32" i="79"/>
  <c r="B32" i="79"/>
  <c r="A32" i="79"/>
  <c r="F31" i="79"/>
  <c r="B31" i="79"/>
  <c r="A31" i="79"/>
  <c r="F30" i="79"/>
  <c r="B30" i="79"/>
  <c r="A30" i="79"/>
  <c r="F29" i="79"/>
  <c r="B29" i="79"/>
  <c r="A29" i="79"/>
  <c r="F28" i="79"/>
  <c r="B28" i="79"/>
  <c r="A28" i="79"/>
  <c r="F27" i="79"/>
  <c r="B27" i="79"/>
  <c r="A27" i="79"/>
  <c r="C27" i="79" s="1"/>
  <c r="F26" i="79"/>
  <c r="B26" i="79"/>
  <c r="A26" i="79"/>
  <c r="C26" i="79" s="1"/>
  <c r="F25" i="79"/>
  <c r="B25" i="79"/>
  <c r="A25" i="79"/>
  <c r="D25" i="79" s="1"/>
  <c r="F24" i="79"/>
  <c r="B24" i="79"/>
  <c r="A24" i="79"/>
  <c r="F23" i="79"/>
  <c r="B23" i="79"/>
  <c r="A23" i="79"/>
  <c r="F20" i="79"/>
  <c r="B20" i="79"/>
  <c r="A20" i="79"/>
  <c r="F19" i="79"/>
  <c r="B19" i="79"/>
  <c r="A19" i="79"/>
  <c r="D19" i="79"/>
  <c r="F18" i="79"/>
  <c r="B18" i="79"/>
  <c r="A18" i="79"/>
  <c r="C18" i="79" s="1"/>
  <c r="D18" i="79"/>
  <c r="F17" i="79"/>
  <c r="B17" i="79"/>
  <c r="A17" i="79"/>
  <c r="C17" i="79" s="1"/>
  <c r="D17" i="79"/>
  <c r="G17" i="79" s="1"/>
  <c r="F16" i="79"/>
  <c r="B16" i="79"/>
  <c r="A16" i="79"/>
  <c r="D16" i="79" s="1"/>
  <c r="G16" i="79" s="1"/>
  <c r="F15" i="79"/>
  <c r="B15" i="79"/>
  <c r="A15" i="79"/>
  <c r="C15" i="79" s="1"/>
  <c r="F14" i="79"/>
  <c r="B14" i="79"/>
  <c r="A14" i="79"/>
  <c r="D14" i="79" s="1"/>
  <c r="F13" i="79"/>
  <c r="B13" i="79"/>
  <c r="A13" i="79"/>
  <c r="F12" i="79"/>
  <c r="G12" i="79" s="1"/>
  <c r="B12" i="79"/>
  <c r="A12" i="79"/>
  <c r="D12" i="79" s="1"/>
  <c r="F11" i="79"/>
  <c r="B11" i="79"/>
  <c r="A11" i="79"/>
  <c r="C11" i="79" s="1"/>
  <c r="F10" i="79"/>
  <c r="B10" i="79"/>
  <c r="A10" i="79"/>
  <c r="F9" i="79"/>
  <c r="B9" i="79"/>
  <c r="A9" i="79"/>
  <c r="F8" i="79"/>
  <c r="B8" i="79"/>
  <c r="A8" i="79"/>
  <c r="F7" i="79"/>
  <c r="B7" i="79"/>
  <c r="A7" i="79"/>
  <c r="C7" i="79" s="1"/>
  <c r="F6" i="79"/>
  <c r="B6" i="79"/>
  <c r="A6" i="79"/>
  <c r="F5" i="79"/>
  <c r="B5" i="79"/>
  <c r="A5" i="79"/>
  <c r="C5" i="79" s="1"/>
  <c r="F4" i="79"/>
  <c r="B4" i="79"/>
  <c r="A4" i="79"/>
  <c r="D4" i="79" s="1"/>
  <c r="F3" i="79"/>
  <c r="B3" i="79"/>
  <c r="A3" i="79"/>
  <c r="C3" i="79" s="1"/>
  <c r="AI33" i="80"/>
  <c r="AG33" i="80"/>
  <c r="AI9" i="80"/>
  <c r="AG9" i="80"/>
  <c r="AH9" i="80" s="1"/>
  <c r="AC33" i="80"/>
  <c r="AA33" i="80"/>
  <c r="AB33" i="80" s="1"/>
  <c r="AC9" i="80"/>
  <c r="AA9" i="80"/>
  <c r="AB9" i="80" s="1"/>
  <c r="W33" i="80"/>
  <c r="W9" i="80"/>
  <c r="Q33" i="80"/>
  <c r="O33" i="80"/>
  <c r="P33" i="80" s="1"/>
  <c r="Q9" i="80"/>
  <c r="I33" i="80"/>
  <c r="J33" i="80"/>
  <c r="E33" i="80"/>
  <c r="C33" i="80"/>
  <c r="K9" i="80"/>
  <c r="I9" i="80"/>
  <c r="E9" i="80"/>
  <c r="A3" i="45"/>
  <c r="C6" i="47"/>
  <c r="D6" i="47"/>
  <c r="E6" i="47"/>
  <c r="E6" i="45" s="1"/>
  <c r="K6" i="45" s="1"/>
  <c r="F6" i="47"/>
  <c r="G6" i="47"/>
  <c r="C7" i="47"/>
  <c r="D7" i="47"/>
  <c r="E7" i="47"/>
  <c r="F7" i="47"/>
  <c r="G7" i="47"/>
  <c r="U5" i="48"/>
  <c r="AA5" i="48"/>
  <c r="K9" i="77"/>
  <c r="AI9" i="48"/>
  <c r="AI30" i="48" s="1"/>
  <c r="AI41" i="48" s="1"/>
  <c r="AG9" i="48"/>
  <c r="AC9" i="48"/>
  <c r="AA9" i="48"/>
  <c r="AC39" i="48"/>
  <c r="U9" i="48"/>
  <c r="O9" i="48"/>
  <c r="P9" i="48" s="1"/>
  <c r="K9" i="48"/>
  <c r="I9" i="48"/>
  <c r="C9" i="48"/>
  <c r="K27" i="46"/>
  <c r="L27" i="46" s="1"/>
  <c r="I27" i="46"/>
  <c r="J27" i="46" s="1"/>
  <c r="K9" i="46"/>
  <c r="I9" i="46"/>
  <c r="E27" i="46"/>
  <c r="C27" i="46"/>
  <c r="E9" i="46"/>
  <c r="C9" i="46"/>
  <c r="D9" i="46" s="1"/>
  <c r="K29" i="45"/>
  <c r="I29" i="45"/>
  <c r="E29" i="45"/>
  <c r="C29" i="45"/>
  <c r="K9" i="45"/>
  <c r="I9" i="45"/>
  <c r="J9" i="45" s="1"/>
  <c r="C9" i="45"/>
  <c r="D9" i="45" s="1"/>
  <c r="U122" i="44"/>
  <c r="V122" i="44" s="1"/>
  <c r="U123" i="44"/>
  <c r="V123" i="44" s="1"/>
  <c r="O122" i="44"/>
  <c r="P122" i="44" s="1"/>
  <c r="Q122" i="44"/>
  <c r="O123" i="44"/>
  <c r="P123" i="44" s="1"/>
  <c r="Q123" i="44"/>
  <c r="I122" i="44"/>
  <c r="J122" i="44" s="1"/>
  <c r="K122" i="44"/>
  <c r="I123" i="44"/>
  <c r="J123" i="44" s="1"/>
  <c r="K123" i="44"/>
  <c r="C122" i="44"/>
  <c r="D122" i="44" s="1"/>
  <c r="E122" i="44"/>
  <c r="C123" i="44"/>
  <c r="E123" i="44"/>
  <c r="W30" i="44"/>
  <c r="Q30" i="44"/>
  <c r="O30" i="44"/>
  <c r="P30" i="44" s="1"/>
  <c r="W9" i="44"/>
  <c r="Q9" i="44"/>
  <c r="O9" i="44"/>
  <c r="K30" i="44"/>
  <c r="I30" i="44"/>
  <c r="J30" i="44" s="1"/>
  <c r="E30" i="44"/>
  <c r="C30" i="44"/>
  <c r="K9" i="44"/>
  <c r="I9" i="44"/>
  <c r="J9" i="44" s="1"/>
  <c r="E9" i="44"/>
  <c r="C9" i="44"/>
  <c r="C5" i="48"/>
  <c r="I5" i="48"/>
  <c r="O5" i="48"/>
  <c r="AG5" i="48"/>
  <c r="AL5" i="48"/>
  <c r="C5" i="46"/>
  <c r="I5" i="46"/>
  <c r="N5" i="46"/>
  <c r="C5" i="45"/>
  <c r="I5" i="45"/>
  <c r="N5" i="45"/>
  <c r="C5" i="44"/>
  <c r="I5" i="44"/>
  <c r="O5" i="44"/>
  <c r="Z5" i="44"/>
  <c r="A5" i="78"/>
  <c r="A6" i="78"/>
  <c r="A7" i="78"/>
  <c r="A8" i="78"/>
  <c r="A9" i="78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I6" i="77"/>
  <c r="J6" i="77"/>
  <c r="K6" i="77"/>
  <c r="L6" i="77"/>
  <c r="M6" i="77"/>
  <c r="O6" i="77"/>
  <c r="P6" i="77"/>
  <c r="Q6" i="77"/>
  <c r="R6" i="77"/>
  <c r="S6" i="77"/>
  <c r="U6" i="77"/>
  <c r="V6" i="77"/>
  <c r="W6" i="77"/>
  <c r="X6" i="77"/>
  <c r="Y6" i="77"/>
  <c r="AA6" i="77"/>
  <c r="AB6" i="77"/>
  <c r="AC6" i="77"/>
  <c r="AD6" i="77"/>
  <c r="AE6" i="77"/>
  <c r="AG6" i="77"/>
  <c r="AH6" i="77"/>
  <c r="AI6" i="77"/>
  <c r="AJ6" i="77"/>
  <c r="AK6" i="77"/>
  <c r="AL6" i="77"/>
  <c r="AM6" i="77"/>
  <c r="AN6" i="77"/>
  <c r="AO6" i="77"/>
  <c r="AP6" i="77"/>
  <c r="I7" i="77"/>
  <c r="J7" i="77"/>
  <c r="K7" i="77"/>
  <c r="L7" i="77"/>
  <c r="M7" i="77"/>
  <c r="O7" i="77"/>
  <c r="P7" i="77"/>
  <c r="Q7" i="77"/>
  <c r="R7" i="77"/>
  <c r="S7" i="77"/>
  <c r="U7" i="77"/>
  <c r="V7" i="77"/>
  <c r="W7" i="77"/>
  <c r="X7" i="77"/>
  <c r="Y7" i="77"/>
  <c r="AA7" i="77"/>
  <c r="AB7" i="77"/>
  <c r="AC7" i="77"/>
  <c r="AD7" i="77"/>
  <c r="AE7" i="77"/>
  <c r="AG7" i="77"/>
  <c r="AH7" i="77"/>
  <c r="AI7" i="77"/>
  <c r="AJ7" i="77"/>
  <c r="AK7" i="77"/>
  <c r="AL7" i="77"/>
  <c r="AM7" i="77"/>
  <c r="AN7" i="77"/>
  <c r="AO7" i="77"/>
  <c r="AP7" i="77"/>
  <c r="I9" i="77"/>
  <c r="J9" i="77" s="1"/>
  <c r="U9" i="77"/>
  <c r="W9" i="77"/>
  <c r="AA9" i="77"/>
  <c r="AB9" i="77" s="1"/>
  <c r="AC9" i="77"/>
  <c r="AG9" i="77"/>
  <c r="AH9" i="77" s="1"/>
  <c r="AI9" i="77"/>
  <c r="AG10" i="77"/>
  <c r="AH10" i="77" s="1"/>
  <c r="AI10" i="77"/>
  <c r="AG11" i="77"/>
  <c r="AH11" i="77" s="1"/>
  <c r="AI11" i="77"/>
  <c r="AG12" i="77"/>
  <c r="AH12" i="77" s="1"/>
  <c r="AI12" i="77"/>
  <c r="AG13" i="77"/>
  <c r="AH13" i="77" s="1"/>
  <c r="AI13" i="77"/>
  <c r="E12" i="89"/>
  <c r="H12" i="89"/>
  <c r="AG14" i="77"/>
  <c r="AH14" i="77" s="1"/>
  <c r="AI14" i="77"/>
  <c r="I12" i="89" s="1"/>
  <c r="H10" i="89"/>
  <c r="AG15" i="77"/>
  <c r="AH15" i="77" s="1"/>
  <c r="AI15" i="77"/>
  <c r="I10" i="89" s="1"/>
  <c r="G14" i="89"/>
  <c r="H14" i="89"/>
  <c r="AG16" i="77"/>
  <c r="AH16" i="77" s="1"/>
  <c r="AI16" i="77"/>
  <c r="G13" i="89"/>
  <c r="H13" i="89"/>
  <c r="AG17" i="77"/>
  <c r="AH17" i="77" s="1"/>
  <c r="AI17" i="77"/>
  <c r="D9" i="89"/>
  <c r="H9" i="89"/>
  <c r="AG18" i="77"/>
  <c r="AI18" i="77"/>
  <c r="AG19" i="77"/>
  <c r="AH19" i="77" s="1"/>
  <c r="AI19" i="77"/>
  <c r="D15" i="89"/>
  <c r="H15" i="89"/>
  <c r="AG20" i="77"/>
  <c r="AH20" i="77" s="1"/>
  <c r="AI20" i="77"/>
  <c r="E17" i="89"/>
  <c r="H17" i="89"/>
  <c r="AG21" i="77"/>
  <c r="AH21" i="77" s="1"/>
  <c r="AI21" i="77"/>
  <c r="AG22" i="77"/>
  <c r="AI22" i="77"/>
  <c r="AG23" i="77"/>
  <c r="AH23" i="77" s="1"/>
  <c r="AI23" i="77"/>
  <c r="AG24" i="77"/>
  <c r="AH24" i="77" s="1"/>
  <c r="AI24" i="77"/>
  <c r="AJ24" i="77" s="1"/>
  <c r="AG25" i="77"/>
  <c r="AH25" i="77" s="1"/>
  <c r="AJ25" i="77" s="1"/>
  <c r="AK25" i="77" s="1"/>
  <c r="AI25" i="77"/>
  <c r="C29" i="77"/>
  <c r="D29" i="77" s="1"/>
  <c r="E29" i="77"/>
  <c r="I29" i="77"/>
  <c r="J29" i="77" s="1"/>
  <c r="L29" i="77" s="1"/>
  <c r="K29" i="77"/>
  <c r="Q29" i="77"/>
  <c r="AA29" i="77"/>
  <c r="AB29" i="77" s="1"/>
  <c r="AC29" i="77"/>
  <c r="AG29" i="77"/>
  <c r="AH29" i="77" s="1"/>
  <c r="AI29" i="77"/>
  <c r="AG30" i="77"/>
  <c r="AI30" i="77"/>
  <c r="AG31" i="77"/>
  <c r="AH31" i="77" s="1"/>
  <c r="AI31" i="77"/>
  <c r="AJ31" i="77" s="1"/>
  <c r="AG32" i="77"/>
  <c r="AH32" i="77" s="1"/>
  <c r="AI32" i="77"/>
  <c r="I20" i="89" s="1"/>
  <c r="AG33" i="77"/>
  <c r="AH33" i="77" s="1"/>
  <c r="AI33" i="77"/>
  <c r="AG34" i="77"/>
  <c r="AH34" i="77" s="1"/>
  <c r="AI34" i="77"/>
  <c r="AG35" i="77"/>
  <c r="AH35" i="77" s="1"/>
  <c r="AI35" i="77"/>
  <c r="AG36" i="77"/>
  <c r="AH36" i="77" s="1"/>
  <c r="AI36" i="77"/>
  <c r="AG37" i="77"/>
  <c r="AH37" i="77" s="1"/>
  <c r="AI37" i="77"/>
  <c r="AG38" i="77"/>
  <c r="AH38" i="77" s="1"/>
  <c r="AI38" i="77"/>
  <c r="H21" i="89"/>
  <c r="AG39" i="77"/>
  <c r="AH39" i="77" s="1"/>
  <c r="AI39" i="77"/>
  <c r="C40" i="77"/>
  <c r="E40" i="77"/>
  <c r="K40" i="77"/>
  <c r="AA40" i="77"/>
  <c r="AB40" i="77" s="1"/>
  <c r="AC40" i="77"/>
  <c r="AG40" i="77"/>
  <c r="AH40" i="77" s="1"/>
  <c r="AI40" i="77"/>
  <c r="E41" i="77"/>
  <c r="O41" i="77"/>
  <c r="P41" i="77" s="1"/>
  <c r="AA41" i="77"/>
  <c r="AB41" i="77" s="1"/>
  <c r="AD41" i="77" s="1"/>
  <c r="AC41" i="77"/>
  <c r="AG41" i="77"/>
  <c r="AH41" i="77" s="1"/>
  <c r="AI41" i="77"/>
  <c r="AC7" i="47"/>
  <c r="U5" i="44"/>
  <c r="AH33" i="80"/>
  <c r="D6" i="45"/>
  <c r="O6" i="45" s="1"/>
  <c r="S7" i="47"/>
  <c r="AI7" i="47"/>
  <c r="G7" i="45"/>
  <c r="R7" i="45" s="1"/>
  <c r="AE7" i="47"/>
  <c r="G7" i="44"/>
  <c r="G7" i="48"/>
  <c r="F6" i="45"/>
  <c r="A3" i="44"/>
  <c r="Q7" i="47"/>
  <c r="AP7" i="47"/>
  <c r="A3" i="46"/>
  <c r="AP6" i="47"/>
  <c r="A3" i="48"/>
  <c r="G6" i="45"/>
  <c r="R6" i="45" s="1"/>
  <c r="M7" i="47"/>
  <c r="AK7" i="47"/>
  <c r="Q6" i="47"/>
  <c r="G7" i="46"/>
  <c r="AK6" i="47"/>
  <c r="K6" i="47"/>
  <c r="D332" i="79"/>
  <c r="C548" i="79"/>
  <c r="D551" i="79"/>
  <c r="C552" i="79"/>
  <c r="C556" i="79"/>
  <c r="C295" i="79"/>
  <c r="C322" i="79"/>
  <c r="C330" i="79"/>
  <c r="C539" i="79"/>
  <c r="C543" i="79"/>
  <c r="C595" i="79"/>
  <c r="C615" i="79"/>
  <c r="C655" i="79"/>
  <c r="C659" i="79"/>
  <c r="C663" i="79"/>
  <c r="C119" i="79"/>
  <c r="D681" i="79"/>
  <c r="C430" i="79"/>
  <c r="C229" i="79"/>
  <c r="D229" i="79"/>
  <c r="C110" i="79"/>
  <c r="C112" i="79"/>
  <c r="C114" i="79"/>
  <c r="C123" i="79"/>
  <c r="C127" i="79"/>
  <c r="C131" i="79"/>
  <c r="C343" i="79"/>
  <c r="C363" i="79"/>
  <c r="C370" i="79"/>
  <c r="D371" i="79"/>
  <c r="C372" i="79"/>
  <c r="C676" i="79"/>
  <c r="D683" i="79"/>
  <c r="G683" i="79" s="1"/>
  <c r="C139" i="79"/>
  <c r="D139" i="79"/>
  <c r="C147" i="79"/>
  <c r="C149" i="79"/>
  <c r="D149" i="79"/>
  <c r="G149" i="79" s="1"/>
  <c r="C151" i="79"/>
  <c r="C159" i="79"/>
  <c r="D159" i="79"/>
  <c r="D161" i="79"/>
  <c r="G161" i="79" s="1"/>
  <c r="C706" i="79"/>
  <c r="D706" i="79"/>
  <c r="C645" i="79"/>
  <c r="D645" i="79"/>
  <c r="C714" i="79"/>
  <c r="D714" i="79"/>
  <c r="C415" i="79"/>
  <c r="D415" i="79"/>
  <c r="C418" i="79"/>
  <c r="C420" i="79"/>
  <c r="D420" i="79"/>
  <c r="C442" i="79"/>
  <c r="D442" i="79"/>
  <c r="D644" i="79"/>
  <c r="C725" i="79"/>
  <c r="D725" i="79"/>
  <c r="C729" i="79"/>
  <c r="C209" i="79"/>
  <c r="G209" i="79"/>
  <c r="C217" i="79"/>
  <c r="D217" i="79"/>
  <c r="G217" i="79" s="1"/>
  <c r="C225" i="79"/>
  <c r="D225" i="79"/>
  <c r="G225" i="79" s="1"/>
  <c r="D236" i="79"/>
  <c r="D240" i="79"/>
  <c r="G240" i="79" s="1"/>
  <c r="D454" i="79"/>
  <c r="G454" i="79" s="1"/>
  <c r="D488" i="79"/>
  <c r="D520" i="79"/>
  <c r="C520" i="79"/>
  <c r="D283" i="79"/>
  <c r="G283" i="79" s="1"/>
  <c r="C283" i="79"/>
  <c r="C213" i="79"/>
  <c r="C221" i="79"/>
  <c r="D221" i="79"/>
  <c r="G221" i="79" s="1"/>
  <c r="C215" i="79"/>
  <c r="D215" i="79"/>
  <c r="G215" i="79" s="1"/>
  <c r="C223" i="79"/>
  <c r="D223" i="79"/>
  <c r="C233" i="79"/>
  <c r="C506" i="79"/>
  <c r="D522" i="79"/>
  <c r="C522" i="79"/>
  <c r="D452" i="79"/>
  <c r="G452" i="79" s="1"/>
  <c r="C472" i="79"/>
  <c r="D481" i="79"/>
  <c r="C492" i="79"/>
  <c r="C494" i="79"/>
  <c r="C508" i="79"/>
  <c r="C510" i="79"/>
  <c r="D756" i="79"/>
  <c r="C756" i="79"/>
  <c r="D278" i="79"/>
  <c r="C278" i="79"/>
  <c r="D526" i="79"/>
  <c r="C526" i="79"/>
  <c r="D757" i="79"/>
  <c r="G757" i="79" s="1"/>
  <c r="C757" i="79"/>
  <c r="C280" i="79"/>
  <c r="Y7" i="47"/>
  <c r="G7" i="80"/>
  <c r="U7" i="47"/>
  <c r="J6" i="47"/>
  <c r="AH7" i="47"/>
  <c r="D401" i="79"/>
  <c r="G401" i="79" s="1"/>
  <c r="D287" i="79"/>
  <c r="G287" i="79" s="1"/>
  <c r="C111" i="79"/>
  <c r="G250" i="79"/>
  <c r="D448" i="79"/>
  <c r="G448" i="79" s="1"/>
  <c r="G46" i="79"/>
  <c r="D53" i="79"/>
  <c r="G53" i="79" s="1"/>
  <c r="D289" i="79"/>
  <c r="G289" i="79" s="1"/>
  <c r="D503" i="79"/>
  <c r="C96" i="79"/>
  <c r="C544" i="79"/>
  <c r="D553" i="79"/>
  <c r="G553" i="79" s="1"/>
  <c r="D596" i="79"/>
  <c r="G596" i="79" s="1"/>
  <c r="C210" i="79"/>
  <c r="D498" i="79"/>
  <c r="G14" i="79"/>
  <c r="C76" i="79"/>
  <c r="C93" i="79"/>
  <c r="C126" i="79"/>
  <c r="D383" i="79"/>
  <c r="C385" i="79"/>
  <c r="D169" i="79"/>
  <c r="C395" i="79"/>
  <c r="D416" i="79"/>
  <c r="C585" i="79"/>
  <c r="G228" i="79"/>
  <c r="C230" i="79"/>
  <c r="C232" i="79"/>
  <c r="D235" i="79"/>
  <c r="D270" i="79"/>
  <c r="D458" i="79"/>
  <c r="G458" i="79" s="1"/>
  <c r="D469" i="79"/>
  <c r="C470" i="79"/>
  <c r="G655" i="79"/>
  <c r="C152" i="79"/>
  <c r="D171" i="79"/>
  <c r="C408" i="79"/>
  <c r="C419" i="79"/>
  <c r="C646" i="79"/>
  <c r="C262" i="79"/>
  <c r="D456" i="79"/>
  <c r="D512" i="79"/>
  <c r="C4" i="79"/>
  <c r="D7" i="79"/>
  <c r="G7" i="79" s="1"/>
  <c r="D11" i="79"/>
  <c r="G11" i="79"/>
  <c r="C12" i="79"/>
  <c r="D15" i="79"/>
  <c r="C16" i="79"/>
  <c r="C42" i="79"/>
  <c r="C293" i="79"/>
  <c r="D541" i="79"/>
  <c r="G541" i="79" s="1"/>
  <c r="C604" i="79"/>
  <c r="D649" i="79"/>
  <c r="G649" i="79" s="1"/>
  <c r="C665" i="79"/>
  <c r="D57" i="79"/>
  <c r="D549" i="79"/>
  <c r="D670" i="79"/>
  <c r="G670" i="79" s="1"/>
  <c r="D86" i="79"/>
  <c r="C86" i="79"/>
  <c r="C101" i="79"/>
  <c r="D101" i="79"/>
  <c r="G101" i="79" s="1"/>
  <c r="D91" i="79"/>
  <c r="C91" i="79"/>
  <c r="D115" i="79"/>
  <c r="D361" i="79"/>
  <c r="C360" i="79"/>
  <c r="D360" i="79"/>
  <c r="D690" i="79"/>
  <c r="G690" i="79" s="1"/>
  <c r="C185" i="79"/>
  <c r="D206" i="79"/>
  <c r="G206" i="79" s="1"/>
  <c r="D392" i="79"/>
  <c r="G392" i="79"/>
  <c r="C266" i="79"/>
  <c r="C373" i="79"/>
  <c r="D701" i="79"/>
  <c r="C410" i="79"/>
  <c r="D435" i="79"/>
  <c r="D568" i="79"/>
  <c r="G568" i="79" s="1"/>
  <c r="D583" i="79"/>
  <c r="C584" i="79"/>
  <c r="D637" i="79"/>
  <c r="G637" i="79" s="1"/>
  <c r="D640" i="79"/>
  <c r="D728" i="79"/>
  <c r="D248" i="79"/>
  <c r="G248" i="79" s="1"/>
  <c r="C249" i="79"/>
  <c r="D257" i="79"/>
  <c r="G257" i="79" s="1"/>
  <c r="D263" i="79"/>
  <c r="C265" i="79"/>
  <c r="C272" i="79"/>
  <c r="D444" i="79"/>
  <c r="C479" i="79"/>
  <c r="D753" i="79"/>
  <c r="G753" i="79" s="1"/>
  <c r="D755" i="79"/>
  <c r="C405" i="79"/>
  <c r="C212" i="79"/>
  <c r="C242" i="79"/>
  <c r="D255" i="79"/>
  <c r="G269" i="79"/>
  <c r="G272" i="79"/>
  <c r="G446" i="79"/>
  <c r="C466" i="79"/>
  <c r="D499" i="79"/>
  <c r="D502" i="79"/>
  <c r="D507" i="79"/>
  <c r="D5" i="79"/>
  <c r="C14" i="79"/>
  <c r="C36" i="79"/>
  <c r="D49" i="79"/>
  <c r="D319" i="79"/>
  <c r="D598" i="79"/>
  <c r="G598" i="79" s="1"/>
  <c r="C598" i="79"/>
  <c r="C602" i="79"/>
  <c r="G604" i="79"/>
  <c r="D70" i="79"/>
  <c r="C70" i="79"/>
  <c r="C19" i="79"/>
  <c r="C542" i="79"/>
  <c r="C657" i="79"/>
  <c r="D657" i="79"/>
  <c r="G657" i="79" s="1"/>
  <c r="D673" i="79"/>
  <c r="D674" i="79"/>
  <c r="D73" i="79"/>
  <c r="G73" i="79" s="1"/>
  <c r="D105" i="79"/>
  <c r="D610" i="79"/>
  <c r="C610" i="79"/>
  <c r="G595" i="79"/>
  <c r="C613" i="79"/>
  <c r="D650" i="79"/>
  <c r="D662" i="79"/>
  <c r="G662" i="79" s="1"/>
  <c r="D671" i="79"/>
  <c r="C671" i="79"/>
  <c r="D118" i="79"/>
  <c r="C118" i="79"/>
  <c r="G659" i="79"/>
  <c r="C344" i="79"/>
  <c r="D348" i="79"/>
  <c r="G348" i="79" s="1"/>
  <c r="D354" i="79"/>
  <c r="G354" i="79" s="1"/>
  <c r="D677" i="79"/>
  <c r="D685" i="79"/>
  <c r="D691" i="79"/>
  <c r="G142" i="79"/>
  <c r="C144" i="79"/>
  <c r="C167" i="79"/>
  <c r="C179" i="79"/>
  <c r="D389" i="79"/>
  <c r="G389" i="79" s="1"/>
  <c r="D400" i="79"/>
  <c r="G400" i="79" s="1"/>
  <c r="D414" i="79"/>
  <c r="C431" i="79"/>
  <c r="C381" i="79"/>
  <c r="C156" i="79"/>
  <c r="C187" i="79"/>
  <c r="C421" i="79"/>
  <c r="C440" i="79"/>
  <c r="G570" i="79"/>
  <c r="D562" i="79"/>
  <c r="G562" i="79" s="1"/>
  <c r="C576" i="79"/>
  <c r="D576" i="79"/>
  <c r="D580" i="79"/>
  <c r="C580" i="79"/>
  <c r="D623" i="79"/>
  <c r="G623" i="79" s="1"/>
  <c r="C623" i="79"/>
  <c r="G156" i="79"/>
  <c r="C422" i="79"/>
  <c r="D428" i="79"/>
  <c r="C428" i="79"/>
  <c r="C579" i="79"/>
  <c r="D586" i="79"/>
  <c r="D642" i="79"/>
  <c r="G642" i="79" s="1"/>
  <c r="D709" i="79"/>
  <c r="D716" i="79"/>
  <c r="G716" i="79" s="1"/>
  <c r="C220" i="79"/>
  <c r="D241" i="79"/>
  <c r="D243" i="79"/>
  <c r="C245" i="79"/>
  <c r="D246" i="79"/>
  <c r="G246" i="79" s="1"/>
  <c r="C247" i="79"/>
  <c r="C457" i="79"/>
  <c r="C459" i="79"/>
  <c r="D474" i="79"/>
  <c r="C484" i="79"/>
  <c r="D493" i="79"/>
  <c r="D513" i="79"/>
  <c r="D517" i="79"/>
  <c r="C525" i="79"/>
  <c r="D528" i="79"/>
  <c r="D277" i="79"/>
  <c r="G277" i="79" s="1"/>
  <c r="D279" i="79"/>
  <c r="G279" i="79" s="1"/>
  <c r="C273" i="79"/>
  <c r="G443" i="79"/>
  <c r="C446" i="79"/>
  <c r="C467" i="79"/>
  <c r="G410" i="79"/>
  <c r="C581" i="79"/>
  <c r="D588" i="79"/>
  <c r="C622" i="79"/>
  <c r="D624" i="79"/>
  <c r="G624" i="79" s="1"/>
  <c r="C626" i="79"/>
  <c r="D632" i="79"/>
  <c r="G632" i="79"/>
  <c r="G703" i="79"/>
  <c r="D711" i="79"/>
  <c r="G711" i="79" s="1"/>
  <c r="G212" i="79"/>
  <c r="D216" i="79"/>
  <c r="G216" i="79" s="1"/>
  <c r="G273" i="79"/>
  <c r="D110" i="78"/>
  <c r="C25" i="79"/>
  <c r="D26" i="79"/>
  <c r="D44" i="79"/>
  <c r="D27" i="79"/>
  <c r="G27" i="79" s="1"/>
  <c r="C298" i="79"/>
  <c r="C335" i="79"/>
  <c r="C540" i="79"/>
  <c r="C594" i="79"/>
  <c r="C600" i="79"/>
  <c r="C620" i="79"/>
  <c r="D658" i="79"/>
  <c r="C675" i="79"/>
  <c r="C79" i="79"/>
  <c r="D369" i="79"/>
  <c r="D311" i="79"/>
  <c r="C545" i="79"/>
  <c r="C546" i="79"/>
  <c r="C550" i="79"/>
  <c r="C554" i="79"/>
  <c r="C558" i="79"/>
  <c r="C606" i="79"/>
  <c r="D664" i="79"/>
  <c r="C672" i="79"/>
  <c r="C72" i="79"/>
  <c r="D77" i="79"/>
  <c r="G77" i="79" s="1"/>
  <c r="C78" i="79"/>
  <c r="D83" i="79"/>
  <c r="G83" i="79" s="1"/>
  <c r="D109" i="79"/>
  <c r="C109" i="79"/>
  <c r="D132" i="79"/>
  <c r="D134" i="79"/>
  <c r="G134" i="79" s="1"/>
  <c r="C353" i="79"/>
  <c r="D358" i="79"/>
  <c r="G358" i="79" s="1"/>
  <c r="D678" i="79"/>
  <c r="G678" i="79" s="1"/>
  <c r="C612" i="79"/>
  <c r="C71" i="79"/>
  <c r="C87" i="79"/>
  <c r="D99" i="79"/>
  <c r="D368" i="79"/>
  <c r="C133" i="79"/>
  <c r="C367" i="79"/>
  <c r="D367" i="79"/>
  <c r="C680" i="79"/>
  <c r="C140" i="79"/>
  <c r="C196" i="79"/>
  <c r="D412" i="79"/>
  <c r="C429" i="79"/>
  <c r="C437" i="79"/>
  <c r="C561" i="79"/>
  <c r="C567" i="79"/>
  <c r="D572" i="79"/>
  <c r="G572" i="79" s="1"/>
  <c r="D575" i="79"/>
  <c r="D636" i="79"/>
  <c r="C703" i="79"/>
  <c r="C724" i="79"/>
  <c r="D239" i="79"/>
  <c r="C239" i="79"/>
  <c r="C142" i="79"/>
  <c r="C150" i="79"/>
  <c r="D566" i="79"/>
  <c r="C587" i="79"/>
  <c r="D708" i="79"/>
  <c r="G708" i="79" s="1"/>
  <c r="C708" i="79"/>
  <c r="C717" i="79"/>
  <c r="C222" i="79"/>
  <c r="C228" i="79"/>
  <c r="C238" i="79"/>
  <c r="D238" i="79"/>
  <c r="D563" i="79"/>
  <c r="G563" i="79" s="1"/>
  <c r="C563" i="79"/>
  <c r="D571" i="79"/>
  <c r="G571" i="79" s="1"/>
  <c r="C571" i="79"/>
  <c r="D589" i="79"/>
  <c r="G589" i="79" s="1"/>
  <c r="D635" i="79"/>
  <c r="C635" i="79"/>
  <c r="D641" i="79"/>
  <c r="G641" i="79" s="1"/>
  <c r="C719" i="79"/>
  <c r="C208" i="79"/>
  <c r="D208" i="79"/>
  <c r="D218" i="79"/>
  <c r="G218" i="79" s="1"/>
  <c r="D224" i="79"/>
  <c r="D565" i="79"/>
  <c r="G565" i="79"/>
  <c r="C565" i="79"/>
  <c r="C647" i="79"/>
  <c r="D647" i="79"/>
  <c r="C251" i="79"/>
  <c r="D258" i="79"/>
  <c r="G258" i="79" s="1"/>
  <c r="C258" i="79"/>
  <c r="D445" i="79"/>
  <c r="G445" i="79"/>
  <c r="D449" i="79"/>
  <c r="G449" i="79" s="1"/>
  <c r="C449" i="79"/>
  <c r="D478" i="79"/>
  <c r="D483" i="79"/>
  <c r="C483" i="79"/>
  <c r="D487" i="79"/>
  <c r="C487" i="79"/>
  <c r="C521" i="79"/>
  <c r="D486" i="79"/>
  <c r="C486" i="79"/>
  <c r="D491" i="79"/>
  <c r="C491" i="79"/>
  <c r="D447" i="79"/>
  <c r="G447" i="79" s="1"/>
  <c r="C447" i="79"/>
  <c r="D465" i="79"/>
  <c r="C465" i="79"/>
  <c r="C471" i="79"/>
  <c r="C477" i="79"/>
  <c r="C489" i="79"/>
  <c r="D496" i="79"/>
  <c r="C496" i="79"/>
  <c r="C501" i="79"/>
  <c r="D511" i="79"/>
  <c r="D515" i="79"/>
  <c r="C515" i="79"/>
  <c r="D519" i="79"/>
  <c r="D282" i="79"/>
  <c r="G282" i="79" s="1"/>
  <c r="C282" i="79"/>
  <c r="C253" i="79"/>
  <c r="D256" i="79"/>
  <c r="G256" i="79" s="1"/>
  <c r="D260" i="79"/>
  <c r="C261" i="79"/>
  <c r="D268" i="79"/>
  <c r="C269" i="79"/>
  <c r="C443" i="79"/>
  <c r="C464" i="79"/>
  <c r="D464" i="79"/>
  <c r="D476" i="79"/>
  <c r="C476" i="79"/>
  <c r="D500" i="79"/>
  <c r="C509" i="79"/>
  <c r="D509" i="79"/>
  <c r="D514" i="79"/>
  <c r="D518" i="79"/>
  <c r="C518" i="79"/>
  <c r="D523" i="79"/>
  <c r="C523" i="79"/>
  <c r="C730" i="79"/>
  <c r="D730" i="79"/>
  <c r="G730" i="79" s="1"/>
  <c r="C732" i="79"/>
  <c r="D732" i="79"/>
  <c r="G732" i="79"/>
  <c r="C740" i="79"/>
  <c r="C742" i="79"/>
  <c r="D742" i="79"/>
  <c r="G742" i="79" s="1"/>
  <c r="C744" i="79"/>
  <c r="D744" i="79"/>
  <c r="G744" i="79" s="1"/>
  <c r="D746" i="79"/>
  <c r="C751" i="79"/>
  <c r="D751" i="79"/>
  <c r="G751" i="79" s="1"/>
  <c r="D731" i="79"/>
  <c r="G731" i="79" s="1"/>
  <c r="D735" i="79"/>
  <c r="D737" i="79"/>
  <c r="G737" i="79" s="1"/>
  <c r="D741" i="79"/>
  <c r="G741" i="79" s="1"/>
  <c r="D743" i="79"/>
  <c r="G743" i="79" s="1"/>
  <c r="D745" i="79"/>
  <c r="D747" i="79"/>
  <c r="G747" i="79" s="1"/>
  <c r="D285" i="79"/>
  <c r="D254" i="79"/>
  <c r="I43" i="86"/>
  <c r="Q20" i="86"/>
  <c r="I44" i="86"/>
  <c r="Q25" i="86"/>
  <c r="D668" i="79"/>
  <c r="O226" i="79"/>
  <c r="O227" i="79"/>
  <c r="C696" i="79"/>
  <c r="O750" i="79"/>
  <c r="O89" i="79"/>
  <c r="O723" i="79"/>
  <c r="K23" i="85"/>
  <c r="K19" i="85"/>
  <c r="K207" i="85"/>
  <c r="K17" i="85"/>
  <c r="E12" i="87"/>
  <c r="F12" i="87" s="1"/>
  <c r="G12" i="87" s="1"/>
  <c r="K18" i="85"/>
  <c r="I54" i="78"/>
  <c r="I18" i="78"/>
  <c r="I9" i="78"/>
  <c r="I52" i="78"/>
  <c r="I40" i="78"/>
  <c r="G696" i="79"/>
  <c r="G181" i="79"/>
  <c r="O181" i="79"/>
  <c r="O721" i="79"/>
  <c r="O668" i="79"/>
  <c r="G220" i="79"/>
  <c r="O155" i="79"/>
  <c r="O748" i="79"/>
  <c r="O749" i="79"/>
  <c r="O667" i="79"/>
  <c r="O154" i="79"/>
  <c r="O578" i="79"/>
  <c r="O574" i="79"/>
  <c r="O570" i="79"/>
  <c r="O566" i="79"/>
  <c r="O562" i="79"/>
  <c r="O440" i="79"/>
  <c r="O436" i="79"/>
  <c r="O432" i="79"/>
  <c r="O428" i="79"/>
  <c r="O424" i="79"/>
  <c r="O420" i="79"/>
  <c r="O416" i="79"/>
  <c r="O412" i="79"/>
  <c r="O408" i="79"/>
  <c r="O404" i="79"/>
  <c r="O400" i="79"/>
  <c r="O396" i="79"/>
  <c r="O392" i="79"/>
  <c r="O388" i="79"/>
  <c r="O206" i="79"/>
  <c r="O202" i="79"/>
  <c r="O198" i="79"/>
  <c r="O190" i="79"/>
  <c r="O186" i="79"/>
  <c r="O182" i="79"/>
  <c r="O177" i="79"/>
  <c r="O169" i="79"/>
  <c r="O298" i="79"/>
  <c r="O161" i="79"/>
  <c r="O157" i="79"/>
  <c r="O151" i="79"/>
  <c r="O147" i="79"/>
  <c r="O143" i="79"/>
  <c r="O139" i="79"/>
  <c r="O702" i="79"/>
  <c r="O691" i="79"/>
  <c r="O683" i="79"/>
  <c r="O681" i="79"/>
  <c r="G185" i="79"/>
  <c r="O52" i="79"/>
  <c r="O27" i="79"/>
  <c r="D113" i="79"/>
  <c r="D377" i="79"/>
  <c r="C505" i="79"/>
  <c r="D3" i="79"/>
  <c r="G344" i="79"/>
  <c r="D639" i="79"/>
  <c r="C639" i="79"/>
  <c r="O736" i="79"/>
  <c r="O588" i="79"/>
  <c r="O549" i="79"/>
  <c r="O285" i="79"/>
  <c r="O63" i="79"/>
  <c r="O38" i="79"/>
  <c r="O12" i="79"/>
  <c r="O4" i="79"/>
  <c r="O278" i="79"/>
  <c r="O735" i="79"/>
  <c r="O494" i="79"/>
  <c r="O482" i="79"/>
  <c r="O272" i="79"/>
  <c r="O256" i="79"/>
  <c r="O248" i="79"/>
  <c r="O244" i="79"/>
  <c r="O228" i="79"/>
  <c r="O218" i="79"/>
  <c r="O210" i="79"/>
  <c r="O728" i="79"/>
  <c r="O724" i="79"/>
  <c r="O717" i="79"/>
  <c r="O713" i="79"/>
  <c r="O705" i="79"/>
  <c r="O639" i="79"/>
  <c r="O631" i="79"/>
  <c r="O623" i="79"/>
  <c r="O603" i="79"/>
  <c r="O306" i="79"/>
  <c r="O341" i="79"/>
  <c r="O79" i="79"/>
  <c r="O71" i="79"/>
  <c r="O546" i="79"/>
  <c r="O542" i="79"/>
  <c r="O538" i="79"/>
  <c r="O530" i="79"/>
  <c r="O333" i="79"/>
  <c r="O309" i="79"/>
  <c r="O290" i="79"/>
  <c r="O68" i="79"/>
  <c r="O60" i="79"/>
  <c r="O43" i="79"/>
  <c r="O35" i="79"/>
  <c r="O17" i="79"/>
  <c r="O9" i="79"/>
  <c r="O559" i="79"/>
  <c r="O557" i="79"/>
  <c r="O325" i="79"/>
  <c r="O321" i="79"/>
  <c r="O317" i="79"/>
  <c r="O308" i="79"/>
  <c r="O62" i="79"/>
  <c r="O29" i="79"/>
  <c r="G293" i="79"/>
  <c r="O591" i="79"/>
  <c r="O587" i="79"/>
  <c r="O54" i="79"/>
  <c r="O30" i="79"/>
  <c r="O19" i="79"/>
  <c r="O514" i="79"/>
  <c r="O625" i="79"/>
  <c r="O609" i="79"/>
  <c r="O301" i="79"/>
  <c r="O292" i="79"/>
  <c r="O55" i="79"/>
  <c r="O45" i="79"/>
  <c r="O20" i="79"/>
  <c r="O11" i="79"/>
  <c r="O129" i="79"/>
  <c r="O121" i="79"/>
  <c r="O113" i="79"/>
  <c r="O105" i="79"/>
  <c r="O97" i="79"/>
  <c r="O87" i="79"/>
  <c r="O83" i="79"/>
  <c r="O673" i="79"/>
  <c r="O662" i="79"/>
  <c r="O654" i="79"/>
  <c r="O650" i="79"/>
  <c r="O618" i="79"/>
  <c r="O316" i="79"/>
  <c r="O293" i="79"/>
  <c r="O284" i="79"/>
  <c r="O46" i="79"/>
  <c r="O37" i="79"/>
  <c r="C570" i="79"/>
  <c r="O280" i="79"/>
  <c r="O731" i="79"/>
  <c r="O525" i="79"/>
  <c r="O520" i="79"/>
  <c r="O485" i="79"/>
  <c r="O477" i="79"/>
  <c r="O465" i="79"/>
  <c r="O445" i="79"/>
  <c r="O255" i="79"/>
  <c r="O247" i="79"/>
  <c r="O239" i="79"/>
  <c r="O221" i="79"/>
  <c r="O213" i="79"/>
  <c r="O727" i="79"/>
  <c r="O716" i="79"/>
  <c r="O708" i="79"/>
  <c r="O704" i="79"/>
  <c r="O642" i="79"/>
  <c r="O634" i="79"/>
  <c r="O630" i="79"/>
  <c r="O626" i="79"/>
  <c r="O581" i="79"/>
  <c r="O577" i="79"/>
  <c r="O573" i="79"/>
  <c r="O569" i="79"/>
  <c r="O427" i="79"/>
  <c r="O423" i="79"/>
  <c r="O419" i="79"/>
  <c r="O415" i="79"/>
  <c r="O411" i="79"/>
  <c r="O407" i="79"/>
  <c r="O403" i="79"/>
  <c r="O399" i="79"/>
  <c r="O395" i="79"/>
  <c r="O391" i="79"/>
  <c r="O387" i="79"/>
  <c r="O205" i="79"/>
  <c r="O201" i="79"/>
  <c r="O197" i="79"/>
  <c r="O193" i="79"/>
  <c r="O189" i="79"/>
  <c r="O185" i="79"/>
  <c r="O180" i="79"/>
  <c r="O172" i="79"/>
  <c r="O164" i="79"/>
  <c r="O160" i="79"/>
  <c r="O156" i="79"/>
  <c r="O150" i="79"/>
  <c r="O274" i="79"/>
  <c r="O262" i="79"/>
  <c r="O250" i="79"/>
  <c r="O242" i="79"/>
  <c r="O234" i="79"/>
  <c r="O216" i="79"/>
  <c r="O208" i="79"/>
  <c r="O715" i="79"/>
  <c r="O703" i="79"/>
  <c r="O645" i="79"/>
  <c r="O641" i="79"/>
  <c r="O637" i="79"/>
  <c r="O633" i="79"/>
  <c r="O592" i="79"/>
  <c r="O410" i="79"/>
  <c r="O406" i="79"/>
  <c r="O402" i="79"/>
  <c r="O398" i="79"/>
  <c r="O394" i="79"/>
  <c r="O390" i="79"/>
  <c r="O386" i="79"/>
  <c r="O204" i="79"/>
  <c r="O200" i="79"/>
  <c r="O196" i="79"/>
  <c r="O192" i="79"/>
  <c r="O184" i="79"/>
  <c r="O175" i="79"/>
  <c r="O167" i="79"/>
  <c r="O163" i="79"/>
  <c r="O159" i="79"/>
  <c r="O153" i="79"/>
  <c r="O149" i="79"/>
  <c r="O471" i="79"/>
  <c r="O467" i="79"/>
  <c r="O459" i="79"/>
  <c r="O451" i="79"/>
  <c r="O229" i="79"/>
  <c r="O223" i="79"/>
  <c r="O219" i="79"/>
  <c r="O718" i="79"/>
  <c r="O710" i="79"/>
  <c r="O636" i="79"/>
  <c r="O628" i="79"/>
  <c r="O622" i="79"/>
  <c r="O586" i="79"/>
  <c r="O575" i="79"/>
  <c r="O567" i="79"/>
  <c r="O441" i="79"/>
  <c r="O437" i="79"/>
  <c r="O433" i="79"/>
  <c r="O429" i="79"/>
  <c r="O425" i="79"/>
  <c r="O413" i="79"/>
  <c r="O409" i="79"/>
  <c r="O405" i="79"/>
  <c r="O401" i="79"/>
  <c r="O397" i="79"/>
  <c r="O393" i="79"/>
  <c r="O389" i="79"/>
  <c r="O207" i="79"/>
  <c r="O203" i="79"/>
  <c r="O199" i="79"/>
  <c r="O195" i="79"/>
  <c r="O187" i="79"/>
  <c r="O178" i="79"/>
  <c r="O170" i="79"/>
  <c r="O166" i="79"/>
  <c r="O162" i="79"/>
  <c r="O158" i="79"/>
  <c r="O152" i="79"/>
  <c r="O148" i="79"/>
  <c r="O144" i="79"/>
  <c r="O146" i="79"/>
  <c r="O142" i="79"/>
  <c r="O138" i="79"/>
  <c r="O697" i="79"/>
  <c r="O690" i="79"/>
  <c r="O682" i="79"/>
  <c r="O384" i="79"/>
  <c r="O380" i="79"/>
  <c r="O376" i="79"/>
  <c r="O372" i="79"/>
  <c r="O364" i="79"/>
  <c r="O360" i="79"/>
  <c r="O352" i="79"/>
  <c r="O344" i="79"/>
  <c r="O132" i="79"/>
  <c r="O124" i="79"/>
  <c r="O116" i="79"/>
  <c r="O108" i="79"/>
  <c r="O100" i="79"/>
  <c r="O92" i="79"/>
  <c r="O86" i="79"/>
  <c r="O82" i="79"/>
  <c r="O78" i="79"/>
  <c r="O74" i="79"/>
  <c r="O70" i="79"/>
  <c r="O665" i="79"/>
  <c r="O661" i="79"/>
  <c r="O657" i="79"/>
  <c r="O653" i="79"/>
  <c r="O649" i="79"/>
  <c r="O617" i="79"/>
  <c r="O595" i="79"/>
  <c r="O593" i="79"/>
  <c r="O552" i="79"/>
  <c r="O533" i="79"/>
  <c r="O336" i="79"/>
  <c r="O328" i="79"/>
  <c r="O324" i="79"/>
  <c r="O311" i="79"/>
  <c r="O303" i="79"/>
  <c r="O295" i="79"/>
  <c r="O65" i="79"/>
  <c r="O57" i="79"/>
  <c r="O40" i="79"/>
  <c r="O32" i="79"/>
  <c r="O24" i="79"/>
  <c r="O14" i="79"/>
  <c r="O6" i="79"/>
  <c r="O145" i="79"/>
  <c r="O141" i="79"/>
  <c r="O700" i="79"/>
  <c r="O693" i="79"/>
  <c r="O685" i="79"/>
  <c r="O679" i="79"/>
  <c r="O677" i="79"/>
  <c r="O383" i="79"/>
  <c r="O379" i="79"/>
  <c r="O375" i="79"/>
  <c r="O371" i="79"/>
  <c r="O367" i="79"/>
  <c r="O363" i="79"/>
  <c r="O359" i="79"/>
  <c r="O355" i="79"/>
  <c r="O347" i="79"/>
  <c r="O135" i="79"/>
  <c r="O127" i="79"/>
  <c r="O123" i="79"/>
  <c r="O119" i="79"/>
  <c r="O115" i="79"/>
  <c r="O111" i="79"/>
  <c r="O103" i="79"/>
  <c r="O95" i="79"/>
  <c r="O91" i="79"/>
  <c r="O85" i="79"/>
  <c r="O81" i="79"/>
  <c r="O77" i="79"/>
  <c r="O73" i="79"/>
  <c r="O671" i="79"/>
  <c r="O660" i="79"/>
  <c r="O656" i="79"/>
  <c r="O652" i="79"/>
  <c r="O620" i="79"/>
  <c r="O614" i="79"/>
  <c r="O555" i="79"/>
  <c r="O532" i="79"/>
  <c r="O339" i="79"/>
  <c r="O335" i="79"/>
  <c r="O331" i="79"/>
  <c r="O327" i="79"/>
  <c r="O319" i="79"/>
  <c r="O313" i="79"/>
  <c r="O305" i="79"/>
  <c r="O297" i="79"/>
  <c r="O289" i="79"/>
  <c r="O67" i="79"/>
  <c r="O59" i="79"/>
  <c r="O51" i="79"/>
  <c r="O42" i="79"/>
  <c r="O34" i="79"/>
  <c r="O26" i="79"/>
  <c r="O16" i="79"/>
  <c r="O8" i="79"/>
  <c r="O136" i="79"/>
  <c r="O688" i="79"/>
  <c r="O680" i="79"/>
  <c r="O346" i="79"/>
  <c r="O342" i="79"/>
  <c r="O134" i="79"/>
  <c r="O130" i="79"/>
  <c r="O126" i="79"/>
  <c r="O122" i="79"/>
  <c r="O118" i="79"/>
  <c r="O114" i="79"/>
  <c r="O110" i="79"/>
  <c r="O106" i="79"/>
  <c r="O102" i="79"/>
  <c r="O98" i="79"/>
  <c r="O94" i="79"/>
  <c r="O90" i="79"/>
  <c r="O84" i="79"/>
  <c r="O80" i="79"/>
  <c r="O76" i="79"/>
  <c r="O72" i="79"/>
  <c r="O674" i="79"/>
  <c r="O670" i="79"/>
  <c r="O663" i="79"/>
  <c r="O659" i="79"/>
  <c r="O651" i="79"/>
  <c r="O619" i="79"/>
  <c r="O615" i="79"/>
  <c r="O611" i="79"/>
  <c r="O554" i="79"/>
  <c r="O547" i="79"/>
  <c r="O539" i="79"/>
  <c r="O535" i="79"/>
  <c r="O338" i="79"/>
  <c r="O330" i="79"/>
  <c r="O496" i="79"/>
  <c r="O480" i="79"/>
  <c r="O476" i="79"/>
  <c r="O472" i="79"/>
  <c r="O448" i="79"/>
  <c r="O561" i="79"/>
  <c r="O439" i="79"/>
  <c r="O435" i="79"/>
  <c r="O431" i="79"/>
  <c r="O572" i="79"/>
  <c r="O564" i="79"/>
  <c r="O438" i="79"/>
  <c r="O434" i="79"/>
  <c r="O430" i="79"/>
  <c r="O426" i="79"/>
  <c r="O422" i="79"/>
  <c r="O418" i="79"/>
  <c r="O414" i="79"/>
  <c r="O421" i="79"/>
  <c r="O417" i="79"/>
  <c r="O676" i="79"/>
  <c r="O382" i="79"/>
  <c r="O378" i="79"/>
  <c r="O374" i="79"/>
  <c r="O370" i="79"/>
  <c r="O366" i="79"/>
  <c r="O362" i="79"/>
  <c r="O358" i="79"/>
  <c r="O354" i="79"/>
  <c r="O350" i="79"/>
  <c r="O385" i="79"/>
  <c r="O381" i="79"/>
  <c r="O377" i="79"/>
  <c r="O373" i="79"/>
  <c r="O369" i="79"/>
  <c r="O365" i="79"/>
  <c r="O361" i="79"/>
  <c r="O357" i="79"/>
  <c r="O349" i="79"/>
  <c r="O596" i="79"/>
  <c r="O556" i="79"/>
  <c r="O541" i="79"/>
  <c r="O598" i="79"/>
  <c r="O558" i="79"/>
  <c r="O550" i="79"/>
  <c r="O544" i="79"/>
  <c r="O536" i="79"/>
  <c r="AD32" i="48"/>
  <c r="AE32" i="48"/>
  <c r="O669" i="79"/>
  <c r="D723" i="79"/>
  <c r="G723" i="79" s="1"/>
  <c r="D669" i="79"/>
  <c r="G669" i="79" s="1"/>
  <c r="C694" i="79"/>
  <c r="M7" i="45"/>
  <c r="AN6" i="47"/>
  <c r="D7" i="46"/>
  <c r="J7" i="46" s="1"/>
  <c r="AI6" i="47"/>
  <c r="D7" i="48"/>
  <c r="J7" i="48" s="1"/>
  <c r="AJ36" i="48"/>
  <c r="AK36" i="48" s="1"/>
  <c r="AJ28" i="48"/>
  <c r="AK28" i="48"/>
  <c r="AJ12" i="48"/>
  <c r="AK12" i="48" s="1"/>
  <c r="AJ16" i="48"/>
  <c r="AK16" i="48" s="1"/>
  <c r="AJ10" i="48"/>
  <c r="AK10" i="48" s="1"/>
  <c r="AK27" i="48"/>
  <c r="AD35" i="48"/>
  <c r="AE35" i="48" s="1"/>
  <c r="AD37" i="48"/>
  <c r="AE37" i="48" s="1"/>
  <c r="AD24" i="48"/>
  <c r="AE24" i="48" s="1"/>
  <c r="AD12" i="48"/>
  <c r="AE12" i="48" s="1"/>
  <c r="AD26" i="48"/>
  <c r="AE26" i="48" s="1"/>
  <c r="AD16" i="48"/>
  <c r="AB28" i="48"/>
  <c r="AD28" i="48" s="1"/>
  <c r="AE28" i="48" s="1"/>
  <c r="L34" i="48"/>
  <c r="M34" i="48" s="1"/>
  <c r="R17" i="48"/>
  <c r="S17" i="48" s="1"/>
  <c r="R26" i="48"/>
  <c r="L37" i="48"/>
  <c r="M37" i="48" s="1"/>
  <c r="L15" i="48"/>
  <c r="M15" i="48" s="1"/>
  <c r="M18" i="48"/>
  <c r="L16" i="48"/>
  <c r="M16" i="48" s="1"/>
  <c r="L14" i="48"/>
  <c r="M14" i="48" s="1"/>
  <c r="L11" i="48"/>
  <c r="M11" i="48" s="1"/>
  <c r="L23" i="48"/>
  <c r="M23" i="48" s="1"/>
  <c r="L22" i="48"/>
  <c r="M22" i="48" s="1"/>
  <c r="M12" i="48"/>
  <c r="P32" i="46"/>
  <c r="F72" i="80"/>
  <c r="G72" i="80" s="1"/>
  <c r="L32" i="46"/>
  <c r="M32" i="46" s="1"/>
  <c r="N32" i="46"/>
  <c r="L31" i="46"/>
  <c r="M31" i="46" s="1"/>
  <c r="L28" i="46"/>
  <c r="M28" i="46" s="1"/>
  <c r="L35" i="46"/>
  <c r="M35" i="46" s="1"/>
  <c r="L23" i="46"/>
  <c r="M23" i="46" s="1"/>
  <c r="L21" i="46"/>
  <c r="M21" i="46" s="1"/>
  <c r="L18" i="46"/>
  <c r="M18" i="46" s="1"/>
  <c r="L14" i="46"/>
  <c r="M14" i="46"/>
  <c r="M17" i="46"/>
  <c r="L13" i="46"/>
  <c r="M13" i="46" s="1"/>
  <c r="L10" i="46"/>
  <c r="M10" i="46" s="1"/>
  <c r="F32" i="46"/>
  <c r="G32" i="46" s="1"/>
  <c r="L42" i="45"/>
  <c r="M42" i="45" s="1"/>
  <c r="L40" i="45"/>
  <c r="M40" i="45" s="1"/>
  <c r="L38" i="45"/>
  <c r="M38" i="45" s="1"/>
  <c r="L36" i="45"/>
  <c r="M36" i="45" s="1"/>
  <c r="L34" i="45"/>
  <c r="M34" i="45" s="1"/>
  <c r="M20" i="45"/>
  <c r="L16" i="45"/>
  <c r="M16" i="45" s="1"/>
  <c r="L14" i="45"/>
  <c r="M14" i="45" s="1"/>
  <c r="L23" i="45"/>
  <c r="M23" i="45" s="1"/>
  <c r="L24" i="45"/>
  <c r="M24" i="45" s="1"/>
  <c r="L22" i="45"/>
  <c r="M22" i="45" s="1"/>
  <c r="V112" i="44"/>
  <c r="Z112" i="44"/>
  <c r="V105" i="44"/>
  <c r="AA92" i="44"/>
  <c r="AA84" i="44"/>
  <c r="AA77" i="44"/>
  <c r="V114" i="44"/>
  <c r="Z114" i="44"/>
  <c r="V108" i="44"/>
  <c r="AA108" i="44" s="1"/>
  <c r="Z108" i="44"/>
  <c r="AB107" i="44"/>
  <c r="V104" i="44"/>
  <c r="AA104" i="44" s="1"/>
  <c r="V100" i="44"/>
  <c r="Z100" i="44"/>
  <c r="AB99" i="44"/>
  <c r="X86" i="44"/>
  <c r="Y86" i="44" s="1"/>
  <c r="Z116" i="44"/>
  <c r="AB106" i="44"/>
  <c r="Z103" i="44"/>
  <c r="X88" i="44"/>
  <c r="Y88" i="44" s="1"/>
  <c r="AA79" i="44"/>
  <c r="AB121" i="44"/>
  <c r="Z110" i="44"/>
  <c r="Z106" i="44"/>
  <c r="V102" i="44"/>
  <c r="AA102" i="44" s="1"/>
  <c r="Z102" i="44"/>
  <c r="Z95" i="44"/>
  <c r="V80" i="44"/>
  <c r="AA80" i="44" s="1"/>
  <c r="Z80" i="44"/>
  <c r="X75" i="44"/>
  <c r="Y75" i="44" s="1"/>
  <c r="AB75" i="44"/>
  <c r="V72" i="44"/>
  <c r="X67" i="44"/>
  <c r="Y67" i="44" s="1"/>
  <c r="V63" i="44"/>
  <c r="X63" i="44" s="1"/>
  <c r="Y63" i="44" s="1"/>
  <c r="Z63" i="44"/>
  <c r="Y85" i="44"/>
  <c r="Y83" i="44"/>
  <c r="V82" i="44"/>
  <c r="Z82" i="44"/>
  <c r="X77" i="44"/>
  <c r="Y77" i="44" s="1"/>
  <c r="V74" i="44"/>
  <c r="X74" i="44" s="1"/>
  <c r="Y74" i="44" s="1"/>
  <c r="Z74" i="44"/>
  <c r="X69" i="44"/>
  <c r="Y69" i="44" s="1"/>
  <c r="AB69" i="44"/>
  <c r="V66" i="44"/>
  <c r="Z66" i="44"/>
  <c r="V49" i="44"/>
  <c r="Z49" i="44"/>
  <c r="Z92" i="44"/>
  <c r="Z88" i="44"/>
  <c r="Z84" i="44"/>
  <c r="AB83" i="44"/>
  <c r="X79" i="44"/>
  <c r="Y79" i="44" s="1"/>
  <c r="AB79" i="44"/>
  <c r="V76" i="44"/>
  <c r="Z76" i="44"/>
  <c r="X71" i="44"/>
  <c r="Y71" i="44" s="1"/>
  <c r="AB71" i="44"/>
  <c r="V68" i="44"/>
  <c r="Z68" i="44"/>
  <c r="V57" i="44"/>
  <c r="X57" i="44" s="1"/>
  <c r="Y57" i="44" s="1"/>
  <c r="X81" i="44"/>
  <c r="Y81" i="44" s="1"/>
  <c r="V78" i="44"/>
  <c r="Z78" i="44"/>
  <c r="X73" i="44"/>
  <c r="Y73" i="44" s="1"/>
  <c r="AB73" i="44"/>
  <c r="V70" i="44"/>
  <c r="AA70" i="44" s="1"/>
  <c r="Z70" i="44"/>
  <c r="X65" i="44"/>
  <c r="Y65" i="44" s="1"/>
  <c r="AB65" i="44"/>
  <c r="X52" i="44"/>
  <c r="Y52" i="44"/>
  <c r="AB52" i="44"/>
  <c r="AB44" i="44"/>
  <c r="V41" i="44"/>
  <c r="Z41" i="44"/>
  <c r="V33" i="44"/>
  <c r="X62" i="44"/>
  <c r="Y62" i="44" s="1"/>
  <c r="AB62" i="44"/>
  <c r="V59" i="44"/>
  <c r="X59" i="44" s="1"/>
  <c r="Y59" i="44" s="1"/>
  <c r="Z59" i="44"/>
  <c r="X54" i="44"/>
  <c r="Y54" i="44" s="1"/>
  <c r="AB54" i="44"/>
  <c r="V51" i="44"/>
  <c r="X51" i="44" s="1"/>
  <c r="Y51" i="44" s="1"/>
  <c r="AB46" i="44"/>
  <c r="V43" i="44"/>
  <c r="AA43" i="44" s="1"/>
  <c r="X64" i="44"/>
  <c r="Y64" i="44" s="1"/>
  <c r="V61" i="44"/>
  <c r="X61" i="44" s="1"/>
  <c r="Z61" i="44"/>
  <c r="V53" i="44"/>
  <c r="Z53" i="44"/>
  <c r="X48" i="44"/>
  <c r="Y48" i="44" s="1"/>
  <c r="X58" i="44"/>
  <c r="Y58" i="44" s="1"/>
  <c r="AB58" i="44"/>
  <c r="V55" i="44"/>
  <c r="Z55" i="44"/>
  <c r="X50" i="44"/>
  <c r="Y50" i="44"/>
  <c r="AB50" i="44"/>
  <c r="V47" i="44"/>
  <c r="AA47" i="44" s="1"/>
  <c r="Z47" i="44"/>
  <c r="X42" i="44"/>
  <c r="AB42" i="44"/>
  <c r="AB34" i="44"/>
  <c r="V31" i="44"/>
  <c r="Z31" i="44"/>
  <c r="X15" i="44"/>
  <c r="Y15" i="44" s="1"/>
  <c r="R119" i="44"/>
  <c r="S119" i="44" s="1"/>
  <c r="R114" i="44"/>
  <c r="S114" i="44" s="1"/>
  <c r="R111" i="44"/>
  <c r="S111" i="44" s="1"/>
  <c r="R106" i="44"/>
  <c r="S106" i="44" s="1"/>
  <c r="R103" i="44"/>
  <c r="S103" i="44" s="1"/>
  <c r="R98" i="44"/>
  <c r="S98" i="44" s="1"/>
  <c r="R90" i="44"/>
  <c r="S90" i="44" s="1"/>
  <c r="R87" i="44"/>
  <c r="S87" i="44" s="1"/>
  <c r="R82" i="44"/>
  <c r="S82" i="44" s="1"/>
  <c r="R79" i="44"/>
  <c r="S79" i="44" s="1"/>
  <c r="R74" i="44"/>
  <c r="S74" i="44" s="1"/>
  <c r="R71" i="44"/>
  <c r="S71" i="44" s="1"/>
  <c r="R58" i="44"/>
  <c r="S58" i="44" s="1"/>
  <c r="R55" i="44"/>
  <c r="S55" i="44" s="1"/>
  <c r="R54" i="44"/>
  <c r="S54" i="44" s="1"/>
  <c r="R51" i="44"/>
  <c r="S51" i="44" s="1"/>
  <c r="R46" i="44"/>
  <c r="S46" i="44" s="1"/>
  <c r="R43" i="44"/>
  <c r="S43" i="44" s="1"/>
  <c r="R38" i="44"/>
  <c r="S38" i="44" s="1"/>
  <c r="S33" i="44"/>
  <c r="R118" i="44"/>
  <c r="S118" i="44" s="1"/>
  <c r="R110" i="44"/>
  <c r="S110" i="44" s="1"/>
  <c r="R107" i="44"/>
  <c r="S107" i="44" s="1"/>
  <c r="R102" i="44"/>
  <c r="S102" i="44" s="1"/>
  <c r="R99" i="44"/>
  <c r="S99" i="44" s="1"/>
  <c r="R94" i="44"/>
  <c r="S94" i="44" s="1"/>
  <c r="R86" i="44"/>
  <c r="S86" i="44" s="1"/>
  <c r="R83" i="44"/>
  <c r="S83" i="44" s="1"/>
  <c r="R78" i="44"/>
  <c r="S78" i="44" s="1"/>
  <c r="R75" i="44"/>
  <c r="S75" i="44" s="1"/>
  <c r="R70" i="44"/>
  <c r="S70" i="44" s="1"/>
  <c r="R63" i="44"/>
  <c r="S63" i="44" s="1"/>
  <c r="R59" i="44"/>
  <c r="S59" i="44" s="1"/>
  <c r="R42" i="44"/>
  <c r="S42" i="44" s="1"/>
  <c r="R31" i="44"/>
  <c r="S31" i="44" s="1"/>
  <c r="R22" i="44"/>
  <c r="S22" i="44" s="1"/>
  <c r="R16" i="44"/>
  <c r="S16" i="44" s="1"/>
  <c r="R26" i="44"/>
  <c r="S26" i="44" s="1"/>
  <c r="R10" i="44"/>
  <c r="S10" i="44" s="1"/>
  <c r="R24" i="44"/>
  <c r="S24" i="44" s="1"/>
  <c r="S13" i="44"/>
  <c r="L108" i="44"/>
  <c r="M108" i="44" s="1"/>
  <c r="L106" i="44"/>
  <c r="M106" i="44" s="1"/>
  <c r="L103" i="44"/>
  <c r="M103" i="44" s="1"/>
  <c r="L92" i="44"/>
  <c r="M92" i="44" s="1"/>
  <c r="L90" i="44"/>
  <c r="M90" i="44" s="1"/>
  <c r="L87" i="44"/>
  <c r="M87" i="44" s="1"/>
  <c r="L76" i="44"/>
  <c r="M76" i="44" s="1"/>
  <c r="L71" i="44"/>
  <c r="M71" i="44" s="1"/>
  <c r="M69" i="44"/>
  <c r="L52" i="44"/>
  <c r="M52" i="44" s="1"/>
  <c r="L50" i="44"/>
  <c r="M50" i="44" s="1"/>
  <c r="L47" i="44"/>
  <c r="M47" i="44" s="1"/>
  <c r="L33" i="44"/>
  <c r="M33" i="44" s="1"/>
  <c r="L99" i="44"/>
  <c r="M99" i="44" s="1"/>
  <c r="L83" i="44"/>
  <c r="M83" i="44" s="1"/>
  <c r="L67" i="44"/>
  <c r="M67" i="44" s="1"/>
  <c r="L64" i="44"/>
  <c r="M64" i="44" s="1"/>
  <c r="L59" i="44"/>
  <c r="M59" i="44" s="1"/>
  <c r="L43" i="44"/>
  <c r="M43" i="44" s="1"/>
  <c r="L40" i="44"/>
  <c r="M40" i="44" s="1"/>
  <c r="L100" i="44"/>
  <c r="M100" i="44" s="1"/>
  <c r="L98" i="44"/>
  <c r="M98" i="44" s="1"/>
  <c r="L95" i="44"/>
  <c r="M95" i="44" s="1"/>
  <c r="L84" i="44"/>
  <c r="M84" i="44" s="1"/>
  <c r="L58" i="44"/>
  <c r="M58" i="44" s="1"/>
  <c r="M48" i="44"/>
  <c r="L34" i="44"/>
  <c r="M34" i="44" s="1"/>
  <c r="L31" i="44"/>
  <c r="M31" i="44" s="1"/>
  <c r="L120" i="44"/>
  <c r="M120" i="44" s="1"/>
  <c r="L115" i="44"/>
  <c r="M115" i="44" s="1"/>
  <c r="L112" i="44"/>
  <c r="M112" i="44" s="1"/>
  <c r="L91" i="44"/>
  <c r="M91" i="44" s="1"/>
  <c r="L75" i="44"/>
  <c r="M75" i="44" s="1"/>
  <c r="L68" i="44"/>
  <c r="M68" i="44" s="1"/>
  <c r="L63" i="44"/>
  <c r="M63" i="44" s="1"/>
  <c r="L51" i="44"/>
  <c r="M51" i="44" s="1"/>
  <c r="L44" i="44"/>
  <c r="M44" i="44" s="1"/>
  <c r="L36" i="44"/>
  <c r="M36" i="44" s="1"/>
  <c r="L20" i="44"/>
  <c r="M20" i="44" s="1"/>
  <c r="L18" i="44"/>
  <c r="M18" i="44" s="1"/>
  <c r="L16" i="44"/>
  <c r="M16" i="44" s="1"/>
  <c r="L14" i="44"/>
  <c r="M14" i="44" s="1"/>
  <c r="L19" i="44"/>
  <c r="M19" i="44" s="1"/>
  <c r="M12" i="44"/>
  <c r="F35" i="44"/>
  <c r="G35" i="44" s="1"/>
  <c r="F49" i="44"/>
  <c r="G49" i="44" s="1"/>
  <c r="F43" i="44"/>
  <c r="G43" i="44" s="1"/>
  <c r="F41" i="44"/>
  <c r="F31" i="44"/>
  <c r="G31" i="44" s="1"/>
  <c r="F118" i="44"/>
  <c r="G118" i="44" s="1"/>
  <c r="F114" i="44"/>
  <c r="G114" i="44" s="1"/>
  <c r="F110" i="44"/>
  <c r="G110" i="44" s="1"/>
  <c r="F106" i="44"/>
  <c r="G106" i="44" s="1"/>
  <c r="F102" i="44"/>
  <c r="G102" i="44" s="1"/>
  <c r="F100" i="44"/>
  <c r="G100" i="44" s="1"/>
  <c r="F98" i="44"/>
  <c r="G98" i="44" s="1"/>
  <c r="F96" i="44"/>
  <c r="G96" i="44" s="1"/>
  <c r="F94" i="44"/>
  <c r="G94" i="44" s="1"/>
  <c r="F92" i="44"/>
  <c r="G92" i="44" s="1"/>
  <c r="F90" i="44"/>
  <c r="G90" i="44" s="1"/>
  <c r="F88" i="44"/>
  <c r="G88" i="44" s="1"/>
  <c r="F86" i="44"/>
  <c r="G86" i="44" s="1"/>
  <c r="F82" i="44"/>
  <c r="G82" i="44" s="1"/>
  <c r="F80" i="44"/>
  <c r="G80" i="44" s="1"/>
  <c r="F78" i="44"/>
  <c r="G78" i="44" s="1"/>
  <c r="F76" i="44"/>
  <c r="G76" i="44" s="1"/>
  <c r="F74" i="44"/>
  <c r="G74" i="44" s="1"/>
  <c r="F70" i="44"/>
  <c r="G70" i="44" s="1"/>
  <c r="F66" i="44"/>
  <c r="G66" i="44" s="1"/>
  <c r="F62" i="44"/>
  <c r="G62" i="44" s="1"/>
  <c r="F53" i="44"/>
  <c r="G53" i="44" s="1"/>
  <c r="G41" i="44"/>
  <c r="F39" i="44"/>
  <c r="G39" i="44" s="1"/>
  <c r="F37" i="44"/>
  <c r="G37" i="44" s="1"/>
  <c r="AJ73" i="80"/>
  <c r="AJ65" i="80"/>
  <c r="AJ57" i="80"/>
  <c r="AK57" i="80" s="1"/>
  <c r="AJ54" i="80"/>
  <c r="AK54" i="80" s="1"/>
  <c r="AJ49" i="80"/>
  <c r="AK49" i="80" s="1"/>
  <c r="AJ46" i="80"/>
  <c r="AK46" i="80" s="1"/>
  <c r="AJ41" i="80"/>
  <c r="AJ38" i="80"/>
  <c r="AK38" i="80" s="1"/>
  <c r="AJ77" i="80"/>
  <c r="AK77" i="80" s="1"/>
  <c r="AJ69" i="80"/>
  <c r="AK69" i="80" s="1"/>
  <c r="AJ66" i="80"/>
  <c r="AK66" i="80" s="1"/>
  <c r="AJ61" i="80"/>
  <c r="AK61" i="80" s="1"/>
  <c r="AJ58" i="80"/>
  <c r="AK58" i="80" s="1"/>
  <c r="AJ53" i="80"/>
  <c r="AJ50" i="80"/>
  <c r="AK50" i="80" s="1"/>
  <c r="AJ45" i="80"/>
  <c r="AK45" i="80" s="1"/>
  <c r="AJ42" i="80"/>
  <c r="AK42" i="80" s="1"/>
  <c r="AJ34" i="80"/>
  <c r="AK34" i="80" s="1"/>
  <c r="AD79" i="80"/>
  <c r="AE79" i="80" s="1"/>
  <c r="AD68" i="80"/>
  <c r="AE68" i="80" s="1"/>
  <c r="AD52" i="80"/>
  <c r="AE52" i="80" s="1"/>
  <c r="AD46" i="80"/>
  <c r="AE46" i="80" s="1"/>
  <c r="AD75" i="80"/>
  <c r="AE75" i="80" s="1"/>
  <c r="AD76" i="80"/>
  <c r="AE76" i="80" s="1"/>
  <c r="AD72" i="80"/>
  <c r="AE72" i="80" s="1"/>
  <c r="AD60" i="80"/>
  <c r="AE60" i="80" s="1"/>
  <c r="AD54" i="80"/>
  <c r="AE54" i="80" s="1"/>
  <c r="AE50" i="80"/>
  <c r="AD38" i="80"/>
  <c r="AE38" i="80" s="1"/>
  <c r="X78" i="80"/>
  <c r="Y78" i="80" s="1"/>
  <c r="X57" i="80"/>
  <c r="Y57" i="80" s="1"/>
  <c r="X73" i="80"/>
  <c r="Y73" i="80" s="1"/>
  <c r="X77" i="80"/>
  <c r="R71" i="80"/>
  <c r="S71" i="80" s="1"/>
  <c r="R42" i="80"/>
  <c r="S42" i="80" s="1"/>
  <c r="R72" i="80"/>
  <c r="S72" i="80" s="1"/>
  <c r="R70" i="80"/>
  <c r="S70" i="80" s="1"/>
  <c r="S40" i="80"/>
  <c r="R34" i="80"/>
  <c r="S34" i="80" s="1"/>
  <c r="S73" i="80"/>
  <c r="S60" i="80"/>
  <c r="L77" i="80"/>
  <c r="M77" i="80" s="1"/>
  <c r="L74" i="80"/>
  <c r="M74" i="80" s="1"/>
  <c r="L70" i="80"/>
  <c r="M70" i="80" s="1"/>
  <c r="L65" i="80"/>
  <c r="M65" i="80" s="1"/>
  <c r="L62" i="80"/>
  <c r="M62" i="80" s="1"/>
  <c r="L49" i="80"/>
  <c r="M49" i="80" s="1"/>
  <c r="L71" i="80"/>
  <c r="M71" i="80" s="1"/>
  <c r="L69" i="80"/>
  <c r="M69" i="80" s="1"/>
  <c r="L66" i="80"/>
  <c r="M66" i="80" s="1"/>
  <c r="L61" i="80"/>
  <c r="M61" i="80" s="1"/>
  <c r="L58" i="80"/>
  <c r="M58" i="80" s="1"/>
  <c r="L53" i="80"/>
  <c r="M53" i="80" s="1"/>
  <c r="L45" i="80"/>
  <c r="M45" i="80" s="1"/>
  <c r="L34" i="80"/>
  <c r="M34" i="80" s="1"/>
  <c r="F76" i="80"/>
  <c r="G76" i="80" s="1"/>
  <c r="AJ28" i="80"/>
  <c r="AK28" i="80" s="1"/>
  <c r="AJ18" i="80"/>
  <c r="AK18" i="80" s="1"/>
  <c r="AJ12" i="80"/>
  <c r="AK12" i="80" s="1"/>
  <c r="AJ26" i="80"/>
  <c r="AK26" i="80" s="1"/>
  <c r="AJ20" i="80"/>
  <c r="AK20" i="80" s="1"/>
  <c r="AD28" i="80"/>
  <c r="AE28" i="80" s="1"/>
  <c r="AD18" i="80"/>
  <c r="AE18" i="80" s="1"/>
  <c r="AD12" i="80"/>
  <c r="AE12" i="80" s="1"/>
  <c r="AD26" i="80"/>
  <c r="AE26" i="80" s="1"/>
  <c r="AD10" i="80"/>
  <c r="AE10" i="80" s="1"/>
  <c r="AD14" i="80"/>
  <c r="AE14" i="80" s="1"/>
  <c r="X26" i="80"/>
  <c r="S25" i="80"/>
  <c r="R27" i="80"/>
  <c r="L10" i="80"/>
  <c r="M10" i="80" s="1"/>
  <c r="L25" i="80"/>
  <c r="M25" i="80" s="1"/>
  <c r="L22" i="80"/>
  <c r="M22" i="80" s="1"/>
  <c r="L29" i="80"/>
  <c r="M29" i="80" s="1"/>
  <c r="L26" i="80"/>
  <c r="L21" i="80"/>
  <c r="M21" i="80" s="1"/>
  <c r="L18" i="80"/>
  <c r="M18" i="80" s="1"/>
  <c r="L13" i="80"/>
  <c r="M13" i="80" s="1"/>
  <c r="AD38" i="77"/>
  <c r="AE38" i="77" s="1"/>
  <c r="AD30" i="77"/>
  <c r="AE30" i="77" s="1"/>
  <c r="AD24" i="77"/>
  <c r="AE24" i="77" s="1"/>
  <c r="AD19" i="77"/>
  <c r="AE19" i="77" s="1"/>
  <c r="AD16" i="77"/>
  <c r="AE16" i="77" s="1"/>
  <c r="AD11" i="77"/>
  <c r="AE11" i="77" s="1"/>
  <c r="AD20" i="77"/>
  <c r="AE20" i="77" s="1"/>
  <c r="AD15" i="77"/>
  <c r="AE15" i="77" s="1"/>
  <c r="X35" i="77"/>
  <c r="X11" i="77"/>
  <c r="Y11" i="77" s="1"/>
  <c r="X15" i="77"/>
  <c r="Y15" i="77" s="1"/>
  <c r="X12" i="77"/>
  <c r="Y12" i="77" s="1"/>
  <c r="R32" i="77"/>
  <c r="S32" i="77" s="1"/>
  <c r="R33" i="77"/>
  <c r="S33" i="77" s="1"/>
  <c r="R36" i="77"/>
  <c r="S36" i="77" s="1"/>
  <c r="R21" i="77"/>
  <c r="S21" i="77" s="1"/>
  <c r="R25" i="77"/>
  <c r="S25" i="77" s="1"/>
  <c r="F17" i="89"/>
  <c r="L14" i="77"/>
  <c r="M14" i="77" s="1"/>
  <c r="L18" i="77"/>
  <c r="M18" i="77" s="1"/>
  <c r="L10" i="77"/>
  <c r="M10" i="77" s="1"/>
  <c r="E22" i="89"/>
  <c r="F24" i="77"/>
  <c r="G24" i="77" s="1"/>
  <c r="G10" i="89"/>
  <c r="K185" i="85"/>
  <c r="K180" i="85"/>
  <c r="W32" i="83" s="1"/>
  <c r="K192" i="85"/>
  <c r="AC31" i="83" s="1"/>
  <c r="AD31" i="83" s="1"/>
  <c r="AE31" i="83" s="1"/>
  <c r="I32" i="90"/>
  <c r="I42" i="86"/>
  <c r="Q16" i="86"/>
  <c r="D11" i="89"/>
  <c r="K200" i="85"/>
  <c r="K184" i="85"/>
  <c r="K128" i="85"/>
  <c r="H11" i="89"/>
  <c r="K175" i="85"/>
  <c r="W23" i="83" s="1"/>
  <c r="K139" i="85"/>
  <c r="Q28" i="83"/>
  <c r="K199" i="85"/>
  <c r="K191" i="85"/>
  <c r="K187" i="85"/>
  <c r="W33" i="83" s="1"/>
  <c r="X33" i="83" s="1"/>
  <c r="Y33" i="83" s="1"/>
  <c r="K21" i="85"/>
  <c r="K39" i="85"/>
  <c r="E28" i="83" s="1"/>
  <c r="K186" i="85"/>
  <c r="K182" i="85"/>
  <c r="F16" i="89"/>
  <c r="P9" i="44"/>
  <c r="G17" i="89"/>
  <c r="E15" i="89"/>
  <c r="G9" i="89"/>
  <c r="E9" i="89"/>
  <c r="E14" i="89"/>
  <c r="I16" i="89"/>
  <c r="R40" i="77"/>
  <c r="S40" i="77" s="1"/>
  <c r="E10" i="89"/>
  <c r="V9" i="44"/>
  <c r="I9" i="89"/>
  <c r="AL41" i="77"/>
  <c r="I18" i="89"/>
  <c r="I15" i="78"/>
  <c r="K205" i="85"/>
  <c r="AI30" i="83" s="1"/>
  <c r="AN30" i="83" s="1"/>
  <c r="D21" i="89"/>
  <c r="F15" i="89"/>
  <c r="I73" i="78"/>
  <c r="K132" i="85"/>
  <c r="Q20" i="83" s="1"/>
  <c r="I64" i="78"/>
  <c r="H112" i="78"/>
  <c r="I76" i="78"/>
  <c r="I60" i="78"/>
  <c r="I81" i="78"/>
  <c r="I6" i="78"/>
  <c r="F112" i="78"/>
  <c r="I39" i="78"/>
  <c r="H19" i="89"/>
  <c r="I32" i="48"/>
  <c r="J32" i="48" s="1"/>
  <c r="L32" i="48" s="1"/>
  <c r="M32" i="48" s="1"/>
  <c r="Q32" i="48"/>
  <c r="K32" i="48"/>
  <c r="K39" i="48" s="1"/>
  <c r="E32" i="48"/>
  <c r="E39" i="48" s="1"/>
  <c r="U32" i="48"/>
  <c r="V32" i="48" s="1"/>
  <c r="U36" i="83"/>
  <c r="K2" i="85"/>
  <c r="K204" i="85"/>
  <c r="AA14" i="87"/>
  <c r="K195" i="85"/>
  <c r="K22" i="85"/>
  <c r="K206" i="85"/>
  <c r="K203" i="85"/>
  <c r="AI26" i="83" s="1"/>
  <c r="AA41" i="44"/>
  <c r="AD33" i="48"/>
  <c r="AE33" i="48" s="1"/>
  <c r="AA114" i="44"/>
  <c r="G56" i="44"/>
  <c r="L107" i="44"/>
  <c r="M107" i="44" s="1"/>
  <c r="R47" i="44"/>
  <c r="S47" i="44" s="1"/>
  <c r="X70" i="44"/>
  <c r="Y70" i="44" s="1"/>
  <c r="AB56" i="44"/>
  <c r="F71" i="44"/>
  <c r="G71" i="44" s="1"/>
  <c r="L53" i="44"/>
  <c r="M53" i="44" s="1"/>
  <c r="L77" i="44"/>
  <c r="M77" i="44" s="1"/>
  <c r="AJ11" i="87"/>
  <c r="L15" i="83"/>
  <c r="M15" i="83" s="1"/>
  <c r="AA53" i="44"/>
  <c r="L104" i="44"/>
  <c r="M104" i="44" s="1"/>
  <c r="AJ10" i="80"/>
  <c r="AK10" i="80" s="1"/>
  <c r="F67" i="44"/>
  <c r="G67" i="44" s="1"/>
  <c r="L60" i="44"/>
  <c r="M60" i="44" s="1"/>
  <c r="AA88" i="44"/>
  <c r="AJ23" i="48"/>
  <c r="AK23" i="48" s="1"/>
  <c r="AJ17" i="48"/>
  <c r="AK17" i="48" s="1"/>
  <c r="AJ15" i="48"/>
  <c r="AK15" i="48"/>
  <c r="AJ35" i="48"/>
  <c r="AL17" i="83"/>
  <c r="AL13" i="83"/>
  <c r="AJ31" i="83"/>
  <c r="F78" i="80"/>
  <c r="G78" i="80" s="1"/>
  <c r="F36" i="80"/>
  <c r="G36" i="80" s="1"/>
  <c r="AD78" i="80"/>
  <c r="AE78" i="80" s="1"/>
  <c r="AD64" i="80"/>
  <c r="AE64" i="80" s="1"/>
  <c r="F121" i="44"/>
  <c r="G121" i="44" s="1"/>
  <c r="L55" i="44"/>
  <c r="M55" i="44" s="1"/>
  <c r="R66" i="44"/>
  <c r="S66" i="44" s="1"/>
  <c r="H105" i="78"/>
  <c r="L11" i="77"/>
  <c r="M11" i="77" s="1"/>
  <c r="AD36" i="77"/>
  <c r="AE36" i="77" s="1"/>
  <c r="AD16" i="80"/>
  <c r="AE16" i="80" s="1"/>
  <c r="F109" i="44"/>
  <c r="G109" i="44" s="1"/>
  <c r="F105" i="44"/>
  <c r="G105" i="44" s="1"/>
  <c r="F87" i="44"/>
  <c r="G87" i="44" s="1"/>
  <c r="F79" i="44"/>
  <c r="G79" i="44" s="1"/>
  <c r="R115" i="44"/>
  <c r="S115" i="44" s="1"/>
  <c r="R96" i="44"/>
  <c r="S96" i="44" s="1"/>
  <c r="AD20" i="48"/>
  <c r="AE20" i="48" s="1"/>
  <c r="F9" i="46"/>
  <c r="G9" i="46" s="1"/>
  <c r="J9" i="46"/>
  <c r="L9" i="46" s="1"/>
  <c r="M9" i="46" s="1"/>
  <c r="I99" i="78"/>
  <c r="I96" i="78"/>
  <c r="I87" i="78"/>
  <c r="I79" i="78"/>
  <c r="AJ32" i="48"/>
  <c r="AK32" i="48" s="1"/>
  <c r="AD10" i="77"/>
  <c r="AE10" i="77" s="1"/>
  <c r="AD34" i="77"/>
  <c r="AE34" i="77" s="1"/>
  <c r="F63" i="44"/>
  <c r="G63" i="44" s="1"/>
  <c r="R112" i="44"/>
  <c r="S112" i="44" s="1"/>
  <c r="R104" i="44"/>
  <c r="S104" i="44" s="1"/>
  <c r="AD11" i="48"/>
  <c r="AE11" i="48" s="1"/>
  <c r="AA76" i="44"/>
  <c r="X120" i="44"/>
  <c r="AA61" i="44"/>
  <c r="AA56" i="44"/>
  <c r="I78" i="78"/>
  <c r="I70" i="78"/>
  <c r="X13" i="77"/>
  <c r="Y13" i="77" s="1"/>
  <c r="X32" i="77"/>
  <c r="Y32" i="77" s="1"/>
  <c r="AD13" i="80"/>
  <c r="AE13" i="80" s="1"/>
  <c r="AJ27" i="80"/>
  <c r="AD77" i="80"/>
  <c r="AE77" i="80" s="1"/>
  <c r="F113" i="44"/>
  <c r="G113" i="44" s="1"/>
  <c r="F75" i="44"/>
  <c r="G75" i="44" s="1"/>
  <c r="L93" i="44"/>
  <c r="M93" i="44" s="1"/>
  <c r="L72" i="44"/>
  <c r="M72" i="44" s="1"/>
  <c r="AD19" i="48"/>
  <c r="AE19" i="48" s="1"/>
  <c r="J29" i="45"/>
  <c r="AD22" i="80"/>
  <c r="AE22" i="80" s="1"/>
  <c r="AD20" i="80"/>
  <c r="AE20" i="80" s="1"/>
  <c r="F107" i="44"/>
  <c r="G107" i="44" s="1"/>
  <c r="R101" i="44"/>
  <c r="S101" i="44" s="1"/>
  <c r="R92" i="44"/>
  <c r="S92" i="44" s="1"/>
  <c r="R68" i="44"/>
  <c r="S68" i="44" s="1"/>
  <c r="AD23" i="48"/>
  <c r="AE23" i="48" s="1"/>
  <c r="AJ19" i="48"/>
  <c r="AK19" i="48" s="1"/>
  <c r="F117" i="44"/>
  <c r="G117" i="44" s="1"/>
  <c r="AJ20" i="48"/>
  <c r="AK20" i="48" s="1"/>
  <c r="F18" i="83"/>
  <c r="G18" i="83" s="1"/>
  <c r="AD22" i="83"/>
  <c r="AJ24" i="83"/>
  <c r="AK24" i="83" s="1"/>
  <c r="AG31" i="80"/>
  <c r="AJ22" i="80"/>
  <c r="AK22" i="80" s="1"/>
  <c r="AJ16" i="80"/>
  <c r="AK16" i="80" s="1"/>
  <c r="L36" i="80"/>
  <c r="M36" i="80" s="1"/>
  <c r="L117" i="44"/>
  <c r="M117" i="44" s="1"/>
  <c r="L88" i="44"/>
  <c r="M88" i="44" s="1"/>
  <c r="L54" i="44"/>
  <c r="M54" i="44" s="1"/>
  <c r="AD27" i="48"/>
  <c r="AE27" i="48" s="1"/>
  <c r="AD36" i="48"/>
  <c r="R33" i="80"/>
  <c r="S33" i="80" s="1"/>
  <c r="AA63" i="44"/>
  <c r="G109" i="78"/>
  <c r="G108" i="78"/>
  <c r="E107" i="78"/>
  <c r="L15" i="77"/>
  <c r="M15" i="77" s="1"/>
  <c r="X17" i="77"/>
  <c r="Y17" i="77" s="1"/>
  <c r="AL9" i="48"/>
  <c r="V9" i="48"/>
  <c r="AN9" i="80"/>
  <c r="X21" i="77"/>
  <c r="Y21" i="77" s="1"/>
  <c r="X18" i="77"/>
  <c r="Y18" i="77" s="1"/>
  <c r="L21" i="77"/>
  <c r="M21" i="77" s="1"/>
  <c r="AD24" i="80"/>
  <c r="AE24" i="80" s="1"/>
  <c r="AD17" i="80"/>
  <c r="AE17" i="80" s="1"/>
  <c r="F95" i="44"/>
  <c r="G95" i="44" s="1"/>
  <c r="R62" i="44"/>
  <c r="S62" i="44" s="1"/>
  <c r="AJ17" i="80"/>
  <c r="AK17" i="80" s="1"/>
  <c r="AJ13" i="80"/>
  <c r="AK13" i="80" s="1"/>
  <c r="AD67" i="80"/>
  <c r="AE67" i="80" s="1"/>
  <c r="AJ51" i="80"/>
  <c r="AK51" i="80" s="1"/>
  <c r="AJ35" i="80"/>
  <c r="AK35" i="80" s="1"/>
  <c r="L61" i="44"/>
  <c r="M61" i="44" s="1"/>
  <c r="L56" i="44"/>
  <c r="M56" i="44"/>
  <c r="L49" i="44"/>
  <c r="L46" i="44"/>
  <c r="M46" i="44" s="1"/>
  <c r="R109" i="44"/>
  <c r="S109" i="44" s="1"/>
  <c r="AD15" i="48"/>
  <c r="AE15" i="48" s="1"/>
  <c r="AE36" i="48"/>
  <c r="AD28" i="83"/>
  <c r="AE28" i="83"/>
  <c r="AJ27" i="83"/>
  <c r="AK27" i="83" s="1"/>
  <c r="AJ29" i="80"/>
  <c r="AK29" i="80"/>
  <c r="AJ14" i="80"/>
  <c r="AK14" i="80"/>
  <c r="AD63" i="80"/>
  <c r="AE63" i="80"/>
  <c r="L118" i="44"/>
  <c r="M118" i="44" s="1"/>
  <c r="L110" i="44"/>
  <c r="M110" i="44"/>
  <c r="L89" i="44"/>
  <c r="M89" i="44"/>
  <c r="L73" i="44"/>
  <c r="M73" i="44"/>
  <c r="R113" i="44"/>
  <c r="R105" i="44"/>
  <c r="S105" i="44" s="1"/>
  <c r="AJ34" i="48"/>
  <c r="AK34" i="48" s="1"/>
  <c r="F24" i="83"/>
  <c r="D19" i="83"/>
  <c r="AJ25" i="80"/>
  <c r="AK25" i="80" s="1"/>
  <c r="AD61" i="80"/>
  <c r="AE61" i="80" s="1"/>
  <c r="AD43" i="80"/>
  <c r="AE43" i="80" s="1"/>
  <c r="AJ79" i="80"/>
  <c r="AK79" i="80" s="1"/>
  <c r="F73" i="44"/>
  <c r="G73" i="44" s="1"/>
  <c r="L121" i="44"/>
  <c r="M121" i="44" s="1"/>
  <c r="R50" i="44"/>
  <c r="S50" i="44" s="1"/>
  <c r="AD17" i="48"/>
  <c r="AJ21" i="48"/>
  <c r="AK21" i="48" s="1"/>
  <c r="AJ11" i="48"/>
  <c r="AK11" i="48" s="1"/>
  <c r="F15" i="83"/>
  <c r="G15" i="83" s="1"/>
  <c r="D13" i="83"/>
  <c r="AJ14" i="83"/>
  <c r="AK14" i="83" s="1"/>
  <c r="L76" i="80"/>
  <c r="M76" i="80" s="1"/>
  <c r="AD65" i="80"/>
  <c r="AE65" i="80" s="1"/>
  <c r="AD47" i="80"/>
  <c r="AE47" i="80" s="1"/>
  <c r="AJ75" i="80"/>
  <c r="AD21" i="48"/>
  <c r="AE21" i="48" s="1"/>
  <c r="AD13" i="48"/>
  <c r="AE13" i="48" s="1"/>
  <c r="AJ24" i="48"/>
  <c r="AK24" i="48" s="1"/>
  <c r="AD13" i="83"/>
  <c r="AE13" i="83" s="1"/>
  <c r="O9" i="45"/>
  <c r="AA103" i="44"/>
  <c r="AJ15" i="77"/>
  <c r="AK15" i="77" s="1"/>
  <c r="R122" i="44"/>
  <c r="S122" i="44" s="1"/>
  <c r="D27" i="46"/>
  <c r="N27" i="46"/>
  <c r="AL10" i="87"/>
  <c r="AB10" i="87"/>
  <c r="I100" i="78"/>
  <c r="AC23" i="77"/>
  <c r="W34" i="77"/>
  <c r="F10" i="89"/>
  <c r="D23" i="77"/>
  <c r="D17" i="89"/>
  <c r="D34" i="77"/>
  <c r="D30" i="77"/>
  <c r="F30" i="77" s="1"/>
  <c r="G30" i="77" s="1"/>
  <c r="F18" i="77"/>
  <c r="G18" i="77" s="1"/>
  <c r="Z122" i="44"/>
  <c r="AD9" i="80"/>
  <c r="AE9" i="80" s="1"/>
  <c r="G21" i="89"/>
  <c r="P29" i="45"/>
  <c r="P27" i="46"/>
  <c r="R9" i="48"/>
  <c r="S9" i="48" s="1"/>
  <c r="D22" i="77"/>
  <c r="D33" i="77"/>
  <c r="D14" i="77"/>
  <c r="AM14" i="77" s="1"/>
  <c r="AD31" i="77"/>
  <c r="AE31" i="77" s="1"/>
  <c r="I97" i="78"/>
  <c r="I62" i="78"/>
  <c r="L9" i="45"/>
  <c r="M9" i="45" s="1"/>
  <c r="F11" i="87"/>
  <c r="G11" i="87"/>
  <c r="AN11" i="87"/>
  <c r="AL24" i="77"/>
  <c r="D17" i="77"/>
  <c r="AL10" i="77"/>
  <c r="D10" i="77"/>
  <c r="F10" i="77" s="1"/>
  <c r="D9" i="48"/>
  <c r="P9" i="46"/>
  <c r="N9" i="45"/>
  <c r="E21" i="89"/>
  <c r="L39" i="77"/>
  <c r="M39" i="77" s="1"/>
  <c r="D37" i="77"/>
  <c r="D20" i="77"/>
  <c r="AM20" i="77" s="1"/>
  <c r="D31" i="77"/>
  <c r="AL31" i="77"/>
  <c r="D14" i="89"/>
  <c r="F25" i="77"/>
  <c r="G25" i="77" s="1"/>
  <c r="AD25" i="77"/>
  <c r="AE25" i="77" s="1"/>
  <c r="AD14" i="77"/>
  <c r="AE14" i="77" s="1"/>
  <c r="W54" i="80"/>
  <c r="X54" i="80" s="1"/>
  <c r="U54" i="80"/>
  <c r="V54" i="80" s="1"/>
  <c r="W50" i="80"/>
  <c r="U50" i="80"/>
  <c r="V50" i="80" s="1"/>
  <c r="W46" i="80"/>
  <c r="W38" i="80"/>
  <c r="W25" i="80"/>
  <c r="AN25" i="80" s="1"/>
  <c r="U25" i="80"/>
  <c r="V25" i="80" s="1"/>
  <c r="W21" i="80"/>
  <c r="AN21" i="80" s="1"/>
  <c r="U21" i="80"/>
  <c r="W17" i="80"/>
  <c r="AN17" i="80" s="1"/>
  <c r="U13" i="80"/>
  <c r="V13" i="80" s="1"/>
  <c r="K36" i="46"/>
  <c r="P36" i="46" s="1"/>
  <c r="I36" i="46"/>
  <c r="J36" i="46" s="1"/>
  <c r="K32" i="45"/>
  <c r="I32" i="45"/>
  <c r="Q35" i="44"/>
  <c r="O35" i="44"/>
  <c r="Q77" i="80"/>
  <c r="AN77" i="80" s="1"/>
  <c r="O77" i="80"/>
  <c r="Q65" i="80"/>
  <c r="O65" i="80"/>
  <c r="P65" i="80" s="1"/>
  <c r="R65" i="80" s="1"/>
  <c r="Q61" i="80"/>
  <c r="O61" i="80"/>
  <c r="Q56" i="80"/>
  <c r="O56" i="80"/>
  <c r="Q52" i="80"/>
  <c r="O52" i="80"/>
  <c r="P52" i="80" s="1"/>
  <c r="Q48" i="80"/>
  <c r="O48" i="80"/>
  <c r="Q44" i="80"/>
  <c r="O44" i="80"/>
  <c r="Q36" i="80"/>
  <c r="O36" i="80"/>
  <c r="O28" i="80"/>
  <c r="O23" i="80"/>
  <c r="P23" i="80" s="1"/>
  <c r="O19" i="80"/>
  <c r="P19" i="80" s="1"/>
  <c r="Q15" i="80"/>
  <c r="O15" i="80"/>
  <c r="P15" i="80" s="1"/>
  <c r="R15" i="80" s="1"/>
  <c r="Q11" i="80"/>
  <c r="Q31" i="80" s="1"/>
  <c r="O11" i="80"/>
  <c r="P11" i="80" s="1"/>
  <c r="M60" i="80"/>
  <c r="K55" i="80"/>
  <c r="L55" i="80" s="1"/>
  <c r="M55" i="80" s="1"/>
  <c r="I43" i="80"/>
  <c r="J43" i="80" s="1"/>
  <c r="I39" i="80"/>
  <c r="J39" i="80" s="1"/>
  <c r="I17" i="80"/>
  <c r="J17" i="80" s="1"/>
  <c r="AM17" i="80" s="1"/>
  <c r="AL35" i="48"/>
  <c r="D35" i="48"/>
  <c r="D25" i="48"/>
  <c r="D21" i="48"/>
  <c r="F21" i="48" s="1"/>
  <c r="G21" i="48" s="1"/>
  <c r="AL17" i="48"/>
  <c r="D13" i="48"/>
  <c r="D36" i="46"/>
  <c r="O32" i="46"/>
  <c r="P28" i="46"/>
  <c r="N28" i="46"/>
  <c r="D28" i="46"/>
  <c r="F28" i="46" s="1"/>
  <c r="P21" i="46"/>
  <c r="N21" i="46"/>
  <c r="D21" i="46"/>
  <c r="P17" i="46"/>
  <c r="D17" i="46"/>
  <c r="N17" i="46"/>
  <c r="P13" i="46"/>
  <c r="D13" i="46"/>
  <c r="N13" i="46"/>
  <c r="N39" i="45"/>
  <c r="D39" i="45"/>
  <c r="F39" i="45" s="1"/>
  <c r="G39" i="45" s="1"/>
  <c r="P36" i="45"/>
  <c r="D36" i="45"/>
  <c r="N36" i="45"/>
  <c r="D32" i="45"/>
  <c r="P25" i="45"/>
  <c r="N25" i="45"/>
  <c r="D25" i="45"/>
  <c r="P21" i="45"/>
  <c r="N21" i="45"/>
  <c r="D21" i="45"/>
  <c r="P17" i="45"/>
  <c r="N17" i="45"/>
  <c r="D17" i="45"/>
  <c r="O17" i="45" s="1"/>
  <c r="Q17" i="45" s="1"/>
  <c r="P13" i="45"/>
  <c r="Z38" i="44"/>
  <c r="D38" i="44"/>
  <c r="Z34" i="44"/>
  <c r="D34" i="44"/>
  <c r="AB24" i="44"/>
  <c r="D24" i="44"/>
  <c r="F24" i="44" s="1"/>
  <c r="G24" i="44" s="1"/>
  <c r="D20" i="44"/>
  <c r="F20" i="44" s="1"/>
  <c r="AB16" i="44"/>
  <c r="D16" i="44"/>
  <c r="F16" i="44" s="1"/>
  <c r="G16" i="44" s="1"/>
  <c r="Z12" i="44"/>
  <c r="D12" i="44"/>
  <c r="AA12" i="44" s="1"/>
  <c r="AN73" i="80"/>
  <c r="AL73" i="80"/>
  <c r="D73" i="80"/>
  <c r="D68" i="80"/>
  <c r="D64" i="80"/>
  <c r="F64" i="80" s="1"/>
  <c r="G64" i="80" s="1"/>
  <c r="AL60" i="80"/>
  <c r="D60" i="80"/>
  <c r="F60" i="80" s="1"/>
  <c r="G60" i="80" s="1"/>
  <c r="D55" i="80"/>
  <c r="F55" i="80" s="1"/>
  <c r="G55" i="80" s="1"/>
  <c r="D51" i="80"/>
  <c r="AL47" i="80"/>
  <c r="D47" i="80"/>
  <c r="AM47" i="80" s="1"/>
  <c r="D43" i="80"/>
  <c r="F43" i="80" s="1"/>
  <c r="G43" i="80" s="1"/>
  <c r="D39" i="80"/>
  <c r="D34" i="80"/>
  <c r="D25" i="80"/>
  <c r="F25" i="80" s="1"/>
  <c r="G25" i="80" s="1"/>
  <c r="D21" i="80"/>
  <c r="F21" i="80" s="1"/>
  <c r="G21" i="80" s="1"/>
  <c r="D17" i="80"/>
  <c r="F17" i="80" s="1"/>
  <c r="G17" i="80" s="1"/>
  <c r="D13" i="80"/>
  <c r="F13" i="80" s="1"/>
  <c r="G13" i="80" s="1"/>
  <c r="AD29" i="80"/>
  <c r="AE29" i="80" s="1"/>
  <c r="W20" i="44"/>
  <c r="U20" i="44"/>
  <c r="V20" i="44" s="1"/>
  <c r="W74" i="80"/>
  <c r="U62" i="80"/>
  <c r="V62" i="80" s="1"/>
  <c r="W58" i="80"/>
  <c r="U58" i="80"/>
  <c r="V58" i="80" s="1"/>
  <c r="W53" i="80"/>
  <c r="U53" i="80"/>
  <c r="V53" i="80" s="1"/>
  <c r="U45" i="80"/>
  <c r="V45" i="80" s="1"/>
  <c r="W41" i="80"/>
  <c r="U37" i="80"/>
  <c r="V37" i="80" s="1"/>
  <c r="W24" i="80"/>
  <c r="AN24" i="80" s="1"/>
  <c r="U24" i="80"/>
  <c r="V24" i="80" s="1"/>
  <c r="W20" i="80"/>
  <c r="U20" i="80"/>
  <c r="U16" i="80"/>
  <c r="V16" i="80" s="1"/>
  <c r="W12" i="80"/>
  <c r="AN12" i="80" s="1"/>
  <c r="O37" i="48"/>
  <c r="P37" i="48" s="1"/>
  <c r="M20" i="46"/>
  <c r="Q20" i="44"/>
  <c r="O20" i="44"/>
  <c r="P20" i="44" s="1"/>
  <c r="Q76" i="80"/>
  <c r="O76" i="80"/>
  <c r="Q68" i="80"/>
  <c r="O68" i="80"/>
  <c r="AL68" i="80" s="1"/>
  <c r="P68" i="80"/>
  <c r="R68" i="80" s="1"/>
  <c r="Q64" i="80"/>
  <c r="O64" i="80"/>
  <c r="P64" i="80" s="1"/>
  <c r="Q55" i="80"/>
  <c r="O55" i="80"/>
  <c r="P55" i="80" s="1"/>
  <c r="Q51" i="80"/>
  <c r="AN51" i="80" s="1"/>
  <c r="O51" i="80"/>
  <c r="Q43" i="80"/>
  <c r="O43" i="80"/>
  <c r="P43" i="80" s="1"/>
  <c r="R43" i="80" s="1"/>
  <c r="S43" i="80" s="1"/>
  <c r="Q39" i="80"/>
  <c r="O39" i="80"/>
  <c r="P39" i="80" s="1"/>
  <c r="S35" i="80"/>
  <c r="O29" i="80"/>
  <c r="P29" i="80" s="1"/>
  <c r="O22" i="80"/>
  <c r="Q18" i="80"/>
  <c r="O18" i="80"/>
  <c r="Q14" i="80"/>
  <c r="R14" i="80" s="1"/>
  <c r="S14" i="80" s="1"/>
  <c r="Q10" i="80"/>
  <c r="O10" i="80"/>
  <c r="K54" i="80"/>
  <c r="I50" i="80"/>
  <c r="J50" i="80" s="1"/>
  <c r="K46" i="80"/>
  <c r="K38" i="80"/>
  <c r="I38" i="80"/>
  <c r="J38" i="80" s="1"/>
  <c r="D37" i="48"/>
  <c r="AN34" i="48"/>
  <c r="D24" i="48"/>
  <c r="D20" i="48"/>
  <c r="F20" i="48" s="1"/>
  <c r="G20" i="48" s="1"/>
  <c r="D16" i="48"/>
  <c r="F16" i="48" s="1"/>
  <c r="G16" i="48" s="1"/>
  <c r="D12" i="48"/>
  <c r="F12" i="48" s="1"/>
  <c r="G12" i="48" s="1"/>
  <c r="P39" i="46"/>
  <c r="D39" i="46"/>
  <c r="F39" i="46" s="1"/>
  <c r="G39" i="46" s="1"/>
  <c r="P35" i="46"/>
  <c r="D35" i="46"/>
  <c r="N35" i="46"/>
  <c r="P31" i="46"/>
  <c r="N31" i="46"/>
  <c r="D31" i="46"/>
  <c r="F31" i="46" s="1"/>
  <c r="G31" i="46" s="1"/>
  <c r="P20" i="46"/>
  <c r="N20" i="46"/>
  <c r="D20" i="46"/>
  <c r="N16" i="46"/>
  <c r="D16" i="46"/>
  <c r="P12" i="46"/>
  <c r="N42" i="45"/>
  <c r="D42" i="45"/>
  <c r="O42" i="45" s="1"/>
  <c r="P38" i="45"/>
  <c r="N38" i="45"/>
  <c r="D38" i="45"/>
  <c r="D35" i="45"/>
  <c r="N35" i="45"/>
  <c r="P31" i="45"/>
  <c r="D31" i="45"/>
  <c r="N31" i="45"/>
  <c r="P24" i="45"/>
  <c r="N24" i="45"/>
  <c r="D24" i="45"/>
  <c r="F24" i="45" s="1"/>
  <c r="G24" i="45" s="1"/>
  <c r="N20" i="45"/>
  <c r="D20" i="45"/>
  <c r="P16" i="45"/>
  <c r="P12" i="45"/>
  <c r="N12" i="45"/>
  <c r="D12" i="45"/>
  <c r="AB45" i="44"/>
  <c r="F45" i="44"/>
  <c r="G45" i="44" s="1"/>
  <c r="Z52" i="44"/>
  <c r="D52" i="44"/>
  <c r="Z48" i="44"/>
  <c r="D48" i="44"/>
  <c r="F48" i="44" s="1"/>
  <c r="G48" i="44" s="1"/>
  <c r="Z46" i="44"/>
  <c r="D46" i="44"/>
  <c r="AB37" i="44"/>
  <c r="Z23" i="44"/>
  <c r="D23" i="44"/>
  <c r="D19" i="44"/>
  <c r="AB15" i="44"/>
  <c r="D15" i="44"/>
  <c r="Z11" i="44"/>
  <c r="D11" i="44"/>
  <c r="D79" i="80"/>
  <c r="F79" i="80" s="1"/>
  <c r="G79" i="80" s="1"/>
  <c r="AL67" i="80"/>
  <c r="D67" i="80"/>
  <c r="D63" i="80"/>
  <c r="F63" i="80" s="1"/>
  <c r="G63" i="80" s="1"/>
  <c r="D59" i="80"/>
  <c r="D54" i="80"/>
  <c r="D50" i="80"/>
  <c r="F50" i="80" s="1"/>
  <c r="G50" i="80" s="1"/>
  <c r="D46" i="80"/>
  <c r="F46" i="80" s="1"/>
  <c r="G46" i="80" s="1"/>
  <c r="AL42" i="80"/>
  <c r="D42" i="80"/>
  <c r="D38" i="80"/>
  <c r="F38" i="80" s="1"/>
  <c r="G38" i="80" s="1"/>
  <c r="D24" i="80"/>
  <c r="D20" i="80"/>
  <c r="F20" i="80" s="1"/>
  <c r="G20" i="80" s="1"/>
  <c r="D16" i="80"/>
  <c r="F16" i="80" s="1"/>
  <c r="G16" i="80" s="1"/>
  <c r="D12" i="80"/>
  <c r="O32" i="48"/>
  <c r="D15" i="77"/>
  <c r="AN25" i="77"/>
  <c r="AA70" i="80"/>
  <c r="W19" i="44"/>
  <c r="U19" i="44"/>
  <c r="V19" i="44" s="1"/>
  <c r="X19" i="44" s="1"/>
  <c r="W79" i="80"/>
  <c r="U79" i="80"/>
  <c r="V79" i="80" s="1"/>
  <c r="W65" i="80"/>
  <c r="U65" i="80"/>
  <c r="W61" i="80"/>
  <c r="U61" i="80"/>
  <c r="V61" i="80" s="1"/>
  <c r="X61" i="80" s="1"/>
  <c r="Y61" i="80" s="1"/>
  <c r="W56" i="80"/>
  <c r="U56" i="80"/>
  <c r="V56" i="80" s="1"/>
  <c r="W52" i="80"/>
  <c r="U52" i="80"/>
  <c r="V52" i="80" s="1"/>
  <c r="W48" i="80"/>
  <c r="U48" i="80"/>
  <c r="V48" i="80" s="1"/>
  <c r="X48" i="80" s="1"/>
  <c r="Y48" i="80" s="1"/>
  <c r="W44" i="80"/>
  <c r="U44" i="80"/>
  <c r="V44" i="80" s="1"/>
  <c r="W36" i="80"/>
  <c r="U36" i="80"/>
  <c r="V36" i="80" s="1"/>
  <c r="X36" i="80" s="1"/>
  <c r="Y36" i="80" s="1"/>
  <c r="W28" i="80"/>
  <c r="U28" i="80"/>
  <c r="V28" i="80" s="1"/>
  <c r="W23" i="80"/>
  <c r="AN23" i="80" s="1"/>
  <c r="U23" i="80"/>
  <c r="V23" i="80" s="1"/>
  <c r="W19" i="80"/>
  <c r="U19" i="80"/>
  <c r="V19" i="80" s="1"/>
  <c r="W15" i="80"/>
  <c r="U15" i="80"/>
  <c r="V15" i="80" s="1"/>
  <c r="W11" i="80"/>
  <c r="U11" i="80"/>
  <c r="K34" i="46"/>
  <c r="P34" i="46" s="1"/>
  <c r="I34" i="46"/>
  <c r="S80" i="44"/>
  <c r="S23" i="44"/>
  <c r="O19" i="44"/>
  <c r="Q79" i="80"/>
  <c r="O79" i="80"/>
  <c r="Q75" i="80"/>
  <c r="O75" i="80"/>
  <c r="P75" i="80" s="1"/>
  <c r="Q63" i="80"/>
  <c r="Q54" i="80"/>
  <c r="AN54" i="80" s="1"/>
  <c r="O54" i="80"/>
  <c r="P54" i="80" s="1"/>
  <c r="O50" i="80"/>
  <c r="Q46" i="80"/>
  <c r="O46" i="80"/>
  <c r="Q38" i="80"/>
  <c r="O38" i="80"/>
  <c r="O17" i="80"/>
  <c r="P17" i="80" s="1"/>
  <c r="R17" i="80" s="1"/>
  <c r="S17" i="80" s="1"/>
  <c r="Q13" i="80"/>
  <c r="O13" i="80"/>
  <c r="I75" i="80"/>
  <c r="I41" i="80"/>
  <c r="I37" i="80"/>
  <c r="D36" i="48"/>
  <c r="F36" i="48" s="1"/>
  <c r="G36" i="48" s="1"/>
  <c r="AN33" i="48"/>
  <c r="AL33" i="48"/>
  <c r="D33" i="48"/>
  <c r="D23" i="48"/>
  <c r="AN19" i="48"/>
  <c r="AL19" i="48"/>
  <c r="D19" i="48"/>
  <c r="AL15" i="48"/>
  <c r="D15" i="48"/>
  <c r="AN11" i="48"/>
  <c r="D11" i="48"/>
  <c r="F11" i="48" s="1"/>
  <c r="N38" i="46"/>
  <c r="D38" i="46"/>
  <c r="O38" i="46" s="1"/>
  <c r="P30" i="46"/>
  <c r="N30" i="46"/>
  <c r="D30" i="46"/>
  <c r="P23" i="46"/>
  <c r="P19" i="46"/>
  <c r="N15" i="46"/>
  <c r="D15" i="46"/>
  <c r="P11" i="46"/>
  <c r="D11" i="46"/>
  <c r="P33" i="45"/>
  <c r="N33" i="45"/>
  <c r="D33" i="45"/>
  <c r="F33" i="45" s="1"/>
  <c r="G33" i="45" s="1"/>
  <c r="N34" i="45"/>
  <c r="D34" i="45"/>
  <c r="O34" i="45" s="1"/>
  <c r="D23" i="45"/>
  <c r="O23" i="45" s="1"/>
  <c r="N23" i="45"/>
  <c r="N19" i="45"/>
  <c r="D19" i="45"/>
  <c r="F19" i="45" s="1"/>
  <c r="G19" i="45" s="1"/>
  <c r="P15" i="45"/>
  <c r="D15" i="45"/>
  <c r="F15" i="45" s="1"/>
  <c r="G15" i="45" s="1"/>
  <c r="N11" i="45"/>
  <c r="D11" i="45"/>
  <c r="F11" i="45" s="1"/>
  <c r="G11" i="45" s="1"/>
  <c r="F61" i="44"/>
  <c r="G61" i="44" s="1"/>
  <c r="AB55" i="44"/>
  <c r="F55" i="44"/>
  <c r="Z36" i="44"/>
  <c r="D36" i="44"/>
  <c r="Z26" i="44"/>
  <c r="D26" i="44"/>
  <c r="Z18" i="44"/>
  <c r="D18" i="44"/>
  <c r="D10" i="44"/>
  <c r="D75" i="80"/>
  <c r="AL66" i="80"/>
  <c r="D66" i="80"/>
  <c r="AM66" i="80" s="1"/>
  <c r="D58" i="80"/>
  <c r="D49" i="80"/>
  <c r="D41" i="80"/>
  <c r="D28" i="80"/>
  <c r="D19" i="80"/>
  <c r="D11" i="80"/>
  <c r="Q57" i="80"/>
  <c r="O57" i="80"/>
  <c r="AN26" i="48"/>
  <c r="D26" i="48"/>
  <c r="F26" i="48" s="1"/>
  <c r="D27" i="48"/>
  <c r="W32" i="48"/>
  <c r="AD27" i="80"/>
  <c r="AE27" i="80" s="1"/>
  <c r="AD23" i="80"/>
  <c r="AE23" i="80" s="1"/>
  <c r="AN25" i="83"/>
  <c r="AL11" i="87"/>
  <c r="AC56" i="80"/>
  <c r="AA56" i="80"/>
  <c r="AB56" i="80" s="1"/>
  <c r="AA57" i="80"/>
  <c r="AB57" i="80" s="1"/>
  <c r="U76" i="80"/>
  <c r="V76" i="80" s="1"/>
  <c r="W68" i="80"/>
  <c r="U68" i="80"/>
  <c r="V68" i="80" s="1"/>
  <c r="U64" i="80"/>
  <c r="V64" i="80" s="1"/>
  <c r="X64" i="80" s="1"/>
  <c r="Y64" i="80" s="1"/>
  <c r="W55" i="80"/>
  <c r="U55" i="80"/>
  <c r="W51" i="80"/>
  <c r="W43" i="80"/>
  <c r="U39" i="80"/>
  <c r="V39" i="80" s="1"/>
  <c r="W29" i="80"/>
  <c r="AN29" i="80" s="1"/>
  <c r="U29" i="80"/>
  <c r="V29" i="80" s="1"/>
  <c r="W22" i="80"/>
  <c r="AN22" i="80" s="1"/>
  <c r="U22" i="80"/>
  <c r="V22" i="80" s="1"/>
  <c r="X22" i="80" s="1"/>
  <c r="Y22" i="80" s="1"/>
  <c r="U18" i="80"/>
  <c r="V18" i="80" s="1"/>
  <c r="W14" i="80"/>
  <c r="U14" i="80"/>
  <c r="V14" i="80" s="1"/>
  <c r="W10" i="80"/>
  <c r="U10" i="80"/>
  <c r="Q78" i="80"/>
  <c r="O78" i="80"/>
  <c r="P78" i="80" s="1"/>
  <c r="AM78" i="80" s="1"/>
  <c r="Q74" i="80"/>
  <c r="O74" i="80"/>
  <c r="P74" i="80" s="1"/>
  <c r="Q62" i="80"/>
  <c r="O62" i="80"/>
  <c r="P62" i="80" s="1"/>
  <c r="Q58" i="80"/>
  <c r="O58" i="80"/>
  <c r="P58" i="80" s="1"/>
  <c r="Q53" i="80"/>
  <c r="O53" i="80"/>
  <c r="Q45" i="80"/>
  <c r="O45" i="80"/>
  <c r="P45" i="80" s="1"/>
  <c r="Q41" i="80"/>
  <c r="O41" i="80"/>
  <c r="Q37" i="80"/>
  <c r="R37" i="80" s="1"/>
  <c r="S37" i="80" s="1"/>
  <c r="O37" i="80"/>
  <c r="P37" i="80" s="1"/>
  <c r="O24" i="80"/>
  <c r="O20" i="80"/>
  <c r="P20" i="80" s="1"/>
  <c r="O16" i="80"/>
  <c r="P16" i="80" s="1"/>
  <c r="O12" i="80"/>
  <c r="P12" i="80" s="1"/>
  <c r="I35" i="44"/>
  <c r="K56" i="80"/>
  <c r="L56" i="80" s="1"/>
  <c r="M56" i="80" s="1"/>
  <c r="I52" i="80"/>
  <c r="J52" i="80" s="1"/>
  <c r="L52" i="80" s="1"/>
  <c r="K14" i="80"/>
  <c r="D28" i="48"/>
  <c r="AN22" i="48"/>
  <c r="D22" i="48"/>
  <c r="F22" i="48" s="1"/>
  <c r="G22" i="48" s="1"/>
  <c r="D18" i="48"/>
  <c r="F18" i="48" s="1"/>
  <c r="D14" i="48"/>
  <c r="AN10" i="48"/>
  <c r="D10" i="48"/>
  <c r="N37" i="46"/>
  <c r="P33" i="46"/>
  <c r="D29" i="46"/>
  <c r="N29" i="46"/>
  <c r="P18" i="46"/>
  <c r="N18" i="46"/>
  <c r="D18" i="46"/>
  <c r="F18" i="46" s="1"/>
  <c r="P14" i="46"/>
  <c r="N14" i="46"/>
  <c r="D14" i="46"/>
  <c r="P10" i="46"/>
  <c r="D10" i="46"/>
  <c r="N10" i="46"/>
  <c r="P40" i="45"/>
  <c r="D40" i="45"/>
  <c r="N40" i="45"/>
  <c r="P37" i="45"/>
  <c r="D37" i="45"/>
  <c r="F37" i="45" s="1"/>
  <c r="G37" i="45" s="1"/>
  <c r="N37" i="45"/>
  <c r="P22" i="45"/>
  <c r="N22" i="45"/>
  <c r="D22" i="45"/>
  <c r="F22" i="45" s="1"/>
  <c r="P18" i="45"/>
  <c r="N18" i="45"/>
  <c r="D18" i="45"/>
  <c r="P14" i="45"/>
  <c r="D14" i="45"/>
  <c r="N14" i="45"/>
  <c r="P10" i="45"/>
  <c r="N10" i="45"/>
  <c r="D10" i="45"/>
  <c r="F10" i="45" s="1"/>
  <c r="G10" i="45" s="1"/>
  <c r="Z60" i="44"/>
  <c r="D60" i="44"/>
  <c r="F60" i="44" s="1"/>
  <c r="G60" i="44" s="1"/>
  <c r="Z58" i="44"/>
  <c r="D58" i="44"/>
  <c r="Z50" i="44"/>
  <c r="D50" i="44"/>
  <c r="AA50" i="44" s="1"/>
  <c r="AC50" i="44" s="1"/>
  <c r="Z42" i="44"/>
  <c r="D42" i="44"/>
  <c r="AA42" i="44" s="1"/>
  <c r="AC42" i="44" s="1"/>
  <c r="AD42" i="44" s="1"/>
  <c r="AB39" i="44"/>
  <c r="D32" i="44"/>
  <c r="D25" i="44"/>
  <c r="AA25" i="44" s="1"/>
  <c r="D21" i="44"/>
  <c r="Z17" i="44"/>
  <c r="D17" i="44"/>
  <c r="AB13" i="44"/>
  <c r="AC13" i="44" s="1"/>
  <c r="AD13" i="44" s="1"/>
  <c r="D13" i="44"/>
  <c r="F13" i="44" s="1"/>
  <c r="G13" i="44" s="1"/>
  <c r="AL71" i="80"/>
  <c r="D71" i="80"/>
  <c r="F71" i="80" s="1"/>
  <c r="G71" i="80" s="1"/>
  <c r="AN65" i="80"/>
  <c r="D65" i="80"/>
  <c r="F65" i="80" s="1"/>
  <c r="G65" i="80" s="1"/>
  <c r="AN61" i="80"/>
  <c r="D61" i="80"/>
  <c r="D56" i="80"/>
  <c r="F56" i="80" s="1"/>
  <c r="G56" i="80" s="1"/>
  <c r="AN52" i="80"/>
  <c r="D52" i="80"/>
  <c r="D48" i="80"/>
  <c r="F48" i="80" s="1"/>
  <c r="D44" i="80"/>
  <c r="F44" i="80" s="1"/>
  <c r="G44" i="80" s="1"/>
  <c r="AN40" i="80"/>
  <c r="AL40" i="80"/>
  <c r="D40" i="80"/>
  <c r="AN35" i="80"/>
  <c r="D35" i="80"/>
  <c r="D29" i="80"/>
  <c r="D22" i="80"/>
  <c r="D18" i="80"/>
  <c r="F18" i="80" s="1"/>
  <c r="G18" i="80" s="1"/>
  <c r="D14" i="80"/>
  <c r="F14" i="80" s="1"/>
  <c r="G14" i="80" s="1"/>
  <c r="D10" i="80"/>
  <c r="D57" i="80"/>
  <c r="D26" i="80"/>
  <c r="AL27" i="80"/>
  <c r="D27" i="80"/>
  <c r="AJ19" i="80"/>
  <c r="AK19" i="80" s="1"/>
  <c r="AJ15" i="80"/>
  <c r="AK15" i="80" s="1"/>
  <c r="AD19" i="80"/>
  <c r="AE19" i="80" s="1"/>
  <c r="AD15" i="80"/>
  <c r="AE15" i="80" s="1"/>
  <c r="AJ11" i="80"/>
  <c r="AK11" i="80" s="1"/>
  <c r="AD11" i="80"/>
  <c r="AE11" i="80" s="1"/>
  <c r="AK27" i="80"/>
  <c r="AJ23" i="80"/>
  <c r="AK23" i="80"/>
  <c r="AJ21" i="80"/>
  <c r="AK21" i="80" s="1"/>
  <c r="AK75" i="80"/>
  <c r="F77" i="80"/>
  <c r="G77" i="80" s="1"/>
  <c r="AN36" i="80"/>
  <c r="AD58" i="80"/>
  <c r="AE58" i="80" s="1"/>
  <c r="AJ71" i="80"/>
  <c r="AK71" i="80" s="1"/>
  <c r="AJ56" i="80"/>
  <c r="AK56" i="80" s="1"/>
  <c r="AJ52" i="80"/>
  <c r="AK52" i="80" s="1"/>
  <c r="AJ47" i="80"/>
  <c r="AK47" i="80" s="1"/>
  <c r="AJ36" i="80"/>
  <c r="AK36" i="80" s="1"/>
  <c r="D69" i="80"/>
  <c r="F69" i="80" s="1"/>
  <c r="G69" i="80" s="1"/>
  <c r="AD39" i="80"/>
  <c r="AE39" i="80" s="1"/>
  <c r="AD35" i="80"/>
  <c r="AE35" i="80" s="1"/>
  <c r="Z119" i="44"/>
  <c r="D119" i="44"/>
  <c r="F119" i="44" s="1"/>
  <c r="G119" i="44" s="1"/>
  <c r="AB116" i="44"/>
  <c r="F91" i="44"/>
  <c r="G91" i="44" s="1"/>
  <c r="AA85" i="44"/>
  <c r="Z89" i="44"/>
  <c r="D89" i="44"/>
  <c r="AB86" i="44"/>
  <c r="AA83" i="44"/>
  <c r="F83" i="44"/>
  <c r="G83" i="44" s="1"/>
  <c r="F69" i="44"/>
  <c r="G69" i="44" s="1"/>
  <c r="AA62" i="44"/>
  <c r="L114" i="44"/>
  <c r="M114" i="44" s="1"/>
  <c r="L96" i="44"/>
  <c r="M96" i="44" s="1"/>
  <c r="M49" i="44"/>
  <c r="F99" i="44"/>
  <c r="G99" i="44" s="1"/>
  <c r="Z81" i="44"/>
  <c r="D81" i="44"/>
  <c r="AA81" i="44" s="1"/>
  <c r="L81" i="44"/>
  <c r="M81" i="44" s="1"/>
  <c r="L70" i="44"/>
  <c r="M70" i="44" s="1"/>
  <c r="R121" i="44"/>
  <c r="S121" i="44" s="1"/>
  <c r="AA121" i="44"/>
  <c r="AC121" i="44" s="1"/>
  <c r="AD121" i="44" s="1"/>
  <c r="Z115" i="44"/>
  <c r="D115" i="44"/>
  <c r="AA115" i="44" s="1"/>
  <c r="F103" i="44"/>
  <c r="G103" i="44" s="1"/>
  <c r="AA73" i="44"/>
  <c r="F65" i="44"/>
  <c r="G65" i="44" s="1"/>
  <c r="L102" i="44"/>
  <c r="M102" i="44" s="1"/>
  <c r="L85" i="44"/>
  <c r="M85" i="44" s="1"/>
  <c r="L80" i="44"/>
  <c r="M80" i="44" s="1"/>
  <c r="L57" i="44"/>
  <c r="M57" i="44" s="1"/>
  <c r="Z121" i="44"/>
  <c r="AB118" i="44"/>
  <c r="Z113" i="44"/>
  <c r="D93" i="44"/>
  <c r="AB88" i="44"/>
  <c r="AC88" i="44" s="1"/>
  <c r="AD88" i="44" s="1"/>
  <c r="Z83" i="44"/>
  <c r="Z75" i="44"/>
  <c r="AB72" i="44"/>
  <c r="Z67" i="44"/>
  <c r="AB63" i="44"/>
  <c r="R117" i="44"/>
  <c r="S117" i="44" s="1"/>
  <c r="R100" i="44"/>
  <c r="S100" i="44" s="1"/>
  <c r="Z85" i="44"/>
  <c r="Z77" i="44"/>
  <c r="AB74" i="44"/>
  <c r="AC74" i="44" s="1"/>
  <c r="AD74" i="44" s="1"/>
  <c r="AB66" i="44"/>
  <c r="Z62" i="44"/>
  <c r="R49" i="44"/>
  <c r="S49" i="44" s="1"/>
  <c r="Z117" i="44"/>
  <c r="Z79" i="44"/>
  <c r="Z71" i="44"/>
  <c r="R116" i="44"/>
  <c r="S116" i="44" s="1"/>
  <c r="S113" i="44"/>
  <c r="AA75" i="44"/>
  <c r="Z73" i="44"/>
  <c r="AB70" i="44"/>
  <c r="AA67" i="44"/>
  <c r="Z65" i="44"/>
  <c r="R108" i="44"/>
  <c r="S108" i="44" s="1"/>
  <c r="D41" i="45"/>
  <c r="N41" i="45"/>
  <c r="AE17" i="48"/>
  <c r="AK35" i="48"/>
  <c r="AL29" i="83"/>
  <c r="F27" i="83"/>
  <c r="G27" i="83" s="1"/>
  <c r="AL21" i="83"/>
  <c r="R11" i="83"/>
  <c r="S11" i="83" s="1"/>
  <c r="AJ21" i="83"/>
  <c r="AK21" i="83"/>
  <c r="AN34" i="83"/>
  <c r="AL27" i="83"/>
  <c r="L21" i="83"/>
  <c r="M21" i="83" s="1"/>
  <c r="R21" i="83"/>
  <c r="S21" i="83" s="1"/>
  <c r="AJ29" i="83"/>
  <c r="AK29" i="83" s="1"/>
  <c r="AJ22" i="83"/>
  <c r="AK22" i="83" s="1"/>
  <c r="AJ17" i="83"/>
  <c r="AK17" i="83" s="1"/>
  <c r="AN16" i="83"/>
  <c r="AD34" i="83"/>
  <c r="AE34" i="83" s="1"/>
  <c r="AD25" i="83"/>
  <c r="AE25" i="83" s="1"/>
  <c r="AJ34" i="83"/>
  <c r="AK34" i="83" s="1"/>
  <c r="D29" i="83"/>
  <c r="D23" i="83"/>
  <c r="D17" i="83"/>
  <c r="D11" i="83"/>
  <c r="R29" i="83"/>
  <c r="S29" i="83" s="1"/>
  <c r="R24" i="83"/>
  <c r="S24" i="83" s="1"/>
  <c r="R22" i="83"/>
  <c r="S22" i="83" s="1"/>
  <c r="R13" i="83"/>
  <c r="S13" i="83" s="1"/>
  <c r="AJ20" i="83"/>
  <c r="AK20" i="83" s="1"/>
  <c r="AM27" i="83"/>
  <c r="AM24" i="83"/>
  <c r="AL34" i="83"/>
  <c r="L25" i="83"/>
  <c r="M25" i="83" s="1"/>
  <c r="R30" i="83"/>
  <c r="S30" i="83" s="1"/>
  <c r="AD21" i="83"/>
  <c r="AE21" i="83" s="1"/>
  <c r="AJ16" i="83"/>
  <c r="AK16" i="83" s="1"/>
  <c r="AN18" i="83"/>
  <c r="L11" i="83"/>
  <c r="M11" i="83" s="1"/>
  <c r="X13" i="83"/>
  <c r="Y13" i="83"/>
  <c r="AJ25" i="83"/>
  <c r="AK25" i="83" s="1"/>
  <c r="AL30" i="83"/>
  <c r="AL28" i="83"/>
  <c r="AL26" i="83"/>
  <c r="AL24" i="83"/>
  <c r="AL12" i="83"/>
  <c r="AL10" i="83"/>
  <c r="AD20" i="83"/>
  <c r="AE20" i="83"/>
  <c r="AD14" i="83"/>
  <c r="AE14" i="83"/>
  <c r="AD32" i="83"/>
  <c r="AE32" i="83" s="1"/>
  <c r="AD17" i="83"/>
  <c r="AE17" i="83" s="1"/>
  <c r="AM22" i="83"/>
  <c r="X32" i="83"/>
  <c r="Y32" i="83" s="1"/>
  <c r="X17" i="83"/>
  <c r="Y17" i="83" s="1"/>
  <c r="X29" i="83"/>
  <c r="Y29" i="83" s="1"/>
  <c r="X25" i="83"/>
  <c r="Y25" i="83" s="1"/>
  <c r="X20" i="83"/>
  <c r="Y20" i="83" s="1"/>
  <c r="X18" i="83"/>
  <c r="Y18" i="83" s="1"/>
  <c r="AM34" i="83"/>
  <c r="R25" i="83"/>
  <c r="S25" i="83" s="1"/>
  <c r="R14" i="83"/>
  <c r="S14" i="83" s="1"/>
  <c r="R32" i="83"/>
  <c r="S32" i="83" s="1"/>
  <c r="L20" i="83"/>
  <c r="M20" i="83" s="1"/>
  <c r="L17" i="83"/>
  <c r="M17" i="83" s="1"/>
  <c r="L10" i="83"/>
  <c r="M10" i="83" s="1"/>
  <c r="L30" i="83"/>
  <c r="M30" i="83" s="1"/>
  <c r="L24" i="83"/>
  <c r="M24" i="83" s="1"/>
  <c r="AM21" i="83"/>
  <c r="AJ33" i="83"/>
  <c r="AK33" i="83" s="1"/>
  <c r="AJ28" i="83"/>
  <c r="AK28" i="83" s="1"/>
  <c r="AJ18" i="83"/>
  <c r="AK18" i="83" s="1"/>
  <c r="AJ12" i="83"/>
  <c r="AK12" i="83" s="1"/>
  <c r="AK31" i="83"/>
  <c r="AJ10" i="83"/>
  <c r="AK10" i="83" s="1"/>
  <c r="AD24" i="83"/>
  <c r="AE24" i="83" s="1"/>
  <c r="AD18" i="83"/>
  <c r="AE18" i="83" s="1"/>
  <c r="AE22" i="83"/>
  <c r="AD16" i="83"/>
  <c r="AE16" i="83" s="1"/>
  <c r="AD10" i="83"/>
  <c r="AE10" i="83" s="1"/>
  <c r="X27" i="83"/>
  <c r="Y27" i="83" s="1"/>
  <c r="X16" i="83"/>
  <c r="Y16" i="83" s="1"/>
  <c r="X14" i="83"/>
  <c r="Y14" i="83" s="1"/>
  <c r="X11" i="83"/>
  <c r="Y11" i="83" s="1"/>
  <c r="X28" i="83"/>
  <c r="Y28" i="83" s="1"/>
  <c r="X23" i="83"/>
  <c r="Y23" i="83" s="1"/>
  <c r="X10" i="83"/>
  <c r="Y10" i="83" s="1"/>
  <c r="X34" i="83"/>
  <c r="Y34" i="83" s="1"/>
  <c r="X22" i="83"/>
  <c r="Y22" i="83" s="1"/>
  <c r="X19" i="83"/>
  <c r="Y19" i="83" s="1"/>
  <c r="R26" i="83"/>
  <c r="S26" i="83" s="1"/>
  <c r="R23" i="83"/>
  <c r="S23" i="83" s="1"/>
  <c r="R12" i="83"/>
  <c r="S12" i="83" s="1"/>
  <c r="R19" i="83"/>
  <c r="S19" i="83" s="1"/>
  <c r="R18" i="83"/>
  <c r="S18" i="83" s="1"/>
  <c r="R15" i="83"/>
  <c r="S15" i="83" s="1"/>
  <c r="R10" i="83"/>
  <c r="S10" i="83" s="1"/>
  <c r="R27" i="83"/>
  <c r="S27" i="83" s="1"/>
  <c r="L28" i="83"/>
  <c r="M28" i="83" s="1"/>
  <c r="L16" i="83"/>
  <c r="M16" i="83" s="1"/>
  <c r="L34" i="83"/>
  <c r="M34" i="83" s="1"/>
  <c r="F30" i="83"/>
  <c r="G30" i="83" s="1"/>
  <c r="F14" i="83"/>
  <c r="G14" i="83" s="1"/>
  <c r="F28" i="83"/>
  <c r="G28" i="83" s="1"/>
  <c r="G24" i="83"/>
  <c r="F22" i="83"/>
  <c r="G22" i="83" s="1"/>
  <c r="F34" i="83"/>
  <c r="G34" i="83" s="1"/>
  <c r="F31" i="83"/>
  <c r="G31" i="83" s="1"/>
  <c r="F26" i="83"/>
  <c r="G26" i="83" s="1"/>
  <c r="F16" i="83"/>
  <c r="G16" i="83" s="1"/>
  <c r="X9" i="83"/>
  <c r="Y9" i="83" s="1"/>
  <c r="AM24" i="77"/>
  <c r="O33" i="45"/>
  <c r="Q33" i="45" s="1"/>
  <c r="R33" i="45" s="1"/>
  <c r="O30" i="46"/>
  <c r="F33" i="48"/>
  <c r="G33" i="48" s="1"/>
  <c r="F19" i="44"/>
  <c r="G19" i="44" s="1"/>
  <c r="AA46" i="44"/>
  <c r="O31" i="45"/>
  <c r="O35" i="45"/>
  <c r="F35" i="48"/>
  <c r="G35" i="48" s="1"/>
  <c r="O27" i="46"/>
  <c r="O37" i="46"/>
  <c r="AM69" i="80"/>
  <c r="O18" i="46"/>
  <c r="AN79" i="80"/>
  <c r="F31" i="45"/>
  <c r="G31" i="45" s="1"/>
  <c r="F35" i="45"/>
  <c r="G35" i="45" s="1"/>
  <c r="AM12" i="48"/>
  <c r="F37" i="48"/>
  <c r="G37" i="48" s="1"/>
  <c r="Z20" i="44"/>
  <c r="AA38" i="44"/>
  <c r="F38" i="44"/>
  <c r="G38" i="44" s="1"/>
  <c r="O21" i="45"/>
  <c r="Q21" i="45" s="1"/>
  <c r="F21" i="45"/>
  <c r="G21" i="45" s="1"/>
  <c r="O39" i="45"/>
  <c r="O21" i="46"/>
  <c r="F36" i="46"/>
  <c r="G36" i="46" s="1"/>
  <c r="F10" i="80"/>
  <c r="G10" i="80" s="1"/>
  <c r="F17" i="44"/>
  <c r="F37" i="46"/>
  <c r="G37" i="46" s="1"/>
  <c r="AN32" i="48"/>
  <c r="F30" i="46"/>
  <c r="G30" i="46" s="1"/>
  <c r="G11" i="48"/>
  <c r="F12" i="80"/>
  <c r="G12" i="80" s="1"/>
  <c r="F24" i="80"/>
  <c r="G24" i="80" s="1"/>
  <c r="F54" i="80"/>
  <c r="G54" i="80" s="1"/>
  <c r="AA11" i="44"/>
  <c r="F11" i="44"/>
  <c r="F46" i="44"/>
  <c r="G46" i="44" s="1"/>
  <c r="P10" i="80"/>
  <c r="F39" i="80"/>
  <c r="G39" i="80" s="1"/>
  <c r="F51" i="80"/>
  <c r="G51" i="80" s="1"/>
  <c r="F12" i="44"/>
  <c r="G12" i="44" s="1"/>
  <c r="O13" i="46"/>
  <c r="Q13" i="46" s="1"/>
  <c r="O17" i="46"/>
  <c r="Q17" i="46" s="1"/>
  <c r="F9" i="48"/>
  <c r="G9" i="48" s="1"/>
  <c r="F115" i="44"/>
  <c r="AC62" i="44"/>
  <c r="AM27" i="80"/>
  <c r="F22" i="80"/>
  <c r="G22" i="80" s="1"/>
  <c r="F58" i="44"/>
  <c r="F14" i="45"/>
  <c r="F10" i="46"/>
  <c r="G10" i="46" s="1"/>
  <c r="F27" i="48"/>
  <c r="J37" i="80"/>
  <c r="F67" i="80"/>
  <c r="G67" i="80" s="1"/>
  <c r="O24" i="45"/>
  <c r="Q24" i="45" s="1"/>
  <c r="R24" i="45" s="1"/>
  <c r="F24" i="48"/>
  <c r="G24" i="48" s="1"/>
  <c r="F68" i="80"/>
  <c r="G68" i="80" s="1"/>
  <c r="AA34" i="44"/>
  <c r="F34" i="44"/>
  <c r="G34" i="44" s="1"/>
  <c r="F32" i="45"/>
  <c r="G32" i="45" s="1"/>
  <c r="O36" i="45"/>
  <c r="F36" i="45"/>
  <c r="G36" i="45" s="1"/>
  <c r="F17" i="46"/>
  <c r="G17" i="46" s="1"/>
  <c r="F21" i="46"/>
  <c r="G21" i="46" s="1"/>
  <c r="AM17" i="48"/>
  <c r="G17" i="48"/>
  <c r="P36" i="80"/>
  <c r="AM36" i="80" s="1"/>
  <c r="AO36" i="80" s="1"/>
  <c r="AP36" i="80" s="1"/>
  <c r="P35" i="44"/>
  <c r="F22" i="77"/>
  <c r="G22" i="77" s="1"/>
  <c r="AD10" i="87"/>
  <c r="AB14" i="87"/>
  <c r="I30" i="92"/>
  <c r="AC46" i="44"/>
  <c r="K8" i="92"/>
  <c r="K10" i="92"/>
  <c r="K16" i="92"/>
  <c r="E11" i="92"/>
  <c r="G11" i="92"/>
  <c r="I24" i="92"/>
  <c r="I26" i="92" s="1"/>
  <c r="F17" i="92"/>
  <c r="F24" i="92" s="1"/>
  <c r="F26" i="92" s="1"/>
  <c r="K19" i="92"/>
  <c r="J11" i="92"/>
  <c r="J21" i="92" s="1"/>
  <c r="O10" i="92"/>
  <c r="O8" i="92"/>
  <c r="F35" i="80"/>
  <c r="G35" i="80" s="1"/>
  <c r="F52" i="80"/>
  <c r="G52" i="80" s="1"/>
  <c r="AA13" i="44"/>
  <c r="L14" i="80"/>
  <c r="M14" i="80" s="1"/>
  <c r="L29" i="45"/>
  <c r="M29" i="45" s="1"/>
  <c r="AA66" i="44"/>
  <c r="X66" i="44"/>
  <c r="Y66" i="44" s="1"/>
  <c r="X106" i="44"/>
  <c r="AA106" i="44"/>
  <c r="Y61" i="44"/>
  <c r="X55" i="44"/>
  <c r="Y55" i="44" s="1"/>
  <c r="AA55" i="44"/>
  <c r="AC55" i="44" s="1"/>
  <c r="AA74" i="44"/>
  <c r="AA112" i="44"/>
  <c r="AA68" i="44"/>
  <c r="S7" i="44"/>
  <c r="M7" i="44"/>
  <c r="I21" i="89"/>
  <c r="AJ39" i="77"/>
  <c r="D614" i="79"/>
  <c r="G614" i="79" s="1"/>
  <c r="C614" i="79"/>
  <c r="D120" i="79"/>
  <c r="G120" i="79" s="1"/>
  <c r="C120" i="79"/>
  <c r="D346" i="79"/>
  <c r="G346" i="79" s="1"/>
  <c r="C346" i="79"/>
  <c r="C164" i="79"/>
  <c r="D164" i="79"/>
  <c r="D168" i="79"/>
  <c r="G168" i="79" s="1"/>
  <c r="C168" i="79"/>
  <c r="C172" i="79"/>
  <c r="D172" i="79"/>
  <c r="D176" i="79"/>
  <c r="G176" i="79" s="1"/>
  <c r="C176" i="79"/>
  <c r="D189" i="79"/>
  <c r="C189" i="79"/>
  <c r="C193" i="79"/>
  <c r="D197" i="79"/>
  <c r="C197" i="79"/>
  <c r="D205" i="79"/>
  <c r="G205" i="79" s="1"/>
  <c r="C205" i="79"/>
  <c r="D391" i="79"/>
  <c r="G391" i="79" s="1"/>
  <c r="C391" i="79"/>
  <c r="D399" i="79"/>
  <c r="G399" i="79" s="1"/>
  <c r="C399" i="79"/>
  <c r="C407" i="79"/>
  <c r="D407" i="79"/>
  <c r="C573" i="79"/>
  <c r="D573" i="79"/>
  <c r="G573" i="79" s="1"/>
  <c r="C577" i="79"/>
  <c r="D577" i="79"/>
  <c r="G577" i="79" s="1"/>
  <c r="D630" i="79"/>
  <c r="G630" i="79" s="1"/>
  <c r="C630" i="79"/>
  <c r="C104" i="79"/>
  <c r="I14" i="89"/>
  <c r="AJ16" i="77"/>
  <c r="E106" i="78"/>
  <c r="F106" i="78"/>
  <c r="C29" i="79"/>
  <c r="D29" i="79"/>
  <c r="C33" i="79"/>
  <c r="D33" i="79"/>
  <c r="C37" i="79"/>
  <c r="D37" i="79"/>
  <c r="C41" i="79"/>
  <c r="D41" i="79"/>
  <c r="C45" i="79"/>
  <c r="C54" i="79"/>
  <c r="G54" i="79"/>
  <c r="C66" i="79"/>
  <c r="D66" i="79"/>
  <c r="G66" i="79" s="1"/>
  <c r="C284" i="79"/>
  <c r="D284" i="79"/>
  <c r="G284" i="79" s="1"/>
  <c r="D288" i="79"/>
  <c r="G288" i="79" s="1"/>
  <c r="C292" i="79"/>
  <c r="D603" i="79"/>
  <c r="G603" i="79" s="1"/>
  <c r="C603" i="79"/>
  <c r="C617" i="79"/>
  <c r="D617" i="79"/>
  <c r="C103" i="79"/>
  <c r="D103" i="79"/>
  <c r="D175" i="79"/>
  <c r="G175" i="79" s="1"/>
  <c r="D188" i="79"/>
  <c r="G188" i="79" s="1"/>
  <c r="C386" i="79"/>
  <c r="D394" i="79"/>
  <c r="G394" i="79" s="1"/>
  <c r="C394" i="79"/>
  <c r="D398" i="79"/>
  <c r="C398" i="79"/>
  <c r="C629" i="79"/>
  <c r="D629" i="79"/>
  <c r="G629" i="79" s="1"/>
  <c r="Y7" i="44"/>
  <c r="G110" i="78"/>
  <c r="C350" i="79"/>
  <c r="C618" i="79"/>
  <c r="C616" i="79"/>
  <c r="D616" i="79"/>
  <c r="C162" i="79"/>
  <c r="C166" i="79"/>
  <c r="D166" i="79"/>
  <c r="D170" i="79"/>
  <c r="C170" i="79"/>
  <c r="C174" i="79"/>
  <c r="D174" i="79"/>
  <c r="G174" i="79"/>
  <c r="C183" i="79"/>
  <c r="D183" i="79"/>
  <c r="C191" i="79"/>
  <c r="D191" i="79"/>
  <c r="D195" i="79"/>
  <c r="D199" i="79"/>
  <c r="G199" i="79" s="1"/>
  <c r="C207" i="79"/>
  <c r="D207" i="79"/>
  <c r="G207" i="79" s="1"/>
  <c r="C393" i="79"/>
  <c r="D393" i="79"/>
  <c r="G393" i="79" s="1"/>
  <c r="C397" i="79"/>
  <c r="D397" i="79"/>
  <c r="G397" i="79"/>
  <c r="C628" i="79"/>
  <c r="D628" i="79"/>
  <c r="G628" i="79" s="1"/>
  <c r="C727" i="79"/>
  <c r="D727" i="79"/>
  <c r="G727" i="79" s="1"/>
  <c r="D234" i="79"/>
  <c r="C234" i="79"/>
  <c r="C259" i="79"/>
  <c r="D259" i="79"/>
  <c r="G259" i="79" s="1"/>
  <c r="C267" i="79"/>
  <c r="D267" i="79"/>
  <c r="D271" i="79"/>
  <c r="G271" i="79" s="1"/>
  <c r="C271" i="79"/>
  <c r="D275" i="79"/>
  <c r="G275" i="79" s="1"/>
  <c r="C275" i="79"/>
  <c r="D451" i="79"/>
  <c r="G451" i="79" s="1"/>
  <c r="C451" i="79"/>
  <c r="D468" i="79"/>
  <c r="C468" i="79"/>
  <c r="D485" i="79"/>
  <c r="C485" i="79"/>
  <c r="J6" i="45"/>
  <c r="AD7" i="44"/>
  <c r="C192" i="79"/>
  <c r="H110" i="78"/>
  <c r="D106" i="78"/>
  <c r="D427" i="79"/>
  <c r="C204" i="79"/>
  <c r="D50" i="79"/>
  <c r="S7" i="48"/>
  <c r="Y7" i="48"/>
  <c r="AK7" i="48"/>
  <c r="G6" i="80"/>
  <c r="M6" i="80" s="1"/>
  <c r="G6" i="46"/>
  <c r="R6" i="46" s="1"/>
  <c r="G6" i="44"/>
  <c r="AD6" i="44" s="1"/>
  <c r="Y6" i="47"/>
  <c r="M6" i="47"/>
  <c r="AM6" i="47"/>
  <c r="P6" i="47"/>
  <c r="V6" i="47"/>
  <c r="D6" i="46"/>
  <c r="J6" i="46" s="1"/>
  <c r="AB6" i="47"/>
  <c r="D6" i="48"/>
  <c r="AH6" i="47"/>
  <c r="D6" i="44"/>
  <c r="AA6" i="44" s="1"/>
  <c r="D6" i="80"/>
  <c r="J6" i="80" s="1"/>
  <c r="C619" i="79"/>
  <c r="D619" i="79"/>
  <c r="D182" i="79"/>
  <c r="D396" i="79"/>
  <c r="G396" i="79" s="1"/>
  <c r="D404" i="79"/>
  <c r="G404" i="79" s="1"/>
  <c r="C578" i="79"/>
  <c r="D578" i="79"/>
  <c r="D627" i="79"/>
  <c r="C627" i="79"/>
  <c r="D631" i="79"/>
  <c r="G631" i="79" s="1"/>
  <c r="C631" i="79"/>
  <c r="D48" i="79"/>
  <c r="D43" i="79"/>
  <c r="G43" i="79" s="1"/>
  <c r="AD7" i="47"/>
  <c r="X7" i="47"/>
  <c r="AO7" i="47"/>
  <c r="F7" i="44"/>
  <c r="F7" i="80"/>
  <c r="AJ7" i="80" s="1"/>
  <c r="D7" i="80"/>
  <c r="V7" i="80" s="1"/>
  <c r="X33" i="48"/>
  <c r="Y33" i="48" s="1"/>
  <c r="J7" i="47"/>
  <c r="AB7" i="47"/>
  <c r="C290" i="79"/>
  <c r="L7" i="47"/>
  <c r="C106" i="79"/>
  <c r="D286" i="79"/>
  <c r="G286" i="79"/>
  <c r="D68" i="79"/>
  <c r="G68" i="79" s="1"/>
  <c r="D52" i="79"/>
  <c r="G52" i="79" s="1"/>
  <c r="D35" i="79"/>
  <c r="G35" i="79" s="1"/>
  <c r="F7" i="46"/>
  <c r="L7" i="46" s="1"/>
  <c r="U30" i="48"/>
  <c r="V30" i="48" s="1"/>
  <c r="E105" i="78"/>
  <c r="R41" i="44"/>
  <c r="S41" i="44" s="1"/>
  <c r="R32" i="44"/>
  <c r="S32" i="44" s="1"/>
  <c r="R34" i="48"/>
  <c r="S34" i="48" s="1"/>
  <c r="R19" i="48"/>
  <c r="L21" i="45"/>
  <c r="M21" i="45" s="1"/>
  <c r="L13" i="45"/>
  <c r="M13" i="45" s="1"/>
  <c r="R81" i="44"/>
  <c r="S81" i="44" s="1"/>
  <c r="R66" i="80"/>
  <c r="S66" i="80" s="1"/>
  <c r="X22" i="44"/>
  <c r="Y22" i="44" s="1"/>
  <c r="S19" i="48"/>
  <c r="L16" i="46"/>
  <c r="M16" i="46" s="1"/>
  <c r="P39" i="44"/>
  <c r="R39" i="44" s="1"/>
  <c r="S39" i="44" s="1"/>
  <c r="R17" i="44"/>
  <c r="S17" i="44" s="1"/>
  <c r="L36" i="48"/>
  <c r="M36" i="48" s="1"/>
  <c r="L35" i="48"/>
  <c r="M35" i="48" s="1"/>
  <c r="L66" i="44"/>
  <c r="M66" i="44" s="1"/>
  <c r="L62" i="44"/>
  <c r="M62" i="44" s="1"/>
  <c r="L32" i="44"/>
  <c r="M32" i="44" s="1"/>
  <c r="L28" i="80"/>
  <c r="M28" i="80" s="1"/>
  <c r="L19" i="80"/>
  <c r="M19" i="80" s="1"/>
  <c r="L39" i="44"/>
  <c r="M39" i="44" s="1"/>
  <c r="L37" i="44"/>
  <c r="M37" i="44" s="1"/>
  <c r="L64" i="80"/>
  <c r="M64" i="80" s="1"/>
  <c r="L35" i="80"/>
  <c r="M35" i="80" s="1"/>
  <c r="L21" i="44"/>
  <c r="M21" i="44" s="1"/>
  <c r="L13" i="44"/>
  <c r="M13" i="44" s="1"/>
  <c r="L40" i="80"/>
  <c r="M40" i="80" s="1"/>
  <c r="L23" i="80"/>
  <c r="M23" i="80" s="1"/>
  <c r="AD18" i="77"/>
  <c r="AE18" i="77" s="1"/>
  <c r="AD12" i="77"/>
  <c r="AE12" i="77" s="1"/>
  <c r="AJ24" i="80"/>
  <c r="AK24" i="80" s="1"/>
  <c r="AD73" i="80"/>
  <c r="AE73" i="80" s="1"/>
  <c r="AC7" i="44"/>
  <c r="L7" i="44"/>
  <c r="J6" i="44"/>
  <c r="V6" i="44"/>
  <c r="S6" i="80"/>
  <c r="AE6" i="80"/>
  <c r="AK6" i="80"/>
  <c r="AM11" i="48"/>
  <c r="AO11" i="48" s="1"/>
  <c r="AH7" i="80"/>
  <c r="P7" i="80"/>
  <c r="AM7" i="80"/>
  <c r="R7" i="80"/>
  <c r="X7" i="80"/>
  <c r="AB6" i="48"/>
  <c r="AM6" i="48"/>
  <c r="P6" i="80"/>
  <c r="AH6" i="80"/>
  <c r="AB6" i="80"/>
  <c r="M6" i="46"/>
  <c r="AP11" i="48"/>
  <c r="AD30" i="83"/>
  <c r="AE30" i="83" s="1"/>
  <c r="V36" i="83"/>
  <c r="AJ30" i="83"/>
  <c r="AK30" i="83" s="1"/>
  <c r="AD12" i="83"/>
  <c r="AE12" i="83" s="1"/>
  <c r="L13" i="83"/>
  <c r="AM13" i="83"/>
  <c r="AJ13" i="83"/>
  <c r="AK13" i="83"/>
  <c r="AM14" i="80"/>
  <c r="R12" i="80"/>
  <c r="S12" i="80" s="1"/>
  <c r="V55" i="80"/>
  <c r="AL55" i="80"/>
  <c r="P57" i="80"/>
  <c r="AM57" i="80" s="1"/>
  <c r="AL57" i="80"/>
  <c r="O19" i="45"/>
  <c r="J75" i="80"/>
  <c r="L75" i="80" s="1"/>
  <c r="AL75" i="80"/>
  <c r="I81" i="80"/>
  <c r="P38" i="80"/>
  <c r="P46" i="80"/>
  <c r="R46" i="80" s="1"/>
  <c r="P50" i="80"/>
  <c r="AL50" i="80"/>
  <c r="J34" i="46"/>
  <c r="X23" i="80"/>
  <c r="Y23" i="80"/>
  <c r="L43" i="80"/>
  <c r="M43" i="80" s="1"/>
  <c r="AD50" i="44"/>
  <c r="AO34" i="83"/>
  <c r="R75" i="80"/>
  <c r="S75" i="80" s="1"/>
  <c r="R10" i="80"/>
  <c r="S10" i="80" s="1"/>
  <c r="F29" i="80"/>
  <c r="G29" i="80" s="1"/>
  <c r="F61" i="80"/>
  <c r="G61" i="80" s="1"/>
  <c r="AA17" i="44"/>
  <c r="G17" i="44"/>
  <c r="O10" i="46"/>
  <c r="Q10" i="46" s="1"/>
  <c r="R10" i="46" s="1"/>
  <c r="F10" i="48"/>
  <c r="G10" i="48" s="1"/>
  <c r="G18" i="48"/>
  <c r="P41" i="80"/>
  <c r="R41" i="80" s="1"/>
  <c r="S41" i="80" s="1"/>
  <c r="X51" i="80"/>
  <c r="Y51" i="80" s="1"/>
  <c r="F11" i="46"/>
  <c r="G11" i="46" s="1"/>
  <c r="O15" i="46"/>
  <c r="AM15" i="48"/>
  <c r="F15" i="48"/>
  <c r="G15" i="48" s="1"/>
  <c r="R38" i="80"/>
  <c r="AN38" i="80"/>
  <c r="P79" i="80"/>
  <c r="AL79" i="80"/>
  <c r="AC115" i="44"/>
  <c r="AD115" i="44" s="1"/>
  <c r="AC34" i="44"/>
  <c r="AD34" i="44" s="1"/>
  <c r="F21" i="44"/>
  <c r="G21" i="44" s="1"/>
  <c r="AM7" i="48"/>
  <c r="AH7" i="48"/>
  <c r="P7" i="48"/>
  <c r="AB9" i="44"/>
  <c r="AB98" i="44"/>
  <c r="L34" i="46"/>
  <c r="M34" i="46" s="1"/>
  <c r="AL19" i="80"/>
  <c r="AN46" i="80"/>
  <c r="P6" i="45"/>
  <c r="R30" i="44"/>
  <c r="S30" i="44" s="1"/>
  <c r="X40" i="77"/>
  <c r="Y40" i="77" s="1"/>
  <c r="R31" i="77"/>
  <c r="S31" i="77" s="1"/>
  <c r="R30" i="77"/>
  <c r="S30" i="77" s="1"/>
  <c r="R19" i="77"/>
  <c r="S19" i="77" s="1"/>
  <c r="X28" i="48"/>
  <c r="Y28" i="48" s="1"/>
  <c r="Y21" i="48"/>
  <c r="AE7" i="48"/>
  <c r="AP7" i="48"/>
  <c r="M7" i="48"/>
  <c r="X117" i="44"/>
  <c r="Y117" i="44" s="1"/>
  <c r="Z101" i="44"/>
  <c r="AB96" i="44"/>
  <c r="Z96" i="44"/>
  <c r="AB94" i="44"/>
  <c r="X60" i="80"/>
  <c r="Y60" i="80" s="1"/>
  <c r="R24" i="48"/>
  <c r="S24" i="48" s="1"/>
  <c r="L12" i="46"/>
  <c r="M12" i="46" s="1"/>
  <c r="L33" i="45"/>
  <c r="M33" i="45" s="1"/>
  <c r="L37" i="45"/>
  <c r="M37" i="45" s="1"/>
  <c r="L31" i="45"/>
  <c r="M31" i="45" s="1"/>
  <c r="L12" i="45"/>
  <c r="M12" i="45" s="1"/>
  <c r="R72" i="44"/>
  <c r="S72" i="44" s="1"/>
  <c r="R45" i="44"/>
  <c r="S45" i="44" s="1"/>
  <c r="L22" i="44"/>
  <c r="M22" i="44" s="1"/>
  <c r="R15" i="44"/>
  <c r="S15" i="44" s="1"/>
  <c r="R21" i="80"/>
  <c r="S21" i="80" s="1"/>
  <c r="L19" i="48"/>
  <c r="M19" i="48" s="1"/>
  <c r="L42" i="44"/>
  <c r="M42" i="44" s="1"/>
  <c r="L47" i="80"/>
  <c r="M47" i="80" s="1"/>
  <c r="L20" i="80"/>
  <c r="M20" i="80" s="1"/>
  <c r="F74" i="80"/>
  <c r="G74" i="80" s="1"/>
  <c r="AJ62" i="80"/>
  <c r="AK62" i="80" s="1"/>
  <c r="AA96" i="44"/>
  <c r="AM75" i="80"/>
  <c r="R57" i="80"/>
  <c r="S57" i="80" s="1"/>
  <c r="O34" i="46"/>
  <c r="Q34" i="46" s="1"/>
  <c r="R34" i="46" s="1"/>
  <c r="J33" i="46" l="1"/>
  <c r="I41" i="46"/>
  <c r="J41" i="46" s="1"/>
  <c r="J11" i="46"/>
  <c r="N11" i="46"/>
  <c r="E28" i="48"/>
  <c r="F28" i="48" s="1"/>
  <c r="G28" i="48" s="1"/>
  <c r="O666" i="79"/>
  <c r="E29" i="46"/>
  <c r="P29" i="46" s="1"/>
  <c r="O610" i="79"/>
  <c r="N22" i="46"/>
  <c r="D22" i="46"/>
  <c r="E23" i="45"/>
  <c r="P23" i="45" s="1"/>
  <c r="O543" i="79"/>
  <c r="D13" i="45"/>
  <c r="N13" i="45"/>
  <c r="D51" i="44"/>
  <c r="AA51" i="44" s="1"/>
  <c r="Z51" i="44"/>
  <c r="E36" i="44"/>
  <c r="O310" i="79"/>
  <c r="E26" i="44"/>
  <c r="AB26" i="44" s="1"/>
  <c r="O302" i="79"/>
  <c r="D37" i="80"/>
  <c r="F37" i="80" s="1"/>
  <c r="G37" i="80" s="1"/>
  <c r="AL37" i="80"/>
  <c r="E19" i="80"/>
  <c r="AN19" i="80" s="1"/>
  <c r="O13" i="79"/>
  <c r="F11" i="92"/>
  <c r="K9" i="92"/>
  <c r="E17" i="92"/>
  <c r="E24" i="92" s="1"/>
  <c r="E26" i="92" s="1"/>
  <c r="K14" i="92"/>
  <c r="AB34" i="80"/>
  <c r="AD34" i="80" s="1"/>
  <c r="AE34" i="80" s="1"/>
  <c r="AL34" i="80"/>
  <c r="F93" i="44"/>
  <c r="G93" i="44" s="1"/>
  <c r="AB93" i="44"/>
  <c r="AB81" i="44"/>
  <c r="F81" i="44"/>
  <c r="G81" i="44" s="1"/>
  <c r="AB61" i="44"/>
  <c r="AC61" i="44" s="1"/>
  <c r="AD61" i="44" s="1"/>
  <c r="R61" i="44"/>
  <c r="S61" i="44" s="1"/>
  <c r="AB18" i="48"/>
  <c r="AL18" i="48"/>
  <c r="AK22" i="48"/>
  <c r="AJ22" i="48"/>
  <c r="AD15" i="83"/>
  <c r="AM15" i="83"/>
  <c r="AE15" i="83"/>
  <c r="AH32" i="83"/>
  <c r="AH36" i="83" s="1"/>
  <c r="AG36" i="83"/>
  <c r="AL9" i="87"/>
  <c r="K36" i="83"/>
  <c r="L12" i="83"/>
  <c r="M12" i="83" s="1"/>
  <c r="O28" i="44"/>
  <c r="P28" i="44" s="1"/>
  <c r="P19" i="44"/>
  <c r="R19" i="44" s="1"/>
  <c r="S19" i="44" s="1"/>
  <c r="Z19" i="44"/>
  <c r="F38" i="77"/>
  <c r="G38" i="77" s="1"/>
  <c r="AN47" i="80"/>
  <c r="AO47" i="80" s="1"/>
  <c r="AP47" i="80" s="1"/>
  <c r="AL34" i="48"/>
  <c r="F23" i="44"/>
  <c r="G23" i="44" s="1"/>
  <c r="AA23" i="44"/>
  <c r="U81" i="80"/>
  <c r="V33" i="80"/>
  <c r="X33" i="80" s="1"/>
  <c r="AN27" i="83"/>
  <c r="AO27" i="83" s="1"/>
  <c r="AP27" i="83" s="1"/>
  <c r="F14" i="46"/>
  <c r="G14" i="46" s="1"/>
  <c r="O14" i="46"/>
  <c r="Q14" i="46" s="1"/>
  <c r="R14" i="46" s="1"/>
  <c r="AM28" i="48"/>
  <c r="G11" i="44"/>
  <c r="F34" i="80"/>
  <c r="G34" i="80" s="1"/>
  <c r="O286" i="79"/>
  <c r="I19" i="89"/>
  <c r="AJ36" i="77"/>
  <c r="AL45" i="80"/>
  <c r="AJ15" i="83"/>
  <c r="AK15" i="83" s="1"/>
  <c r="AL15" i="83"/>
  <c r="F32" i="44"/>
  <c r="G32" i="44" s="1"/>
  <c r="Y54" i="80"/>
  <c r="C27" i="45"/>
  <c r="D27" i="45" s="1"/>
  <c r="AH81" i="80"/>
  <c r="K37" i="46"/>
  <c r="P37" i="46" s="1"/>
  <c r="O646" i="79"/>
  <c r="C41" i="46"/>
  <c r="D41" i="46" s="1"/>
  <c r="N33" i="46"/>
  <c r="D33" i="46"/>
  <c r="E34" i="45"/>
  <c r="O551" i="79"/>
  <c r="E47" i="44"/>
  <c r="O318" i="79"/>
  <c r="D70" i="80"/>
  <c r="AL70" i="80"/>
  <c r="E58" i="80"/>
  <c r="F58" i="80" s="1"/>
  <c r="G58" i="80" s="1"/>
  <c r="O48" i="79"/>
  <c r="AL23" i="80"/>
  <c r="D23" i="80"/>
  <c r="K157" i="85"/>
  <c r="G221" i="85"/>
  <c r="C667" i="79"/>
  <c r="D667" i="79"/>
  <c r="H11" i="92"/>
  <c r="K7" i="92"/>
  <c r="K11" i="92" s="1"/>
  <c r="F97" i="44"/>
  <c r="G97" i="44" s="1"/>
  <c r="P97" i="44"/>
  <c r="Z97" i="44"/>
  <c r="P41" i="45"/>
  <c r="AB34" i="48"/>
  <c r="AA39" i="48"/>
  <c r="AB39" i="48" s="1"/>
  <c r="AD39" i="48" s="1"/>
  <c r="AE39" i="48" s="1"/>
  <c r="F13" i="77"/>
  <c r="G13" i="77" s="1"/>
  <c r="AN64" i="80"/>
  <c r="AL43" i="80"/>
  <c r="V43" i="80"/>
  <c r="X43" i="80" s="1"/>
  <c r="Y43" i="80" s="1"/>
  <c r="K29" i="46"/>
  <c r="L29" i="46" s="1"/>
  <c r="M29" i="46" s="1"/>
  <c r="O638" i="79"/>
  <c r="K15" i="46"/>
  <c r="L15" i="46" s="1"/>
  <c r="M15" i="46" s="1"/>
  <c r="O627" i="79"/>
  <c r="K35" i="45"/>
  <c r="O584" i="79"/>
  <c r="N19" i="46"/>
  <c r="D19" i="46"/>
  <c r="E59" i="44"/>
  <c r="AB59" i="44" s="1"/>
  <c r="O332" i="79"/>
  <c r="D57" i="44"/>
  <c r="Z57" i="44"/>
  <c r="E49" i="80"/>
  <c r="AN49" i="80" s="1"/>
  <c r="O39" i="79"/>
  <c r="H221" i="85"/>
  <c r="K167" i="85"/>
  <c r="I45" i="86"/>
  <c r="Q28" i="86"/>
  <c r="AD71" i="80"/>
  <c r="AE71" i="80" s="1"/>
  <c r="AN71" i="80"/>
  <c r="AB101" i="44"/>
  <c r="AC101" i="44" s="1"/>
  <c r="F101" i="44"/>
  <c r="G101" i="44" s="1"/>
  <c r="P93" i="44"/>
  <c r="R93" i="44" s="1"/>
  <c r="S93" i="44" s="1"/>
  <c r="Z93" i="44"/>
  <c r="AB23" i="83"/>
  <c r="AB36" i="83" s="1"/>
  <c r="AL23" i="83"/>
  <c r="G22" i="89"/>
  <c r="X23" i="77"/>
  <c r="AM21" i="77"/>
  <c r="P10" i="48"/>
  <c r="AL10" i="48"/>
  <c r="D30" i="45"/>
  <c r="N30" i="45"/>
  <c r="E20" i="45"/>
  <c r="P20" i="45" s="1"/>
  <c r="O540" i="79"/>
  <c r="O529" i="79"/>
  <c r="E9" i="45"/>
  <c r="F9" i="45" s="1"/>
  <c r="G9" i="45" s="1"/>
  <c r="D40" i="44"/>
  <c r="Z40" i="44"/>
  <c r="E18" i="44"/>
  <c r="AB18" i="44" s="1"/>
  <c r="AC18" i="44" s="1"/>
  <c r="AD18" i="44" s="1"/>
  <c r="O294" i="79"/>
  <c r="E75" i="80"/>
  <c r="F75" i="80" s="1"/>
  <c r="G75" i="80" s="1"/>
  <c r="O64" i="79"/>
  <c r="E66" i="80"/>
  <c r="O56" i="79"/>
  <c r="E28" i="80"/>
  <c r="F28" i="80" s="1"/>
  <c r="G28" i="80" s="1"/>
  <c r="O23" i="79"/>
  <c r="D32" i="48"/>
  <c r="F32" i="48" s="1"/>
  <c r="C39" i="48"/>
  <c r="D39" i="48" s="1"/>
  <c r="E13" i="89"/>
  <c r="L17" i="77"/>
  <c r="M17" i="77" s="1"/>
  <c r="F11" i="89"/>
  <c r="R24" i="77"/>
  <c r="S24" i="77" s="1"/>
  <c r="X19" i="77"/>
  <c r="Y19" i="77" s="1"/>
  <c r="AM19" i="77"/>
  <c r="G12" i="89"/>
  <c r="X14" i="77"/>
  <c r="Y14" i="77" s="1"/>
  <c r="AD22" i="77"/>
  <c r="AE22" i="77" s="1"/>
  <c r="H16" i="89"/>
  <c r="AD53" i="80"/>
  <c r="AE53" i="80" s="1"/>
  <c r="AB89" i="44"/>
  <c r="AB77" i="44"/>
  <c r="AC77" i="44" s="1"/>
  <c r="AD77" i="44" s="1"/>
  <c r="F77" i="44"/>
  <c r="G77" i="44" s="1"/>
  <c r="AB14" i="48"/>
  <c r="AD14" i="48" s="1"/>
  <c r="AE14" i="48" s="1"/>
  <c r="AL14" i="48"/>
  <c r="AN14" i="48"/>
  <c r="AJ14" i="48"/>
  <c r="AK14" i="48" s="1"/>
  <c r="AN21" i="83"/>
  <c r="AO21" i="83" s="1"/>
  <c r="AP21" i="83" s="1"/>
  <c r="F21" i="83"/>
  <c r="G21" i="83" s="1"/>
  <c r="L23" i="83"/>
  <c r="M23" i="83" s="1"/>
  <c r="AN23" i="83"/>
  <c r="AB19" i="83"/>
  <c r="AL19" i="83"/>
  <c r="AD11" i="83"/>
  <c r="AE11" i="83" s="1"/>
  <c r="D16" i="45"/>
  <c r="K81" i="80"/>
  <c r="P44" i="80"/>
  <c r="AL44" i="80"/>
  <c r="J9" i="83"/>
  <c r="I36" i="83"/>
  <c r="AL9" i="83"/>
  <c r="E217" i="85"/>
  <c r="E216" i="85"/>
  <c r="E219" i="85" s="1"/>
  <c r="J218" i="85"/>
  <c r="H214" i="85"/>
  <c r="I215" i="85"/>
  <c r="J217" i="85"/>
  <c r="G218" i="85"/>
  <c r="G215" i="85"/>
  <c r="G217" i="85"/>
  <c r="G214" i="85"/>
  <c r="H213" i="85"/>
  <c r="J214" i="85"/>
  <c r="E215" i="85"/>
  <c r="I214" i="85"/>
  <c r="E214" i="85"/>
  <c r="F215" i="85"/>
  <c r="F217" i="85"/>
  <c r="I218" i="85"/>
  <c r="H218" i="85"/>
  <c r="H215" i="85"/>
  <c r="F216" i="85"/>
  <c r="H216" i="85"/>
  <c r="F218" i="85"/>
  <c r="J215" i="85"/>
  <c r="G216" i="85"/>
  <c r="I216" i="85"/>
  <c r="E218" i="85"/>
  <c r="Q23" i="45"/>
  <c r="AL26" i="48"/>
  <c r="Y42" i="44"/>
  <c r="E213" i="85"/>
  <c r="AC48" i="44"/>
  <c r="AD48" i="44" s="1"/>
  <c r="AO12" i="83"/>
  <c r="AP12" i="83" s="1"/>
  <c r="AN12" i="83"/>
  <c r="AL19" i="77"/>
  <c r="AM22" i="48"/>
  <c r="AO22" i="48" s="1"/>
  <c r="AP22" i="48" s="1"/>
  <c r="O29" i="46"/>
  <c r="O35" i="46"/>
  <c r="Q35" i="46" s="1"/>
  <c r="R35" i="46" s="1"/>
  <c r="F35" i="46"/>
  <c r="G35" i="46" s="1"/>
  <c r="F13" i="48"/>
  <c r="G13" i="48" s="1"/>
  <c r="AD23" i="77"/>
  <c r="AE23" i="77" s="1"/>
  <c r="H22" i="89"/>
  <c r="AM19" i="83"/>
  <c r="E15" i="46"/>
  <c r="E25" i="46" s="1"/>
  <c r="O599" i="79"/>
  <c r="D44" i="44"/>
  <c r="Z44" i="44"/>
  <c r="D54" i="44"/>
  <c r="Z54" i="44"/>
  <c r="D22" i="44"/>
  <c r="Z22" i="44"/>
  <c r="AB10" i="44"/>
  <c r="F10" i="44"/>
  <c r="G10" i="44" s="1"/>
  <c r="E41" i="80"/>
  <c r="F41" i="80" s="1"/>
  <c r="G41" i="80" s="1"/>
  <c r="O31" i="79"/>
  <c r="E11" i="80"/>
  <c r="O5" i="79"/>
  <c r="N795" i="79"/>
  <c r="G17" i="92"/>
  <c r="G24" i="92" s="1"/>
  <c r="K15" i="92"/>
  <c r="K17" i="92" s="1"/>
  <c r="K21" i="92" s="1"/>
  <c r="D10" i="89"/>
  <c r="J10" i="89" s="1"/>
  <c r="AN15" i="77"/>
  <c r="F15" i="77"/>
  <c r="G15" i="77" s="1"/>
  <c r="E8" i="89"/>
  <c r="L12" i="77"/>
  <c r="M12" i="77" s="1"/>
  <c r="AB59" i="80"/>
  <c r="AD59" i="80" s="1"/>
  <c r="AE59" i="80" s="1"/>
  <c r="AL59" i="80"/>
  <c r="AJ60" i="80"/>
  <c r="AK60" i="80" s="1"/>
  <c r="AN60" i="80"/>
  <c r="AO60" i="80" s="1"/>
  <c r="AP60" i="80" s="1"/>
  <c r="AB85" i="44"/>
  <c r="AC85" i="44" s="1"/>
  <c r="AD85" i="44" s="1"/>
  <c r="F85" i="44"/>
  <c r="G85" i="44" s="1"/>
  <c r="P69" i="44"/>
  <c r="R69" i="44" s="1"/>
  <c r="S69" i="44" s="1"/>
  <c r="Z69" i="44"/>
  <c r="R65" i="44"/>
  <c r="S65" i="44" s="1"/>
  <c r="AA65" i="44"/>
  <c r="AC65" i="44" s="1"/>
  <c r="AD65" i="44" s="1"/>
  <c r="J31" i="83"/>
  <c r="AL31" i="83"/>
  <c r="Z14" i="44"/>
  <c r="I44" i="45"/>
  <c r="J44" i="45" s="1"/>
  <c r="J32" i="45"/>
  <c r="N32" i="45"/>
  <c r="O30" i="48"/>
  <c r="P30" i="48" s="1"/>
  <c r="D25" i="83"/>
  <c r="F33" i="83"/>
  <c r="G33" i="83" s="1"/>
  <c r="AN33" i="83"/>
  <c r="AO33" i="83" s="1"/>
  <c r="AP33" i="83" s="1"/>
  <c r="V20" i="80"/>
  <c r="X20" i="80" s="1"/>
  <c r="Y20" i="80" s="1"/>
  <c r="AL20" i="80"/>
  <c r="V37" i="48"/>
  <c r="AM37" i="48" s="1"/>
  <c r="AL37" i="48"/>
  <c r="V46" i="80"/>
  <c r="X46" i="80" s="1"/>
  <c r="Y46" i="80" s="1"/>
  <c r="AL46" i="80"/>
  <c r="S20" i="77"/>
  <c r="F11" i="77"/>
  <c r="G11" i="77"/>
  <c r="AM11" i="77"/>
  <c r="AC116" i="44"/>
  <c r="AD116" i="44" s="1"/>
  <c r="X9" i="44"/>
  <c r="AC113" i="44"/>
  <c r="AD113" i="44" s="1"/>
  <c r="X101" i="44"/>
  <c r="F89" i="44"/>
  <c r="G89" i="44" s="1"/>
  <c r="F18" i="45"/>
  <c r="G18" i="45" s="1"/>
  <c r="O18" i="45"/>
  <c r="F20" i="46"/>
  <c r="G20" i="46" s="1"/>
  <c r="O20" i="46"/>
  <c r="Q20" i="46" s="1"/>
  <c r="R20" i="46" s="1"/>
  <c r="C107" i="79"/>
  <c r="D107" i="79"/>
  <c r="G107" i="79" s="1"/>
  <c r="C365" i="79"/>
  <c r="D365" i="79"/>
  <c r="D455" i="79"/>
  <c r="G455" i="79" s="1"/>
  <c r="C455" i="79"/>
  <c r="C46" i="79"/>
  <c r="AN9" i="83"/>
  <c r="AJ9" i="83"/>
  <c r="AK9" i="83" s="1"/>
  <c r="W97" i="44"/>
  <c r="X97" i="44" s="1"/>
  <c r="Y97" i="44" s="1"/>
  <c r="O492" i="79"/>
  <c r="V32" i="44"/>
  <c r="AA32" i="44" s="1"/>
  <c r="Z32" i="44"/>
  <c r="W17" i="44"/>
  <c r="O452" i="79"/>
  <c r="W34" i="80"/>
  <c r="O230" i="79"/>
  <c r="Q18" i="48"/>
  <c r="O712" i="79"/>
  <c r="J39" i="46"/>
  <c r="L39" i="46" s="1"/>
  <c r="M39" i="46" s="1"/>
  <c r="N39" i="46"/>
  <c r="K11" i="44"/>
  <c r="O343" i="79"/>
  <c r="AC64" i="44"/>
  <c r="AD64" i="44" s="1"/>
  <c r="AO30" i="83"/>
  <c r="AP30" i="83" s="1"/>
  <c r="C388" i="79"/>
  <c r="D409" i="79"/>
  <c r="AA109" i="44"/>
  <c r="O171" i="79"/>
  <c r="D564" i="79"/>
  <c r="G564" i="79" s="1"/>
  <c r="C564" i="79"/>
  <c r="M23" i="77"/>
  <c r="K30" i="77"/>
  <c r="I33" i="78"/>
  <c r="W90" i="44"/>
  <c r="O479" i="79"/>
  <c r="W69" i="80"/>
  <c r="X69" i="80" s="1"/>
  <c r="Y69" i="80" s="1"/>
  <c r="O265" i="79"/>
  <c r="L15" i="45"/>
  <c r="M15" i="45" s="1"/>
  <c r="O15" i="45"/>
  <c r="Q15" i="45" s="1"/>
  <c r="R15" i="45" s="1"/>
  <c r="O689" i="79"/>
  <c r="R95" i="44"/>
  <c r="S95" i="44" s="1"/>
  <c r="AB95" i="44"/>
  <c r="AC95" i="44" s="1"/>
  <c r="AD95" i="44" s="1"/>
  <c r="V87" i="44"/>
  <c r="AA87" i="44" s="1"/>
  <c r="Z87" i="44"/>
  <c r="X55" i="80"/>
  <c r="Y55" i="80" s="1"/>
  <c r="F38" i="46"/>
  <c r="G38" i="46" s="1"/>
  <c r="O12" i="46"/>
  <c r="Q12" i="46" s="1"/>
  <c r="R12" i="46" s="1"/>
  <c r="Q37" i="46"/>
  <c r="R37" i="46" s="1"/>
  <c r="X24" i="83"/>
  <c r="Q37" i="48"/>
  <c r="W75" i="80"/>
  <c r="D36" i="77"/>
  <c r="AA31" i="80"/>
  <c r="Z94" i="44"/>
  <c r="X104" i="44"/>
  <c r="Y104" i="44" s="1"/>
  <c r="S15" i="80"/>
  <c r="O31" i="80"/>
  <c r="O22" i="45"/>
  <c r="Q22" i="45" s="1"/>
  <c r="R22" i="45" s="1"/>
  <c r="M52" i="80"/>
  <c r="AA20" i="44"/>
  <c r="F12" i="83"/>
  <c r="V6" i="80"/>
  <c r="L7" i="80"/>
  <c r="O125" i="44"/>
  <c r="P125" i="44" s="1"/>
  <c r="O10" i="45"/>
  <c r="Q30" i="46"/>
  <c r="L14" i="83"/>
  <c r="M14" i="83" s="1"/>
  <c r="AL22" i="83"/>
  <c r="G17" i="83"/>
  <c r="Z64" i="44"/>
  <c r="AE69" i="80"/>
  <c r="AL69" i="80"/>
  <c r="AL22" i="48"/>
  <c r="AM45" i="80"/>
  <c r="AN43" i="80"/>
  <c r="AM15" i="77"/>
  <c r="D34" i="48"/>
  <c r="D16" i="77"/>
  <c r="F16" i="77" s="1"/>
  <c r="G16" i="77" s="1"/>
  <c r="AL38" i="77"/>
  <c r="D107" i="78"/>
  <c r="AL21" i="77"/>
  <c r="R9" i="83"/>
  <c r="S9" i="83" s="1"/>
  <c r="X80" i="44"/>
  <c r="Y80" i="44" s="1"/>
  <c r="C402" i="79"/>
  <c r="E38" i="77"/>
  <c r="I26" i="78"/>
  <c r="W24" i="48"/>
  <c r="X24" i="48" s="1"/>
  <c r="Y24" i="48" s="1"/>
  <c r="O745" i="79"/>
  <c r="W109" i="44"/>
  <c r="AB109" i="44" s="1"/>
  <c r="AC109" i="44" s="1"/>
  <c r="O504" i="79"/>
  <c r="U125" i="44"/>
  <c r="V125" i="44" s="1"/>
  <c r="O9" i="46"/>
  <c r="Q9" i="46" s="1"/>
  <c r="R9" i="46" s="1"/>
  <c r="S68" i="80"/>
  <c r="L38" i="80"/>
  <c r="M38" i="80" s="1"/>
  <c r="AA36" i="44"/>
  <c r="F50" i="44"/>
  <c r="G50" i="44" s="1"/>
  <c r="AM17" i="83"/>
  <c r="AM6" i="80"/>
  <c r="AA39" i="44"/>
  <c r="AC39" i="44" s="1"/>
  <c r="AD39" i="44" s="1"/>
  <c r="AL54" i="80"/>
  <c r="AM49" i="80"/>
  <c r="F47" i="80"/>
  <c r="G47" i="80" s="1"/>
  <c r="AL39" i="80"/>
  <c r="O16" i="46"/>
  <c r="Q27" i="46"/>
  <c r="R27" i="46" s="1"/>
  <c r="O31" i="46"/>
  <c r="Q31" i="46" s="1"/>
  <c r="R31" i="46" s="1"/>
  <c r="AC83" i="44"/>
  <c r="AD83" i="44" s="1"/>
  <c r="Z13" i="44"/>
  <c r="Z25" i="44"/>
  <c r="AN74" i="80"/>
  <c r="F26" i="44"/>
  <c r="G26" i="44" s="1"/>
  <c r="AA26" i="44"/>
  <c r="AC26" i="44" s="1"/>
  <c r="AD26" i="44" s="1"/>
  <c r="AL13" i="80"/>
  <c r="P13" i="80"/>
  <c r="Q50" i="80"/>
  <c r="AL16" i="48"/>
  <c r="L54" i="80"/>
  <c r="M54" i="80" s="1"/>
  <c r="O25" i="45"/>
  <c r="Q25" i="45" s="1"/>
  <c r="R25" i="45" s="1"/>
  <c r="F25" i="45"/>
  <c r="G25" i="45" s="1"/>
  <c r="AM35" i="48"/>
  <c r="W37" i="48"/>
  <c r="AL15" i="77"/>
  <c r="AN14" i="77"/>
  <c r="U43" i="77"/>
  <c r="AC53" i="44"/>
  <c r="AD53" i="44" s="1"/>
  <c r="L82" i="44"/>
  <c r="M82" i="44" s="1"/>
  <c r="O27" i="77"/>
  <c r="Z90" i="44"/>
  <c r="V99" i="44"/>
  <c r="X99" i="44" s="1"/>
  <c r="Y99" i="44" s="1"/>
  <c r="O699" i="79"/>
  <c r="O447" i="79"/>
  <c r="O457" i="79"/>
  <c r="O512" i="79"/>
  <c r="I34" i="78"/>
  <c r="D516" i="79"/>
  <c r="C433" i="79"/>
  <c r="D194" i="79"/>
  <c r="Q41" i="77"/>
  <c r="R41" i="77" s="1"/>
  <c r="S41" i="77" s="1"/>
  <c r="AC41" i="48"/>
  <c r="D689" i="79"/>
  <c r="G689" i="79" s="1"/>
  <c r="C689" i="79"/>
  <c r="C697" i="79"/>
  <c r="D697" i="79"/>
  <c r="G697" i="79" s="1"/>
  <c r="D411" i="79"/>
  <c r="C411" i="79"/>
  <c r="D426" i="79"/>
  <c r="C426" i="79"/>
  <c r="C211" i="79"/>
  <c r="D211" i="79"/>
  <c r="G211" i="79" s="1"/>
  <c r="D219" i="79"/>
  <c r="G219" i="79" s="1"/>
  <c r="C219" i="79"/>
  <c r="D55" i="79"/>
  <c r="C55" i="79"/>
  <c r="C473" i="79"/>
  <c r="D473" i="79"/>
  <c r="AN10" i="87"/>
  <c r="K38" i="77"/>
  <c r="L38" i="77" s="1"/>
  <c r="M38" i="77" s="1"/>
  <c r="I42" i="78"/>
  <c r="I35" i="78"/>
  <c r="I32" i="78"/>
  <c r="I24" i="78"/>
  <c r="E33" i="77"/>
  <c r="I19" i="78"/>
  <c r="I16" i="78"/>
  <c r="C31" i="80"/>
  <c r="O277" i="79"/>
  <c r="AC57" i="80"/>
  <c r="W25" i="48"/>
  <c r="X25" i="48" s="1"/>
  <c r="Y25" i="48" s="1"/>
  <c r="O746" i="79"/>
  <c r="W17" i="48"/>
  <c r="X17" i="48" s="1"/>
  <c r="Y17" i="48" s="1"/>
  <c r="O738" i="79"/>
  <c r="W9" i="48"/>
  <c r="AN9" i="48" s="1"/>
  <c r="O730" i="79"/>
  <c r="W114" i="44"/>
  <c r="AB114" i="44" s="1"/>
  <c r="AC114" i="44" s="1"/>
  <c r="AD114" i="44" s="1"/>
  <c r="O513" i="79"/>
  <c r="O505" i="79"/>
  <c r="AB102" i="44"/>
  <c r="X102" i="44"/>
  <c r="Y102" i="44" s="1"/>
  <c r="V98" i="44"/>
  <c r="Z98" i="44"/>
  <c r="O489" i="79"/>
  <c r="W92" i="44"/>
  <c r="O481" i="79"/>
  <c r="W40" i="44"/>
  <c r="X40" i="44" s="1"/>
  <c r="Y40" i="44" s="1"/>
  <c r="O473" i="79"/>
  <c r="W14" i="44"/>
  <c r="O449" i="79"/>
  <c r="X10" i="44"/>
  <c r="Y10" i="44" s="1"/>
  <c r="AA10" i="44"/>
  <c r="O275" i="79"/>
  <c r="W76" i="80"/>
  <c r="AN76" i="80" s="1"/>
  <c r="W72" i="80"/>
  <c r="O267" i="79"/>
  <c r="O251" i="79"/>
  <c r="W47" i="80"/>
  <c r="X47" i="80" s="1"/>
  <c r="Y47" i="80" s="1"/>
  <c r="O243" i="79"/>
  <c r="O235" i="79"/>
  <c r="W39" i="80"/>
  <c r="AN39" i="80" s="1"/>
  <c r="V35" i="80"/>
  <c r="X35" i="80" s="1"/>
  <c r="Y35" i="80" s="1"/>
  <c r="AL35" i="80"/>
  <c r="O225" i="79"/>
  <c r="W18" i="80"/>
  <c r="O217" i="79"/>
  <c r="O209" i="79"/>
  <c r="Q16" i="77"/>
  <c r="I58" i="78"/>
  <c r="F10" i="87"/>
  <c r="G10" i="87" s="1"/>
  <c r="C547" i="79"/>
  <c r="W24" i="77"/>
  <c r="X24" i="77" s="1"/>
  <c r="Y24" i="77" s="1"/>
  <c r="I93" i="78"/>
  <c r="E12" i="77"/>
  <c r="D8" i="89" s="1"/>
  <c r="I8" i="78"/>
  <c r="V91" i="44"/>
  <c r="AA91" i="44" s="1"/>
  <c r="Z91" i="44"/>
  <c r="W25" i="44"/>
  <c r="X25" i="44" s="1"/>
  <c r="Y25" i="44" s="1"/>
  <c r="O460" i="79"/>
  <c r="W59" i="80"/>
  <c r="X59" i="80" s="1"/>
  <c r="Y59" i="80" s="1"/>
  <c r="O254" i="79"/>
  <c r="Q35" i="48"/>
  <c r="O726" i="79"/>
  <c r="Q67" i="80"/>
  <c r="R67" i="80" s="1"/>
  <c r="S67" i="80" s="1"/>
  <c r="O191" i="79"/>
  <c r="J13" i="48"/>
  <c r="AM13" i="48" s="1"/>
  <c r="AL13" i="48"/>
  <c r="J72" i="80"/>
  <c r="AL72" i="80"/>
  <c r="D120" i="44"/>
  <c r="F120" i="44" s="1"/>
  <c r="G120" i="44" s="1"/>
  <c r="Z120" i="44"/>
  <c r="AA116" i="44"/>
  <c r="F116" i="44"/>
  <c r="G116" i="44" s="1"/>
  <c r="J86" i="44"/>
  <c r="Z86" i="44"/>
  <c r="X30" i="83"/>
  <c r="Y30" i="83" s="1"/>
  <c r="O39" i="46"/>
  <c r="O40" i="45"/>
  <c r="F40" i="45"/>
  <c r="D32" i="77"/>
  <c r="AA105" i="44"/>
  <c r="J9" i="48"/>
  <c r="L9" i="48" s="1"/>
  <c r="M9" i="48" s="1"/>
  <c r="I30" i="48"/>
  <c r="J30" i="48" s="1"/>
  <c r="C633" i="79"/>
  <c r="D633" i="79"/>
  <c r="Q37" i="77"/>
  <c r="R37" i="77" s="1"/>
  <c r="S37" i="77" s="1"/>
  <c r="I72" i="78"/>
  <c r="W23" i="48"/>
  <c r="O744" i="79"/>
  <c r="V118" i="44"/>
  <c r="Z118" i="44"/>
  <c r="W108" i="44"/>
  <c r="O503" i="79"/>
  <c r="V24" i="44"/>
  <c r="Z24" i="44"/>
  <c r="X12" i="44"/>
  <c r="Y12" i="44" s="1"/>
  <c r="AB12" i="44"/>
  <c r="P25" i="48"/>
  <c r="R25" i="48" s="1"/>
  <c r="S25" i="48" s="1"/>
  <c r="AL25" i="48"/>
  <c r="K30" i="45"/>
  <c r="O579" i="79"/>
  <c r="Q89" i="44"/>
  <c r="R89" i="44" s="1"/>
  <c r="S89" i="44" s="1"/>
  <c r="O442" i="79"/>
  <c r="J18" i="83"/>
  <c r="AL18" i="83"/>
  <c r="O81" i="80"/>
  <c r="O83" i="80" s="1"/>
  <c r="AO7" i="80"/>
  <c r="R7" i="44"/>
  <c r="X7" i="44"/>
  <c r="M6" i="45"/>
  <c r="AM26" i="80"/>
  <c r="Q34" i="77"/>
  <c r="I67" i="78"/>
  <c r="W103" i="44"/>
  <c r="O498" i="79"/>
  <c r="K38" i="44"/>
  <c r="AB38" i="44" s="1"/>
  <c r="AC38" i="44" s="1"/>
  <c r="AD38" i="44" s="1"/>
  <c r="O368" i="79"/>
  <c r="AN48" i="80"/>
  <c r="L48" i="80"/>
  <c r="M48" i="80" s="1"/>
  <c r="K42" i="80"/>
  <c r="O99" i="79"/>
  <c r="L33" i="80"/>
  <c r="M33" i="80" s="1"/>
  <c r="AN33" i="80"/>
  <c r="M24" i="80"/>
  <c r="AM14" i="48"/>
  <c r="AO14" i="48" s="1"/>
  <c r="AP14" i="48" s="1"/>
  <c r="AM23" i="77"/>
  <c r="AG83" i="80"/>
  <c r="C39" i="79"/>
  <c r="D39" i="79"/>
  <c r="D63" i="79"/>
  <c r="G63" i="79" s="1"/>
  <c r="C63" i="79"/>
  <c r="C660" i="79"/>
  <c r="D660" i="79"/>
  <c r="G660" i="79" s="1"/>
  <c r="D707" i="79"/>
  <c r="G707" i="79" s="1"/>
  <c r="C707" i="79"/>
  <c r="C237" i="79"/>
  <c r="D237" i="79"/>
  <c r="C276" i="79"/>
  <c r="D276" i="79"/>
  <c r="G276" i="79" s="1"/>
  <c r="D450" i="79"/>
  <c r="C450" i="79"/>
  <c r="F14" i="48"/>
  <c r="G14" i="48" s="1"/>
  <c r="F17" i="45"/>
  <c r="G17" i="45" s="1"/>
  <c r="C643" i="79"/>
  <c r="D643" i="79"/>
  <c r="C648" i="79"/>
  <c r="D648" i="79"/>
  <c r="AB33" i="77"/>
  <c r="AM33" i="77" s="1"/>
  <c r="AL33" i="77"/>
  <c r="R18" i="77"/>
  <c r="S18" i="77" s="1"/>
  <c r="F9" i="89"/>
  <c r="J9" i="89" s="1"/>
  <c r="AN18" i="77"/>
  <c r="W119" i="44"/>
  <c r="O524" i="79"/>
  <c r="W105" i="44"/>
  <c r="AB105" i="44" s="1"/>
  <c r="O500" i="79"/>
  <c r="W42" i="80"/>
  <c r="X42" i="80" s="1"/>
  <c r="Y42" i="80" s="1"/>
  <c r="O238" i="79"/>
  <c r="V9" i="80"/>
  <c r="V31" i="80" s="1"/>
  <c r="U31" i="80"/>
  <c r="U83" i="80" s="1"/>
  <c r="Q28" i="48"/>
  <c r="R28" i="48" s="1"/>
  <c r="S28" i="48" s="1"/>
  <c r="O720" i="79"/>
  <c r="K17" i="48"/>
  <c r="O684" i="79"/>
  <c r="L67" i="80"/>
  <c r="M67" i="80" s="1"/>
  <c r="AN67" i="80"/>
  <c r="AO67" i="80" s="1"/>
  <c r="AP67" i="80" s="1"/>
  <c r="J63" i="80"/>
  <c r="AM63" i="80" s="1"/>
  <c r="AL63" i="80"/>
  <c r="K50" i="80"/>
  <c r="L50" i="80" s="1"/>
  <c r="M50" i="80" s="1"/>
  <c r="O107" i="79"/>
  <c r="E57" i="80"/>
  <c r="O47" i="79"/>
  <c r="AB78" i="44"/>
  <c r="L78" i="44"/>
  <c r="M78" i="44" s="1"/>
  <c r="X84" i="44"/>
  <c r="Y84" i="44" s="1"/>
  <c r="AB84" i="44"/>
  <c r="AC84" i="44" s="1"/>
  <c r="AD84" i="44" s="1"/>
  <c r="H106" i="78"/>
  <c r="AM36" i="48"/>
  <c r="AM26" i="83"/>
  <c r="I69" i="78"/>
  <c r="O183" i="79"/>
  <c r="C7" i="44"/>
  <c r="O7" i="47"/>
  <c r="C7" i="46"/>
  <c r="AA7" i="47"/>
  <c r="I7" i="47"/>
  <c r="C7" i="80"/>
  <c r="C7" i="48"/>
  <c r="C7" i="45"/>
  <c r="I7" i="45" s="1"/>
  <c r="AG7" i="47"/>
  <c r="C733" i="79"/>
  <c r="D733" i="79"/>
  <c r="G733" i="79" s="1"/>
  <c r="W37" i="77"/>
  <c r="I88" i="78"/>
  <c r="E37" i="77"/>
  <c r="I25" i="78"/>
  <c r="W112" i="44"/>
  <c r="X112" i="44" s="1"/>
  <c r="Y112" i="44" s="1"/>
  <c r="O511" i="79"/>
  <c r="X110" i="44"/>
  <c r="AA110" i="44"/>
  <c r="W100" i="44"/>
  <c r="AB100" i="44" s="1"/>
  <c r="O495" i="79"/>
  <c r="W31" i="44"/>
  <c r="AB31" i="44" s="1"/>
  <c r="O463" i="79"/>
  <c r="V16" i="44"/>
  <c r="X16" i="44" s="1"/>
  <c r="Y16" i="44" s="1"/>
  <c r="Z16" i="44"/>
  <c r="O257" i="79"/>
  <c r="W62" i="80"/>
  <c r="AN62" i="80" s="1"/>
  <c r="O215" i="79"/>
  <c r="W16" i="80"/>
  <c r="AN16" i="80" s="1"/>
  <c r="Q13" i="48"/>
  <c r="O707" i="79"/>
  <c r="K38" i="46"/>
  <c r="O647" i="79"/>
  <c r="K11" i="45"/>
  <c r="O563" i="79"/>
  <c r="K20" i="48"/>
  <c r="AN20" i="48" s="1"/>
  <c r="O687" i="79"/>
  <c r="E16" i="46"/>
  <c r="P16" i="46" s="1"/>
  <c r="O600" i="79"/>
  <c r="E42" i="45"/>
  <c r="O560" i="79"/>
  <c r="AN10" i="83"/>
  <c r="K27" i="48"/>
  <c r="O695" i="79"/>
  <c r="AJ59" i="80"/>
  <c r="AK59" i="80"/>
  <c r="AH37" i="48"/>
  <c r="AG39" i="48"/>
  <c r="AH39" i="48" s="1"/>
  <c r="AJ33" i="48"/>
  <c r="AK33" i="48" s="1"/>
  <c r="D20" i="83"/>
  <c r="AL20" i="83"/>
  <c r="X13" i="44"/>
  <c r="Y13" i="44" s="1"/>
  <c r="R17" i="45"/>
  <c r="Y116" i="44"/>
  <c r="U39" i="48"/>
  <c r="AL14" i="83"/>
  <c r="AN75" i="80"/>
  <c r="AO75" i="80" s="1"/>
  <c r="AP75" i="80" s="1"/>
  <c r="AM21" i="48"/>
  <c r="AO21" i="48" s="1"/>
  <c r="AB48" i="44"/>
  <c r="Z109" i="44"/>
  <c r="K22" i="77"/>
  <c r="I43" i="78"/>
  <c r="E23" i="77"/>
  <c r="F23" i="77" s="1"/>
  <c r="G23" i="77" s="1"/>
  <c r="I28" i="78"/>
  <c r="W18" i="48"/>
  <c r="X18" i="48" s="1"/>
  <c r="Y18" i="48" s="1"/>
  <c r="O739" i="79"/>
  <c r="X121" i="44"/>
  <c r="Y121" i="44"/>
  <c r="Z107" i="44"/>
  <c r="V107" i="44"/>
  <c r="Z45" i="44"/>
  <c r="V45" i="44"/>
  <c r="X45" i="44" s="1"/>
  <c r="W41" i="44"/>
  <c r="AB41" i="44" s="1"/>
  <c r="AC41" i="44" s="1"/>
  <c r="AD41" i="44" s="1"/>
  <c r="O474" i="79"/>
  <c r="Z37" i="44"/>
  <c r="V37" i="44"/>
  <c r="X37" i="44" s="1"/>
  <c r="Y37" i="44" s="1"/>
  <c r="W33" i="44"/>
  <c r="AB33" i="44" s="1"/>
  <c r="O466" i="79"/>
  <c r="W23" i="44"/>
  <c r="O458" i="79"/>
  <c r="K39" i="45"/>
  <c r="O589" i="79"/>
  <c r="Y26" i="44"/>
  <c r="L35" i="77"/>
  <c r="M35" i="77" s="1"/>
  <c r="O7" i="46"/>
  <c r="AM18" i="80"/>
  <c r="G22" i="45"/>
  <c r="N34" i="46"/>
  <c r="AL38" i="80"/>
  <c r="AD7" i="80"/>
  <c r="Z39" i="44"/>
  <c r="G627" i="79"/>
  <c r="D202" i="79"/>
  <c r="G202" i="79" s="1"/>
  <c r="AH6" i="48"/>
  <c r="V6" i="48"/>
  <c r="S6" i="44"/>
  <c r="Y6" i="44"/>
  <c r="D200" i="79"/>
  <c r="G200" i="79" s="1"/>
  <c r="G33" i="79"/>
  <c r="F20" i="77"/>
  <c r="G20" i="77" s="1"/>
  <c r="AM16" i="48"/>
  <c r="AA60" i="44"/>
  <c r="AC60" i="44" s="1"/>
  <c r="AD60" i="44" s="1"/>
  <c r="V35" i="44"/>
  <c r="AL16" i="83"/>
  <c r="AK13" i="48"/>
  <c r="AL26" i="80"/>
  <c r="AM35" i="80"/>
  <c r="AO35" i="80" s="1"/>
  <c r="AP35" i="80" s="1"/>
  <c r="AL49" i="80"/>
  <c r="Z10" i="44"/>
  <c r="AL11" i="48"/>
  <c r="F23" i="48"/>
  <c r="G23" i="48" s="1"/>
  <c r="AM23" i="48"/>
  <c r="J41" i="80"/>
  <c r="AM41" i="80" s="1"/>
  <c r="AL41" i="80"/>
  <c r="AA15" i="44"/>
  <c r="AL12" i="48"/>
  <c r="L46" i="80"/>
  <c r="M46" i="80" s="1"/>
  <c r="P22" i="80"/>
  <c r="AL22" i="80"/>
  <c r="P76" i="80"/>
  <c r="AL76" i="80"/>
  <c r="W37" i="80"/>
  <c r="AN37" i="80" s="1"/>
  <c r="F73" i="80"/>
  <c r="G73" i="80" s="1"/>
  <c r="AM73" i="80"/>
  <c r="AO73" i="80" s="1"/>
  <c r="AP73" i="80" s="1"/>
  <c r="AL21" i="48"/>
  <c r="P28" i="80"/>
  <c r="AM28" i="80" s="1"/>
  <c r="AL28" i="80"/>
  <c r="W13" i="80"/>
  <c r="AN13" i="80" s="1"/>
  <c r="W35" i="44"/>
  <c r="AB35" i="44" s="1"/>
  <c r="AL37" i="77"/>
  <c r="AL35" i="77"/>
  <c r="Z30" i="44"/>
  <c r="I61" i="78"/>
  <c r="AA36" i="83"/>
  <c r="F64" i="44"/>
  <c r="G64" i="44" s="1"/>
  <c r="R91" i="44"/>
  <c r="S91" i="44" s="1"/>
  <c r="X60" i="44"/>
  <c r="Y60" i="44" s="1"/>
  <c r="AA64" i="44"/>
  <c r="O664" i="79"/>
  <c r="O241" i="79"/>
  <c r="O259" i="79"/>
  <c r="O694" i="79"/>
  <c r="G239" i="79"/>
  <c r="D754" i="79"/>
  <c r="G754" i="79" s="1"/>
  <c r="AL7" i="47"/>
  <c r="H109" i="78"/>
  <c r="G106" i="78"/>
  <c r="F110" i="78"/>
  <c r="F113" i="78" s="1"/>
  <c r="K125" i="44"/>
  <c r="L30" i="44"/>
  <c r="M30" i="44" s="1"/>
  <c r="AJ6" i="47"/>
  <c r="R6" i="47"/>
  <c r="AD6" i="47"/>
  <c r="D33" i="80"/>
  <c r="D81" i="80" s="1"/>
  <c r="AL33" i="80"/>
  <c r="C81" i="80"/>
  <c r="AG81" i="80"/>
  <c r="C51" i="79"/>
  <c r="D51" i="79"/>
  <c r="G51" i="79" s="1"/>
  <c r="C296" i="79"/>
  <c r="D296" i="79"/>
  <c r="G296" i="79" s="1"/>
  <c r="C555" i="79"/>
  <c r="D555" i="79"/>
  <c r="D560" i="79"/>
  <c r="C560" i="79"/>
  <c r="C608" i="79"/>
  <c r="D608" i="79"/>
  <c r="D95" i="79"/>
  <c r="C95" i="79"/>
  <c r="D375" i="79"/>
  <c r="C375" i="79"/>
  <c r="C699" i="79"/>
  <c r="D699" i="79"/>
  <c r="G699" i="79" s="1"/>
  <c r="C137" i="79"/>
  <c r="D137" i="79"/>
  <c r="G137" i="79" s="1"/>
  <c r="D482" i="79"/>
  <c r="C482" i="79"/>
  <c r="C490" i="79"/>
  <c r="D490" i="79"/>
  <c r="D652" i="79"/>
  <c r="C652" i="79"/>
  <c r="C379" i="79"/>
  <c r="D379" i="79"/>
  <c r="C679" i="79"/>
  <c r="D679" i="79"/>
  <c r="G679" i="79" s="1"/>
  <c r="C687" i="79"/>
  <c r="D687" i="79"/>
  <c r="G687" i="79" s="1"/>
  <c r="C692" i="79"/>
  <c r="D692" i="79"/>
  <c r="F19" i="48"/>
  <c r="G19" i="48" s="1"/>
  <c r="AM19" i="48"/>
  <c r="G107" i="78"/>
  <c r="X9" i="48"/>
  <c r="Y9" i="48" s="1"/>
  <c r="E35" i="77"/>
  <c r="I22" i="78"/>
  <c r="X39" i="44"/>
  <c r="Y39" i="44"/>
  <c r="J15" i="44"/>
  <c r="L15" i="44" s="1"/>
  <c r="M15" i="44" s="1"/>
  <c r="I28" i="44"/>
  <c r="J28" i="44" s="1"/>
  <c r="Z15" i="44"/>
  <c r="E26" i="80"/>
  <c r="AN26" i="80" s="1"/>
  <c r="O21" i="79"/>
  <c r="E27" i="80"/>
  <c r="AN27" i="80" s="1"/>
  <c r="O22" i="79"/>
  <c r="C750" i="79"/>
  <c r="D750" i="79"/>
  <c r="G750" i="79" s="1"/>
  <c r="AM28" i="83"/>
  <c r="L37" i="80"/>
  <c r="M37" i="80" s="1"/>
  <c r="F17" i="77"/>
  <c r="G17" i="77" s="1"/>
  <c r="AA113" i="44"/>
  <c r="AM59" i="80"/>
  <c r="P18" i="80"/>
  <c r="R18" i="80" s="1"/>
  <c r="S18" i="80" s="1"/>
  <c r="AL18" i="80"/>
  <c r="D9" i="80"/>
  <c r="O484" i="79"/>
  <c r="O508" i="79"/>
  <c r="D424" i="79"/>
  <c r="D453" i="79"/>
  <c r="G453" i="79" s="1"/>
  <c r="C453" i="79"/>
  <c r="C461" i="79"/>
  <c r="D461" i="79"/>
  <c r="G461" i="79" s="1"/>
  <c r="W29" i="77"/>
  <c r="X29" i="77" s="1"/>
  <c r="Y29" i="77" s="1"/>
  <c r="I80" i="78"/>
  <c r="AL39" i="77"/>
  <c r="E31" i="77"/>
  <c r="I17" i="78"/>
  <c r="W122" i="44"/>
  <c r="X122" i="44" s="1"/>
  <c r="Y122" i="44" s="1"/>
  <c r="O527" i="79"/>
  <c r="Y34" i="44"/>
  <c r="K19" i="45"/>
  <c r="O571" i="79"/>
  <c r="Q69" i="80"/>
  <c r="AN69" i="80" s="1"/>
  <c r="AO69" i="80" s="1"/>
  <c r="AP69" i="80" s="1"/>
  <c r="O194" i="79"/>
  <c r="V27" i="48"/>
  <c r="AL27" i="48"/>
  <c r="AB17" i="77"/>
  <c r="AD17" i="77" s="1"/>
  <c r="AE17" i="77" s="1"/>
  <c r="AL17" i="77"/>
  <c r="AB13" i="77"/>
  <c r="AM13" i="77" s="1"/>
  <c r="AA27" i="77"/>
  <c r="AL32" i="83"/>
  <c r="D32" i="83"/>
  <c r="AM16" i="83"/>
  <c r="AO16" i="83" s="1"/>
  <c r="AP16" i="83" s="1"/>
  <c r="G48" i="80"/>
  <c r="AM20" i="48"/>
  <c r="AO20" i="48" s="1"/>
  <c r="AP20" i="48" s="1"/>
  <c r="R33" i="83"/>
  <c r="S33" i="83" s="1"/>
  <c r="Z21" i="44"/>
  <c r="N15" i="45"/>
  <c r="N27" i="45" s="1"/>
  <c r="D23" i="46"/>
  <c r="N12" i="46"/>
  <c r="AL24" i="48"/>
  <c r="I27" i="78"/>
  <c r="Z56" i="44"/>
  <c r="AB67" i="44"/>
  <c r="AC67" i="44" s="1"/>
  <c r="AD67" i="44" s="1"/>
  <c r="D738" i="79"/>
  <c r="G738" i="79" s="1"/>
  <c r="D463" i="79"/>
  <c r="C417" i="79"/>
  <c r="AI14" i="87"/>
  <c r="I5" i="78"/>
  <c r="Q17" i="77"/>
  <c r="I59" i="78"/>
  <c r="AL25" i="77"/>
  <c r="J25" i="77"/>
  <c r="E34" i="77"/>
  <c r="AN34" i="77" s="1"/>
  <c r="I20" i="78"/>
  <c r="AL30" i="77"/>
  <c r="AM26" i="48"/>
  <c r="AO26" i="48" s="1"/>
  <c r="O11" i="45"/>
  <c r="Q21" i="46"/>
  <c r="R21" i="46" s="1"/>
  <c r="O36" i="83"/>
  <c r="AD57" i="80"/>
  <c r="AM27" i="48"/>
  <c r="R29" i="80"/>
  <c r="S29" i="80" s="1"/>
  <c r="AM29" i="80"/>
  <c r="AO29" i="80" s="1"/>
  <c r="AP29" i="80" s="1"/>
  <c r="R55" i="80"/>
  <c r="S55" i="80" s="1"/>
  <c r="Q36" i="45"/>
  <c r="R36" i="45" s="1"/>
  <c r="AO17" i="80"/>
  <c r="AP17" i="80" s="1"/>
  <c r="I39" i="48"/>
  <c r="J39" i="48" s="1"/>
  <c r="I11" i="78"/>
  <c r="Z72" i="44"/>
  <c r="R21" i="48"/>
  <c r="S21" i="48" s="1"/>
  <c r="O692" i="79"/>
  <c r="O351" i="79"/>
  <c r="O516" i="79"/>
  <c r="AE41" i="77"/>
  <c r="AH22" i="77"/>
  <c r="AJ22" i="77" s="1"/>
  <c r="AK22" i="77" s="1"/>
  <c r="AL22" i="77"/>
  <c r="K37" i="77"/>
  <c r="L37" i="77" s="1"/>
  <c r="M37" i="77" s="1"/>
  <c r="I41" i="78"/>
  <c r="L31" i="77"/>
  <c r="M31" i="77" s="1"/>
  <c r="E20" i="89"/>
  <c r="F12" i="77"/>
  <c r="G12" i="77" s="1"/>
  <c r="V20" i="48"/>
  <c r="X20" i="48" s="1"/>
  <c r="Y20" i="48" s="1"/>
  <c r="AL20" i="48"/>
  <c r="W16" i="48"/>
  <c r="O737" i="79"/>
  <c r="W123" i="44"/>
  <c r="X123" i="44" s="1"/>
  <c r="Y123" i="44" s="1"/>
  <c r="O528" i="79"/>
  <c r="X113" i="44"/>
  <c r="Y113" i="44" s="1"/>
  <c r="Z105" i="44"/>
  <c r="W32" i="44"/>
  <c r="O464" i="79"/>
  <c r="W21" i="44"/>
  <c r="AB21" i="44" s="1"/>
  <c r="AC21" i="44" s="1"/>
  <c r="AD21" i="44" s="1"/>
  <c r="O456" i="79"/>
  <c r="X70" i="80"/>
  <c r="Y70" i="80" s="1"/>
  <c r="G398" i="79"/>
  <c r="AN20" i="80"/>
  <c r="K10" i="89"/>
  <c r="R28" i="83"/>
  <c r="S28" i="83" s="1"/>
  <c r="G658" i="79"/>
  <c r="G139" i="79"/>
  <c r="AI31" i="80"/>
  <c r="AJ31" i="80" s="1"/>
  <c r="AK31" i="80" s="1"/>
  <c r="AJ9" i="80"/>
  <c r="AK9" i="80" s="1"/>
  <c r="D10" i="79"/>
  <c r="G10" i="79" s="1"/>
  <c r="C10" i="79"/>
  <c r="D24" i="79"/>
  <c r="C24" i="79"/>
  <c r="D661" i="79"/>
  <c r="G661" i="79" s="1"/>
  <c r="C661" i="79"/>
  <c r="C666" i="79"/>
  <c r="D666" i="79"/>
  <c r="G666" i="79" s="1"/>
  <c r="D100" i="79"/>
  <c r="C100" i="79"/>
  <c r="D108" i="79"/>
  <c r="G108" i="79" s="1"/>
  <c r="C108" i="79"/>
  <c r="C117" i="79"/>
  <c r="D117" i="79"/>
  <c r="G117" i="79" s="1"/>
  <c r="D122" i="79"/>
  <c r="C122" i="79"/>
  <c r="C130" i="79"/>
  <c r="D130" i="79"/>
  <c r="G130" i="79" s="1"/>
  <c r="C342" i="79"/>
  <c r="D342" i="79"/>
  <c r="G342" i="79" s="1"/>
  <c r="C178" i="79"/>
  <c r="D178" i="79"/>
  <c r="G178" i="79" s="1"/>
  <c r="C569" i="79"/>
  <c r="D569" i="79"/>
  <c r="G569" i="79" s="1"/>
  <c r="C574" i="79"/>
  <c r="D574" i="79"/>
  <c r="G574" i="79" s="1"/>
  <c r="C582" i="79"/>
  <c r="D582" i="79"/>
  <c r="D638" i="79"/>
  <c r="C638" i="79"/>
  <c r="C720" i="79"/>
  <c r="D720" i="79"/>
  <c r="G720" i="79" s="1"/>
  <c r="C214" i="79"/>
  <c r="D214" i="79"/>
  <c r="G214" i="79" s="1"/>
  <c r="C460" i="79"/>
  <c r="D460" i="79"/>
  <c r="C475" i="79"/>
  <c r="D475" i="79"/>
  <c r="C30" i="48"/>
  <c r="D30" i="48" s="1"/>
  <c r="AM38" i="80"/>
  <c r="G41" i="79"/>
  <c r="F11" i="80"/>
  <c r="G11" i="80" s="1"/>
  <c r="F49" i="80"/>
  <c r="G49" i="80" s="1"/>
  <c r="AN15" i="80"/>
  <c r="AB19" i="44"/>
  <c r="AM67" i="80"/>
  <c r="P77" i="80"/>
  <c r="AL77" i="80"/>
  <c r="O266" i="79"/>
  <c r="G635" i="79"/>
  <c r="C92" i="79"/>
  <c r="C688" i="79"/>
  <c r="D438" i="79"/>
  <c r="AN70" i="80"/>
  <c r="Q15" i="48"/>
  <c r="O709" i="79"/>
  <c r="O608" i="79"/>
  <c r="E22" i="46"/>
  <c r="P22" i="46" s="1"/>
  <c r="O606" i="79"/>
  <c r="O605" i="79"/>
  <c r="E51" i="44"/>
  <c r="O322" i="79"/>
  <c r="E40" i="44"/>
  <c r="O314" i="79"/>
  <c r="AM11" i="83"/>
  <c r="F41" i="45"/>
  <c r="G41" i="45" s="1"/>
  <c r="AC75" i="44"/>
  <c r="AD75" i="44" s="1"/>
  <c r="F27" i="80"/>
  <c r="AM33" i="48"/>
  <c r="AO33" i="48" s="1"/>
  <c r="AP33" i="48" s="1"/>
  <c r="W63" i="80"/>
  <c r="AN63" i="80" s="1"/>
  <c r="AO63" i="80" s="1"/>
  <c r="AP63" i="80" s="1"/>
  <c r="F37" i="77"/>
  <c r="G37" i="77" s="1"/>
  <c r="F34" i="77"/>
  <c r="G34" i="77" s="1"/>
  <c r="G132" i="79"/>
  <c r="G650" i="79"/>
  <c r="G545" i="79"/>
  <c r="G612" i="79"/>
  <c r="G79" i="79"/>
  <c r="G84" i="79"/>
  <c r="D124" i="79"/>
  <c r="C124" i="79"/>
  <c r="C352" i="79"/>
  <c r="D352" i="79"/>
  <c r="G352" i="79" s="1"/>
  <c r="D495" i="79"/>
  <c r="C495" i="79"/>
  <c r="D734" i="79"/>
  <c r="G734" i="79" s="1"/>
  <c r="C734" i="79"/>
  <c r="C739" i="79"/>
  <c r="D739" i="79"/>
  <c r="G739" i="79" s="1"/>
  <c r="R10" i="87"/>
  <c r="S10" i="87" s="1"/>
  <c r="Q14" i="87"/>
  <c r="C590" i="79"/>
  <c r="D590" i="79"/>
  <c r="D634" i="79"/>
  <c r="C634" i="79"/>
  <c r="X33" i="44"/>
  <c r="Y33" i="44" s="1"/>
  <c r="X68" i="44"/>
  <c r="Y68" i="44" s="1"/>
  <c r="G444" i="79"/>
  <c r="AI81" i="80"/>
  <c r="D20" i="79"/>
  <c r="G20" i="79" s="1"/>
  <c r="C20" i="79"/>
  <c r="D30" i="79"/>
  <c r="C30" i="79"/>
  <c r="C75" i="79"/>
  <c r="D75" i="79"/>
  <c r="G75" i="79" s="1"/>
  <c r="D356" i="79"/>
  <c r="C356" i="79"/>
  <c r="D148" i="79"/>
  <c r="G148" i="79" s="1"/>
  <c r="C148" i="79"/>
  <c r="D413" i="79"/>
  <c r="C413" i="79"/>
  <c r="D423" i="79"/>
  <c r="C423" i="79"/>
  <c r="G567" i="79"/>
  <c r="D592" i="79"/>
  <c r="C592" i="79"/>
  <c r="C705" i="79"/>
  <c r="D705" i="79"/>
  <c r="G705" i="79" s="1"/>
  <c r="D710" i="79"/>
  <c r="G710" i="79" s="1"/>
  <c r="C710" i="79"/>
  <c r="D718" i="79"/>
  <c r="C718" i="79"/>
  <c r="C264" i="79"/>
  <c r="D264" i="79"/>
  <c r="AN11" i="83"/>
  <c r="AO11" i="83" s="1"/>
  <c r="AP11" i="83" s="1"/>
  <c r="G3" i="79"/>
  <c r="O23" i="47" s="1"/>
  <c r="P23" i="47" s="1"/>
  <c r="G566" i="79"/>
  <c r="G640" i="79"/>
  <c r="AJ37" i="77"/>
  <c r="L122" i="44"/>
  <c r="AC30" i="48"/>
  <c r="E7" i="44"/>
  <c r="AB7" i="44" s="1"/>
  <c r="E7" i="45"/>
  <c r="D439" i="79"/>
  <c r="C439" i="79"/>
  <c r="D274" i="79"/>
  <c r="G274" i="79" s="1"/>
  <c r="C274" i="79"/>
  <c r="G450" i="79"/>
  <c r="D480" i="79"/>
  <c r="C480" i="79"/>
  <c r="C736" i="79"/>
  <c r="D736" i="79"/>
  <c r="G736" i="79" s="1"/>
  <c r="C752" i="79"/>
  <c r="D752" i="79"/>
  <c r="AB53" i="44"/>
  <c r="L41" i="44"/>
  <c r="M41" i="44" s="1"/>
  <c r="F27" i="46"/>
  <c r="G27" i="46" s="1"/>
  <c r="F13" i="83"/>
  <c r="G13" i="83" s="1"/>
  <c r="X76" i="44"/>
  <c r="Y76" i="44" s="1"/>
  <c r="O644" i="79"/>
  <c r="G285" i="79"/>
  <c r="G735" i="79"/>
  <c r="G465" i="79"/>
  <c r="G208" i="79"/>
  <c r="G44" i="79"/>
  <c r="G241" i="79"/>
  <c r="G677" i="79"/>
  <c r="G714" i="79"/>
  <c r="G8" i="89"/>
  <c r="F122" i="44"/>
  <c r="I25" i="46"/>
  <c r="J25" i="46" s="1"/>
  <c r="D432" i="79"/>
  <c r="C432" i="79"/>
  <c r="G213" i="79"/>
  <c r="C231" i="79"/>
  <c r="D231" i="79"/>
  <c r="X39" i="77"/>
  <c r="Y39" i="77" s="1"/>
  <c r="R20" i="77"/>
  <c r="D721" i="79"/>
  <c r="C721" i="79"/>
  <c r="R85" i="44"/>
  <c r="S85" i="44" s="1"/>
  <c r="L26" i="44"/>
  <c r="M26" i="44" s="1"/>
  <c r="R9" i="87"/>
  <c r="C722" i="79"/>
  <c r="D722" i="79"/>
  <c r="AH31" i="80"/>
  <c r="AH83" i="80" s="1"/>
  <c r="G270" i="79"/>
  <c r="G169" i="79"/>
  <c r="AJ35" i="77"/>
  <c r="AK35" i="77" s="1"/>
  <c r="G539" i="79"/>
  <c r="G561" i="79"/>
  <c r="C704" i="79"/>
  <c r="D704" i="79"/>
  <c r="G704" i="79" s="1"/>
  <c r="G251" i="79"/>
  <c r="L24" i="80"/>
  <c r="K95" i="85"/>
  <c r="K87" i="85"/>
  <c r="K65" i="85"/>
  <c r="K214" i="85" s="1"/>
  <c r="K29" i="85"/>
  <c r="K5" i="85"/>
  <c r="K213" i="85" s="1"/>
  <c r="L12" i="80"/>
  <c r="M12" i="80" s="1"/>
  <c r="AL11" i="83"/>
  <c r="L57" i="80"/>
  <c r="M57" i="80" s="1"/>
  <c r="G706" i="79"/>
  <c r="G681" i="79"/>
  <c r="AN19" i="77"/>
  <c r="AB30" i="44"/>
  <c r="AC31" i="80"/>
  <c r="G110" i="79"/>
  <c r="G112" i="79"/>
  <c r="G133" i="79"/>
  <c r="G353" i="79"/>
  <c r="G680" i="79"/>
  <c r="R12" i="87"/>
  <c r="S12" i="87" s="1"/>
  <c r="X38" i="77"/>
  <c r="Y38" i="77" s="1"/>
  <c r="R38" i="77"/>
  <c r="S38" i="77" s="1"/>
  <c r="X18" i="44"/>
  <c r="Y18" i="44" s="1"/>
  <c r="L33" i="46"/>
  <c r="L17" i="45"/>
  <c r="M17" i="45" s="1"/>
  <c r="R36" i="44"/>
  <c r="S36" i="44" s="1"/>
  <c r="L10" i="48"/>
  <c r="M10" i="48" s="1"/>
  <c r="L24" i="44"/>
  <c r="M24" i="44" s="1"/>
  <c r="L73" i="80"/>
  <c r="M73" i="80" s="1"/>
  <c r="AB57" i="44"/>
  <c r="K197" i="85"/>
  <c r="AC29" i="83" s="1"/>
  <c r="AD29" i="83" s="1"/>
  <c r="AE29" i="83" s="1"/>
  <c r="K194" i="85"/>
  <c r="K189" i="85"/>
  <c r="F84" i="44"/>
  <c r="G84" i="44" s="1"/>
  <c r="L79" i="44"/>
  <c r="M79" i="44" s="1"/>
  <c r="G4" i="79"/>
  <c r="G42" i="79"/>
  <c r="G540" i="79"/>
  <c r="G676" i="79"/>
  <c r="G204" i="79"/>
  <c r="G395" i="79"/>
  <c r="G740" i="79"/>
  <c r="R11" i="77"/>
  <c r="L23" i="77"/>
  <c r="X19" i="48"/>
  <c r="Y19" i="48" s="1"/>
  <c r="AB110" i="44"/>
  <c r="AB104" i="44"/>
  <c r="X34" i="44"/>
  <c r="R34" i="44"/>
  <c r="S34" i="44" s="1"/>
  <c r="C749" i="79"/>
  <c r="L27" i="80"/>
  <c r="AD32" i="77"/>
  <c r="AE32" i="77" s="1"/>
  <c r="G298" i="79"/>
  <c r="G167" i="79"/>
  <c r="G584" i="79"/>
  <c r="G210" i="79"/>
  <c r="G222" i="79"/>
  <c r="X22" i="77"/>
  <c r="Y22" i="77" s="1"/>
  <c r="X31" i="77"/>
  <c r="Y31" i="77" s="1"/>
  <c r="L20" i="77"/>
  <c r="M20" i="77" s="1"/>
  <c r="X14" i="48"/>
  <c r="Y14" i="48" s="1"/>
  <c r="R20" i="48"/>
  <c r="S20" i="48" s="1"/>
  <c r="R76" i="44"/>
  <c r="S76" i="44" s="1"/>
  <c r="R44" i="44"/>
  <c r="S44" i="44" s="1"/>
  <c r="R37" i="44"/>
  <c r="S37" i="44" s="1"/>
  <c r="R11" i="44"/>
  <c r="S11" i="44" s="1"/>
  <c r="AB49" i="44"/>
  <c r="AA71" i="44"/>
  <c r="AC71" i="44" s="1"/>
  <c r="AD71" i="44" s="1"/>
  <c r="AM62" i="80"/>
  <c r="AO62" i="80" s="1"/>
  <c r="AP62" i="80" s="1"/>
  <c r="R62" i="80"/>
  <c r="S62" i="80" s="1"/>
  <c r="AD56" i="80"/>
  <c r="AE56" i="80" s="1"/>
  <c r="X76" i="80"/>
  <c r="Y76" i="80"/>
  <c r="X72" i="44"/>
  <c r="Y72" i="44" s="1"/>
  <c r="AA72" i="44"/>
  <c r="AC72" i="44" s="1"/>
  <c r="AD72" i="44" s="1"/>
  <c r="AK7" i="80"/>
  <c r="AP7" i="80"/>
  <c r="Y7" i="80"/>
  <c r="M7" i="80"/>
  <c r="L40" i="77"/>
  <c r="M40" i="77" s="1"/>
  <c r="D30" i="44"/>
  <c r="AA30" i="44" s="1"/>
  <c r="C125" i="44"/>
  <c r="D125" i="44" s="1"/>
  <c r="F214" i="85"/>
  <c r="I213" i="85"/>
  <c r="J213" i="85"/>
  <c r="J219" i="85" s="1"/>
  <c r="J222" i="85" s="1"/>
  <c r="J216" i="85"/>
  <c r="H217" i="85"/>
  <c r="AN39" i="77"/>
  <c r="F21" i="89"/>
  <c r="J21" i="89" s="1"/>
  <c r="V111" i="44"/>
  <c r="AA111" i="44" s="1"/>
  <c r="AC111" i="44" s="1"/>
  <c r="AD111" i="44" s="1"/>
  <c r="Z111" i="44"/>
  <c r="D10" i="83"/>
  <c r="C36" i="83"/>
  <c r="AL36" i="83" s="1"/>
  <c r="L111" i="44"/>
  <c r="M111" i="44" s="1"/>
  <c r="AC63" i="44"/>
  <c r="AD63" i="44" s="1"/>
  <c r="AC56" i="44"/>
  <c r="AD56" i="44" s="1"/>
  <c r="AC27" i="77"/>
  <c r="AM37" i="77"/>
  <c r="AK73" i="80"/>
  <c r="AK53" i="80"/>
  <c r="AA59" i="44"/>
  <c r="AA69" i="44"/>
  <c r="AC69" i="44" s="1"/>
  <c r="AD69" i="44" s="1"/>
  <c r="U7" i="44"/>
  <c r="I7" i="44"/>
  <c r="AA30" i="48"/>
  <c r="AB9" i="48"/>
  <c r="AD9" i="48" s="1"/>
  <c r="AE9" i="48" s="1"/>
  <c r="AJ7" i="47"/>
  <c r="F7" i="45"/>
  <c r="D7" i="44"/>
  <c r="AM7" i="47"/>
  <c r="D7" i="45"/>
  <c r="E6" i="46"/>
  <c r="W6" i="47"/>
  <c r="E6" i="48"/>
  <c r="E6" i="44"/>
  <c r="AB6" i="44" s="1"/>
  <c r="D6" i="79"/>
  <c r="G6" i="79" s="1"/>
  <c r="AA10" i="47" s="1"/>
  <c r="AB10" i="47" s="1"/>
  <c r="C6" i="79"/>
  <c r="X10" i="87"/>
  <c r="Y10" i="87" s="1"/>
  <c r="W14" i="87"/>
  <c r="AH10" i="87"/>
  <c r="AG14" i="87"/>
  <c r="D33" i="44"/>
  <c r="F33" i="44" s="1"/>
  <c r="G33" i="44" s="1"/>
  <c r="Z33" i="44"/>
  <c r="R79" i="80"/>
  <c r="S79" i="80" s="1"/>
  <c r="AM79" i="80"/>
  <c r="AO79" i="80" s="1"/>
  <c r="M6" i="44"/>
  <c r="J6" i="48"/>
  <c r="P6" i="48"/>
  <c r="J7" i="80"/>
  <c r="AB7" i="80"/>
  <c r="AP6" i="80"/>
  <c r="Y6" i="80"/>
  <c r="P6" i="44"/>
  <c r="O6" i="46"/>
  <c r="AL78" i="80"/>
  <c r="O41" i="45"/>
  <c r="O22" i="46"/>
  <c r="O37" i="45"/>
  <c r="Q37" i="45" s="1"/>
  <c r="R37" i="45" s="1"/>
  <c r="AL62" i="80"/>
  <c r="AO22" i="83"/>
  <c r="AP22" i="83" s="1"/>
  <c r="Q10" i="45"/>
  <c r="R10" i="45" s="1"/>
  <c r="AN14" i="80"/>
  <c r="AO14" i="80" s="1"/>
  <c r="AP14" i="80" s="1"/>
  <c r="X68" i="80"/>
  <c r="Y68" i="80" s="1"/>
  <c r="AC81" i="80"/>
  <c r="K31" i="80"/>
  <c r="X28" i="80"/>
  <c r="Y28" i="80" s="1"/>
  <c r="X44" i="80"/>
  <c r="Y44" i="80" s="1"/>
  <c r="AN56" i="80"/>
  <c r="AC15" i="44"/>
  <c r="AD15" i="44" s="1"/>
  <c r="AN53" i="80"/>
  <c r="AO14" i="77"/>
  <c r="AP14" i="77" s="1"/>
  <c r="H219" i="85"/>
  <c r="H222" i="85" s="1"/>
  <c r="AC79" i="44"/>
  <c r="AD79" i="44" s="1"/>
  <c r="S7" i="80"/>
  <c r="AE7" i="80"/>
  <c r="AK11" i="87"/>
  <c r="AN36" i="77"/>
  <c r="AN13" i="77"/>
  <c r="X114" i="44"/>
  <c r="Y114" i="44" s="1"/>
  <c r="AC104" i="44"/>
  <c r="AD104" i="44" s="1"/>
  <c r="Y77" i="80"/>
  <c r="AK65" i="80"/>
  <c r="AK41" i="80"/>
  <c r="AE16" i="48"/>
  <c r="J17" i="89"/>
  <c r="E36" i="83"/>
  <c r="AC87" i="44"/>
  <c r="AD87" i="44" s="1"/>
  <c r="Q32" i="46"/>
  <c r="R32" i="46" s="1"/>
  <c r="AD33" i="80"/>
  <c r="AE33" i="80" s="1"/>
  <c r="AJ41" i="77"/>
  <c r="AK41" i="77" s="1"/>
  <c r="AJ29" i="77"/>
  <c r="AK29" i="77" s="1"/>
  <c r="AJ11" i="77"/>
  <c r="AK11" i="77" s="1"/>
  <c r="L123" i="44"/>
  <c r="M123" i="44" s="1"/>
  <c r="R123" i="44"/>
  <c r="S123" i="44" s="1"/>
  <c r="AB31" i="80"/>
  <c r="E109" i="78"/>
  <c r="I95" i="78"/>
  <c r="X25" i="77"/>
  <c r="Y25" i="77" s="1"/>
  <c r="AM22" i="77"/>
  <c r="I89" i="78"/>
  <c r="X37" i="77"/>
  <c r="Y37" i="77" s="1"/>
  <c r="G19" i="89"/>
  <c r="I84" i="78"/>
  <c r="I83" i="78"/>
  <c r="F108" i="78"/>
  <c r="E108" i="78"/>
  <c r="I68" i="78"/>
  <c r="AM31" i="77"/>
  <c r="S11" i="77"/>
  <c r="I51" i="78"/>
  <c r="F107" i="78"/>
  <c r="I49" i="78"/>
  <c r="L24" i="77"/>
  <c r="M24" i="77" s="1"/>
  <c r="I45" i="78"/>
  <c r="E112" i="78"/>
  <c r="AL13" i="77"/>
  <c r="C27" i="77"/>
  <c r="O754" i="79"/>
  <c r="O753" i="79"/>
  <c r="O751" i="79"/>
  <c r="O742" i="79"/>
  <c r="O741" i="79"/>
  <c r="K795" i="79"/>
  <c r="X115" i="44"/>
  <c r="Y115" i="44" s="1"/>
  <c r="R40" i="44"/>
  <c r="S40" i="44" s="1"/>
  <c r="R25" i="44"/>
  <c r="S25" i="44" s="1"/>
  <c r="R21" i="44"/>
  <c r="S21" i="44" s="1"/>
  <c r="K193" i="85"/>
  <c r="L13" i="77"/>
  <c r="M13" i="77" s="1"/>
  <c r="R120" i="44"/>
  <c r="S120" i="44" s="1"/>
  <c r="X94" i="44"/>
  <c r="Y94" i="44" s="1"/>
  <c r="J81" i="80"/>
  <c r="F15" i="44"/>
  <c r="G15" i="44" s="1"/>
  <c r="AA14" i="44"/>
  <c r="AL52" i="80"/>
  <c r="AM23" i="83"/>
  <c r="AO23" i="83" s="1"/>
  <c r="AP23" i="83" s="1"/>
  <c r="F23" i="83"/>
  <c r="G23" i="83" s="1"/>
  <c r="AL36" i="80"/>
  <c r="V10" i="80"/>
  <c r="AL10" i="80"/>
  <c r="V65" i="80"/>
  <c r="AM65" i="80" s="1"/>
  <c r="AL65" i="80"/>
  <c r="U28" i="44"/>
  <c r="F52" i="44"/>
  <c r="G52" i="44" s="1"/>
  <c r="AA52" i="44"/>
  <c r="F12" i="45"/>
  <c r="G12" i="45" s="1"/>
  <c r="O12" i="45"/>
  <c r="V12" i="80"/>
  <c r="AL12" i="80"/>
  <c r="P48" i="80"/>
  <c r="R48" i="80" s="1"/>
  <c r="S48" i="80" s="1"/>
  <c r="AL48" i="80"/>
  <c r="P56" i="80"/>
  <c r="AL56" i="80"/>
  <c r="P32" i="45"/>
  <c r="AN31" i="83"/>
  <c r="G10" i="77"/>
  <c r="F32" i="83"/>
  <c r="G32" i="83" s="1"/>
  <c r="H8" i="89"/>
  <c r="AN32" i="83"/>
  <c r="W36" i="83"/>
  <c r="G36" i="89" s="1"/>
  <c r="X47" i="44"/>
  <c r="Y47" i="44"/>
  <c r="AC73" i="44"/>
  <c r="AD73" i="44" s="1"/>
  <c r="Y106" i="44"/>
  <c r="C84" i="79"/>
  <c r="C530" i="79"/>
  <c r="C34" i="79"/>
  <c r="C359" i="79"/>
  <c r="F29" i="83"/>
  <c r="G29" i="83" s="1"/>
  <c r="AM29" i="83"/>
  <c r="L11" i="80"/>
  <c r="M11" i="80" s="1"/>
  <c r="AN11" i="80"/>
  <c r="V11" i="80"/>
  <c r="AL11" i="80"/>
  <c r="AL32" i="48"/>
  <c r="O39" i="48"/>
  <c r="F42" i="80"/>
  <c r="G42" i="80" s="1"/>
  <c r="AM42" i="80"/>
  <c r="AN20" i="83"/>
  <c r="R20" i="83"/>
  <c r="S20" i="83" s="1"/>
  <c r="D27" i="77"/>
  <c r="F9" i="77"/>
  <c r="G9" i="77" s="1"/>
  <c r="Y9" i="44"/>
  <c r="AC106" i="44"/>
  <c r="AD106" i="44" s="1"/>
  <c r="I17" i="89"/>
  <c r="AJ21" i="77"/>
  <c r="AN21" i="77"/>
  <c r="AO21" i="77" s="1"/>
  <c r="AP21" i="77" s="1"/>
  <c r="AH18" i="77"/>
  <c r="AL18" i="77"/>
  <c r="I13" i="89"/>
  <c r="AN17" i="77"/>
  <c r="AI27" i="77"/>
  <c r="AL6" i="47"/>
  <c r="AA6" i="47"/>
  <c r="C6" i="80"/>
  <c r="C6" i="44"/>
  <c r="AG6" i="47"/>
  <c r="I6" i="47"/>
  <c r="C6" i="46"/>
  <c r="C6" i="48"/>
  <c r="C6" i="45"/>
  <c r="I6" i="45" s="1"/>
  <c r="J9" i="80"/>
  <c r="I31" i="80"/>
  <c r="I83" i="80" s="1"/>
  <c r="C28" i="79"/>
  <c r="D28" i="79"/>
  <c r="D32" i="79"/>
  <c r="C32" i="79"/>
  <c r="C40" i="79"/>
  <c r="D40" i="79"/>
  <c r="G40" i="79" s="1"/>
  <c r="C56" i="79"/>
  <c r="D56" i="79"/>
  <c r="C60" i="79"/>
  <c r="D60" i="79"/>
  <c r="C64" i="79"/>
  <c r="D64" i="79"/>
  <c r="G64" i="79" s="1"/>
  <c r="C297" i="79"/>
  <c r="D297" i="79"/>
  <c r="G297" i="79" s="1"/>
  <c r="D301" i="79"/>
  <c r="C301" i="79"/>
  <c r="C305" i="79"/>
  <c r="D305" i="79"/>
  <c r="C309" i="79"/>
  <c r="D309" i="79"/>
  <c r="D313" i="79"/>
  <c r="C313" i="79"/>
  <c r="C317" i="79"/>
  <c r="D317" i="79"/>
  <c r="D321" i="79"/>
  <c r="C321" i="79"/>
  <c r="C325" i="79"/>
  <c r="D325" i="79"/>
  <c r="C329" i="79"/>
  <c r="D329" i="79"/>
  <c r="D333" i="79"/>
  <c r="G333" i="79" s="1"/>
  <c r="C333" i="79"/>
  <c r="C337" i="79"/>
  <c r="D337" i="79"/>
  <c r="D534" i="79"/>
  <c r="G534" i="79" s="1"/>
  <c r="C534" i="79"/>
  <c r="D538" i="79"/>
  <c r="G538" i="79" s="1"/>
  <c r="C538" i="79"/>
  <c r="D74" i="79"/>
  <c r="G74" i="79" s="1"/>
  <c r="C74" i="79"/>
  <c r="D80" i="79"/>
  <c r="G80" i="79" s="1"/>
  <c r="C80" i="79"/>
  <c r="D90" i="79"/>
  <c r="G90" i="79" s="1"/>
  <c r="C90" i="79"/>
  <c r="C94" i="79"/>
  <c r="D94" i="79"/>
  <c r="G94" i="79" s="1"/>
  <c r="D98" i="79"/>
  <c r="C98" i="79"/>
  <c r="D102" i="79"/>
  <c r="G102" i="79" s="1"/>
  <c r="C102" i="79"/>
  <c r="D116" i="79"/>
  <c r="C116" i="79"/>
  <c r="C121" i="79"/>
  <c r="D121" i="79"/>
  <c r="C125" i="79"/>
  <c r="D125" i="79"/>
  <c r="C129" i="79"/>
  <c r="D129" i="79"/>
  <c r="G129" i="79" s="1"/>
  <c r="D341" i="79"/>
  <c r="G341" i="79" s="1"/>
  <c r="C341" i="79"/>
  <c r="D345" i="79"/>
  <c r="G345" i="79" s="1"/>
  <c r="C345" i="79"/>
  <c r="C349" i="79"/>
  <c r="D349" i="79"/>
  <c r="G349" i="79" s="1"/>
  <c r="D357" i="79"/>
  <c r="C357" i="79"/>
  <c r="D366" i="79"/>
  <c r="C366" i="79"/>
  <c r="D380" i="79"/>
  <c r="C380" i="79"/>
  <c r="D384" i="79"/>
  <c r="C384" i="79"/>
  <c r="D684" i="79"/>
  <c r="G684" i="79" s="1"/>
  <c r="C684" i="79"/>
  <c r="D700" i="79"/>
  <c r="G700" i="79" s="1"/>
  <c r="C700" i="79"/>
  <c r="D138" i="79"/>
  <c r="G138" i="79" s="1"/>
  <c r="C138" i="79"/>
  <c r="D143" i="79"/>
  <c r="G143" i="79" s="1"/>
  <c r="C143" i="79"/>
  <c r="D158" i="79"/>
  <c r="C158" i="79"/>
  <c r="D186" i="79"/>
  <c r="G186" i="79" s="1"/>
  <c r="C186" i="79"/>
  <c r="C190" i="79"/>
  <c r="D190" i="79"/>
  <c r="C203" i="79"/>
  <c r="D203" i="79"/>
  <c r="G203" i="79" s="1"/>
  <c r="AN20" i="77"/>
  <c r="AO20" i="77" s="1"/>
  <c r="AP20" i="77" s="1"/>
  <c r="V43" i="77"/>
  <c r="F42" i="44"/>
  <c r="G42" i="44" s="1"/>
  <c r="AL64" i="80"/>
  <c r="AL17" i="80"/>
  <c r="F59" i="80"/>
  <c r="G59" i="80" s="1"/>
  <c r="P32" i="48"/>
  <c r="R32" i="48" s="1"/>
  <c r="AL74" i="80"/>
  <c r="F14" i="77"/>
  <c r="G14" i="77" s="1"/>
  <c r="L32" i="45"/>
  <c r="M32" i="45" s="1"/>
  <c r="O32" i="45"/>
  <c r="AL15" i="80"/>
  <c r="X58" i="80"/>
  <c r="Y58" i="80" s="1"/>
  <c r="AA58" i="44"/>
  <c r="AC58" i="44" s="1"/>
  <c r="AD58" i="44" s="1"/>
  <c r="G58" i="44"/>
  <c r="G14" i="45"/>
  <c r="O14" i="45"/>
  <c r="Q14" i="45" s="1"/>
  <c r="R14" i="45" s="1"/>
  <c r="P53" i="80"/>
  <c r="AM53" i="80" s="1"/>
  <c r="AL53" i="80"/>
  <c r="F23" i="45"/>
  <c r="G23" i="45" s="1"/>
  <c r="AB70" i="80"/>
  <c r="AA81" i="80"/>
  <c r="F20" i="45"/>
  <c r="G20" i="45" s="1"/>
  <c r="O20" i="45"/>
  <c r="Q20" i="45" s="1"/>
  <c r="R20" i="45" s="1"/>
  <c r="Q31" i="45"/>
  <c r="R31" i="45" s="1"/>
  <c r="F38" i="45"/>
  <c r="G38" i="45" s="1"/>
  <c r="O38" i="45"/>
  <c r="F13" i="46"/>
  <c r="G13" i="46" s="1"/>
  <c r="O28" i="46"/>
  <c r="G28" i="46"/>
  <c r="P61" i="80"/>
  <c r="AM61" i="80" s="1"/>
  <c r="AO61" i="80" s="1"/>
  <c r="AP61" i="80" s="1"/>
  <c r="AL61" i="80"/>
  <c r="AN10" i="77"/>
  <c r="Y33" i="80"/>
  <c r="F19" i="83"/>
  <c r="G19" i="83" s="1"/>
  <c r="AG27" i="77"/>
  <c r="AA37" i="44"/>
  <c r="AC37" i="44" s="1"/>
  <c r="AD37" i="44" s="1"/>
  <c r="X82" i="44"/>
  <c r="Y82" i="44" s="1"/>
  <c r="AA82" i="44"/>
  <c r="AC82" i="44" s="1"/>
  <c r="AD82" i="44" s="1"/>
  <c r="C160" i="79"/>
  <c r="D339" i="79"/>
  <c r="D327" i="79"/>
  <c r="D364" i="79"/>
  <c r="G364" i="79" s="1"/>
  <c r="D58" i="79"/>
  <c r="U6" i="47"/>
  <c r="R7" i="46"/>
  <c r="M7" i="46"/>
  <c r="O6" i="47"/>
  <c r="F11" i="83"/>
  <c r="G11" i="83" s="1"/>
  <c r="O11" i="92"/>
  <c r="F21" i="92"/>
  <c r="R36" i="80"/>
  <c r="S36" i="80" s="1"/>
  <c r="F21" i="77"/>
  <c r="G21" i="77" s="1"/>
  <c r="F25" i="48"/>
  <c r="G25" i="48" s="1"/>
  <c r="G20" i="44"/>
  <c r="AM40" i="80"/>
  <c r="F40" i="80"/>
  <c r="G40" i="80" s="1"/>
  <c r="I125" i="44"/>
  <c r="J35" i="44"/>
  <c r="P24" i="80"/>
  <c r="R24" i="80" s="1"/>
  <c r="S24" i="80" s="1"/>
  <c r="AL24" i="80"/>
  <c r="P51" i="80"/>
  <c r="AL51" i="80"/>
  <c r="AB20" i="44"/>
  <c r="AC20" i="44" s="1"/>
  <c r="AD20" i="44" s="1"/>
  <c r="Q28" i="44"/>
  <c r="R28" i="44" s="1"/>
  <c r="S28" i="44" s="1"/>
  <c r="AN37" i="48"/>
  <c r="R37" i="48"/>
  <c r="S37" i="48" s="1"/>
  <c r="AL25" i="80"/>
  <c r="AC12" i="44"/>
  <c r="AD12" i="44" s="1"/>
  <c r="AN44" i="80"/>
  <c r="V21" i="80"/>
  <c r="AM21" i="80" s="1"/>
  <c r="AL21" i="80"/>
  <c r="AM25" i="83"/>
  <c r="F25" i="83"/>
  <c r="G25" i="83" s="1"/>
  <c r="F219" i="85"/>
  <c r="I8" i="89"/>
  <c r="Q17" i="83"/>
  <c r="K215" i="85"/>
  <c r="AA78" i="44"/>
  <c r="AC78" i="44" s="1"/>
  <c r="AD78" i="44" s="1"/>
  <c r="X78" i="44"/>
  <c r="Y78" i="44" s="1"/>
  <c r="K6" i="44"/>
  <c r="D376" i="79"/>
  <c r="AN12" i="87"/>
  <c r="E14" i="87"/>
  <c r="D362" i="79"/>
  <c r="G362" i="79" s="1"/>
  <c r="C693" i="79"/>
  <c r="AI43" i="77"/>
  <c r="AJ40" i="77"/>
  <c r="AK40" i="77" s="1"/>
  <c r="F18" i="89"/>
  <c r="P9" i="45"/>
  <c r="Q9" i="45" s="1"/>
  <c r="R9" i="45" s="1"/>
  <c r="G34" i="79"/>
  <c r="D38" i="79"/>
  <c r="C38" i="79"/>
  <c r="G45" i="79"/>
  <c r="C62" i="79"/>
  <c r="D62" i="79"/>
  <c r="D299" i="79"/>
  <c r="G299" i="79" s="1"/>
  <c r="C299" i="79"/>
  <c r="D303" i="79"/>
  <c r="C303" i="79"/>
  <c r="C307" i="79"/>
  <c r="D307" i="79"/>
  <c r="D315" i="79"/>
  <c r="C315" i="79"/>
  <c r="C323" i="79"/>
  <c r="D323" i="79"/>
  <c r="D331" i="79"/>
  <c r="C331" i="79"/>
  <c r="G335" i="79"/>
  <c r="D532" i="79"/>
  <c r="G532" i="79" s="1"/>
  <c r="C532" i="79"/>
  <c r="C536" i="79"/>
  <c r="D536" i="79"/>
  <c r="G536" i="79" s="1"/>
  <c r="D82" i="79"/>
  <c r="G82" i="79" s="1"/>
  <c r="C82" i="79"/>
  <c r="D135" i="79"/>
  <c r="G135" i="79" s="1"/>
  <c r="C135" i="79"/>
  <c r="D347" i="79"/>
  <c r="G347" i="79" s="1"/>
  <c r="C347" i="79"/>
  <c r="D351" i="79"/>
  <c r="G351" i="79" s="1"/>
  <c r="C351" i="79"/>
  <c r="D355" i="79"/>
  <c r="G355" i="79" s="1"/>
  <c r="C355" i="79"/>
  <c r="C374" i="79"/>
  <c r="D374" i="79"/>
  <c r="D378" i="79"/>
  <c r="C378" i="79"/>
  <c r="C382" i="79"/>
  <c r="D382" i="79"/>
  <c r="C682" i="79"/>
  <c r="D682" i="79"/>
  <c r="G682" i="79" s="1"/>
  <c r="D686" i="79"/>
  <c r="G686" i="79" s="1"/>
  <c r="C686" i="79"/>
  <c r="D698" i="79"/>
  <c r="C698" i="79"/>
  <c r="C702" i="79"/>
  <c r="D702" i="79"/>
  <c r="D136" i="79"/>
  <c r="G136" i="79" s="1"/>
  <c r="C136" i="79"/>
  <c r="D141" i="79"/>
  <c r="G141" i="79" s="1"/>
  <c r="C141" i="79"/>
  <c r="C145" i="79"/>
  <c r="D145" i="79"/>
  <c r="G145" i="79" s="1"/>
  <c r="G160" i="79"/>
  <c r="C173" i="79"/>
  <c r="D173" i="79"/>
  <c r="C177" i="79"/>
  <c r="D177" i="79"/>
  <c r="G177" i="79" s="1"/>
  <c r="D184" i="79"/>
  <c r="C184" i="79"/>
  <c r="D201" i="79"/>
  <c r="G201" i="79" s="1"/>
  <c r="C201" i="79"/>
  <c r="AB35" i="77"/>
  <c r="AA43" i="77"/>
  <c r="AA45" i="77" s="1"/>
  <c r="AC66" i="44"/>
  <c r="AD66" i="44" s="1"/>
  <c r="AM74" i="80"/>
  <c r="G20" i="89"/>
  <c r="AC76" i="44"/>
  <c r="AD76" i="44" s="1"/>
  <c r="AN55" i="80"/>
  <c r="AN68" i="80"/>
  <c r="R54" i="80"/>
  <c r="S54" i="80" s="1"/>
  <c r="X52" i="80"/>
  <c r="Y52" i="80" s="1"/>
  <c r="R20" i="44"/>
  <c r="S20" i="44" s="1"/>
  <c r="X53" i="80"/>
  <c r="Y53" i="80" s="1"/>
  <c r="X75" i="80"/>
  <c r="Y75" i="80" s="1"/>
  <c r="AN35" i="77"/>
  <c r="G16" i="89"/>
  <c r="AN11" i="77"/>
  <c r="AO11" i="77" s="1"/>
  <c r="AP11" i="77" s="1"/>
  <c r="D109" i="78"/>
  <c r="AA46" i="77" s="1"/>
  <c r="AL12" i="77"/>
  <c r="H108" i="78"/>
  <c r="H113" i="78" s="1"/>
  <c r="AM9" i="80"/>
  <c r="AO9" i="80" s="1"/>
  <c r="AP9" i="80" s="1"/>
  <c r="D105" i="78"/>
  <c r="C41" i="48"/>
  <c r="I56" i="78"/>
  <c r="D108" i="78"/>
  <c r="I94" i="78"/>
  <c r="D112" i="78"/>
  <c r="G112" i="78"/>
  <c r="G18" i="89"/>
  <c r="K18" i="89" s="1"/>
  <c r="I85" i="78"/>
  <c r="I82" i="78"/>
  <c r="I27" i="77"/>
  <c r="E11" i="89"/>
  <c r="J795" i="79"/>
  <c r="O752" i="79"/>
  <c r="G113" i="79"/>
  <c r="I75" i="78"/>
  <c r="G109" i="79"/>
  <c r="D61" i="79"/>
  <c r="C61" i="79"/>
  <c r="D65" i="79"/>
  <c r="G65" i="79" s="1"/>
  <c r="C65" i="79"/>
  <c r="C69" i="79"/>
  <c r="D69" i="79"/>
  <c r="G69" i="79" s="1"/>
  <c r="D294" i="79"/>
  <c r="G294" i="79" s="1"/>
  <c r="C294" i="79"/>
  <c r="D302" i="79"/>
  <c r="G302" i="79" s="1"/>
  <c r="C302" i="79"/>
  <c r="D306" i="79"/>
  <c r="G306" i="79" s="1"/>
  <c r="C306" i="79"/>
  <c r="D310" i="79"/>
  <c r="C310" i="79"/>
  <c r="D314" i="79"/>
  <c r="C314" i="79"/>
  <c r="D318" i="79"/>
  <c r="C318" i="79"/>
  <c r="C326" i="79"/>
  <c r="D326" i="79"/>
  <c r="D334" i="79"/>
  <c r="C334" i="79"/>
  <c r="C338" i="79"/>
  <c r="D338" i="79"/>
  <c r="D531" i="79"/>
  <c r="G531" i="79" s="1"/>
  <c r="C531" i="79"/>
  <c r="C535" i="79"/>
  <c r="D535" i="79"/>
  <c r="G535" i="79" s="1"/>
  <c r="C557" i="79"/>
  <c r="D557" i="79"/>
  <c r="G557" i="79" s="1"/>
  <c r="C593" i="79"/>
  <c r="D593" i="79"/>
  <c r="G593" i="79" s="1"/>
  <c r="D597" i="79"/>
  <c r="G597" i="79" s="1"/>
  <c r="C597" i="79"/>
  <c r="D601" i="79"/>
  <c r="G601" i="79" s="1"/>
  <c r="C601" i="79"/>
  <c r="D605" i="79"/>
  <c r="C605" i="79"/>
  <c r="C609" i="79"/>
  <c r="D609" i="79"/>
  <c r="G609" i="79" s="1"/>
  <c r="D654" i="79"/>
  <c r="G654" i="79" s="1"/>
  <c r="C654" i="79"/>
  <c r="D81" i="79"/>
  <c r="G81" i="79" s="1"/>
  <c r="C81" i="79"/>
  <c r="D153" i="79"/>
  <c r="G153" i="79" s="1"/>
  <c r="C153" i="79"/>
  <c r="C163" i="79"/>
  <c r="D163" i="79"/>
  <c r="D390" i="79"/>
  <c r="G390" i="79" s="1"/>
  <c r="C390" i="79"/>
  <c r="D403" i="79"/>
  <c r="C403" i="79"/>
  <c r="C425" i="79"/>
  <c r="D425" i="79"/>
  <c r="D436" i="79"/>
  <c r="C436" i="79"/>
  <c r="C621" i="79"/>
  <c r="D621" i="79"/>
  <c r="G621" i="79" s="1"/>
  <c r="C625" i="79"/>
  <c r="D625" i="79"/>
  <c r="G625" i="79" s="1"/>
  <c r="D715" i="79"/>
  <c r="G715" i="79" s="1"/>
  <c r="C715" i="79"/>
  <c r="D726" i="79"/>
  <c r="G726" i="79" s="1"/>
  <c r="C726" i="79"/>
  <c r="D462" i="79"/>
  <c r="C462" i="79"/>
  <c r="D281" i="79"/>
  <c r="G281" i="79" s="1"/>
  <c r="C281" i="79"/>
  <c r="K41" i="77"/>
  <c r="I48" i="78"/>
  <c r="W12" i="48"/>
  <c r="O733" i="79"/>
  <c r="L795" i="79"/>
  <c r="M795" i="79"/>
  <c r="AD14" i="87"/>
  <c r="AE14" i="87" s="1"/>
  <c r="R35" i="44"/>
  <c r="S35" i="44" s="1"/>
  <c r="AP21" i="48"/>
  <c r="AC91" i="44"/>
  <c r="AD91" i="44" s="1"/>
  <c r="Q81" i="80"/>
  <c r="Q83" i="80" s="1"/>
  <c r="AN45" i="80"/>
  <c r="AO45" i="80" s="1"/>
  <c r="AP45" i="80" s="1"/>
  <c r="AN10" i="80"/>
  <c r="W39" i="48"/>
  <c r="R63" i="80"/>
  <c r="S63" i="80" s="1"/>
  <c r="X45" i="80"/>
  <c r="Y45" i="80" s="1"/>
  <c r="N36" i="46"/>
  <c r="X13" i="80"/>
  <c r="Y13" i="80" s="1"/>
  <c r="I92" i="78"/>
  <c r="AL11" i="77"/>
  <c r="AL14" i="77"/>
  <c r="AL34" i="77"/>
  <c r="AL23" i="77"/>
  <c r="O29" i="45"/>
  <c r="I65" i="78"/>
  <c r="I90" i="78"/>
  <c r="I86" i="78"/>
  <c r="J12" i="89"/>
  <c r="AL9" i="77"/>
  <c r="R14" i="77"/>
  <c r="S14" i="77" s="1"/>
  <c r="O747" i="79"/>
  <c r="O755" i="79"/>
  <c r="I46" i="78"/>
  <c r="AD40" i="77"/>
  <c r="AE40" i="77" s="1"/>
  <c r="E110" i="78"/>
  <c r="N29" i="45"/>
  <c r="C44" i="45"/>
  <c r="D29" i="45"/>
  <c r="F29" i="45" s="1"/>
  <c r="G29" i="45" s="1"/>
  <c r="K7" i="47"/>
  <c r="AN7" i="47"/>
  <c r="E7" i="80"/>
  <c r="E7" i="48"/>
  <c r="W7" i="47"/>
  <c r="E7" i="46"/>
  <c r="L6" i="47"/>
  <c r="F6" i="46"/>
  <c r="AO6" i="47"/>
  <c r="F6" i="48"/>
  <c r="F6" i="44"/>
  <c r="X6" i="47"/>
  <c r="F6" i="80"/>
  <c r="C9" i="79"/>
  <c r="D9" i="79"/>
  <c r="G9" i="79" s="1"/>
  <c r="C13" i="79"/>
  <c r="D13" i="79"/>
  <c r="G13" i="79" s="1"/>
  <c r="D23" i="79"/>
  <c r="G23" i="79" s="1"/>
  <c r="O61" i="47" s="1"/>
  <c r="P61" i="47" s="1"/>
  <c r="C23" i="79"/>
  <c r="C59" i="79"/>
  <c r="D59" i="79"/>
  <c r="D67" i="79"/>
  <c r="G67" i="79" s="1"/>
  <c r="C67" i="79"/>
  <c r="D300" i="79"/>
  <c r="C300" i="79"/>
  <c r="C304" i="79"/>
  <c r="D304" i="79"/>
  <c r="C308" i="79"/>
  <c r="D308" i="79"/>
  <c r="G308" i="79" s="1"/>
  <c r="D312" i="79"/>
  <c r="C312" i="79"/>
  <c r="C316" i="79"/>
  <c r="D316" i="79"/>
  <c r="D320" i="79"/>
  <c r="C320" i="79"/>
  <c r="D324" i="79"/>
  <c r="C324" i="79"/>
  <c r="D328" i="79"/>
  <c r="C328" i="79"/>
  <c r="D336" i="79"/>
  <c r="C336" i="79"/>
  <c r="D529" i="79"/>
  <c r="G529" i="79" s="1"/>
  <c r="C529" i="79"/>
  <c r="C533" i="79"/>
  <c r="D533" i="79"/>
  <c r="G533" i="79" s="1"/>
  <c r="C537" i="79"/>
  <c r="D537" i="79"/>
  <c r="G537" i="79" s="1"/>
  <c r="C559" i="79"/>
  <c r="D559" i="79"/>
  <c r="D599" i="79"/>
  <c r="G599" i="79" s="1"/>
  <c r="C599" i="79"/>
  <c r="D607" i="79"/>
  <c r="G607" i="79" s="1"/>
  <c r="C607" i="79"/>
  <c r="G652" i="79"/>
  <c r="C656" i="79"/>
  <c r="D656" i="79"/>
  <c r="G656" i="79" s="1"/>
  <c r="D340" i="79"/>
  <c r="G340" i="79" s="1"/>
  <c r="C340" i="79"/>
  <c r="C146" i="79"/>
  <c r="D146" i="79"/>
  <c r="G146" i="79" s="1"/>
  <c r="D157" i="79"/>
  <c r="C157" i="79"/>
  <c r="D165" i="79"/>
  <c r="C165" i="79"/>
  <c r="C434" i="79"/>
  <c r="D434" i="79"/>
  <c r="C591" i="79"/>
  <c r="D591" i="79"/>
  <c r="D713" i="79"/>
  <c r="G713" i="79" s="1"/>
  <c r="C713" i="79"/>
  <c r="G724" i="79"/>
  <c r="D524" i="79"/>
  <c r="C524" i="79"/>
  <c r="R23" i="77"/>
  <c r="F22" i="89"/>
  <c r="I63" i="78"/>
  <c r="Q12" i="77"/>
  <c r="I53" i="78"/>
  <c r="Q9" i="77"/>
  <c r="R9" i="77" s="1"/>
  <c r="S9" i="77" s="1"/>
  <c r="I50" i="78"/>
  <c r="G118" i="79"/>
  <c r="G70" i="79"/>
  <c r="F7" i="48"/>
  <c r="R7" i="47"/>
  <c r="G6" i="48"/>
  <c r="S6" i="47"/>
  <c r="AE6" i="47"/>
  <c r="D8" i="79"/>
  <c r="G8" i="79" s="1"/>
  <c r="C8" i="79"/>
  <c r="C31" i="79"/>
  <c r="D31" i="79"/>
  <c r="D291" i="79"/>
  <c r="G291" i="79" s="1"/>
  <c r="C291" i="79"/>
  <c r="D653" i="79"/>
  <c r="G653" i="79" s="1"/>
  <c r="C653" i="79"/>
  <c r="G87" i="79"/>
  <c r="D97" i="79"/>
  <c r="C97" i="79"/>
  <c r="G119" i="79"/>
  <c r="D128" i="79"/>
  <c r="C128" i="79"/>
  <c r="D180" i="79"/>
  <c r="G180" i="79" s="1"/>
  <c r="C180" i="79"/>
  <c r="C198" i="79"/>
  <c r="D198" i="79"/>
  <c r="G198" i="79" s="1"/>
  <c r="G408" i="79"/>
  <c r="O34" i="86"/>
  <c r="O35" i="86" s="1"/>
  <c r="G456" i="79"/>
  <c r="AJ32" i="77"/>
  <c r="AK32" i="77" s="1"/>
  <c r="AJ19" i="77"/>
  <c r="AK19" i="77" s="1"/>
  <c r="AD9" i="77"/>
  <c r="AE9" i="77" s="1"/>
  <c r="AH9" i="48"/>
  <c r="AG30" i="48"/>
  <c r="P7" i="47"/>
  <c r="V7" i="47"/>
  <c r="E6" i="80"/>
  <c r="AC6" i="47"/>
  <c r="D651" i="79"/>
  <c r="G651" i="79" s="1"/>
  <c r="C651" i="79"/>
  <c r="G672" i="79"/>
  <c r="D85" i="79"/>
  <c r="C85" i="79"/>
  <c r="D387" i="79"/>
  <c r="G387" i="79" s="1"/>
  <c r="C387" i="79"/>
  <c r="C441" i="79"/>
  <c r="D441" i="79"/>
  <c r="C712" i="79"/>
  <c r="D712" i="79"/>
  <c r="G712" i="79" s="1"/>
  <c r="D497" i="79"/>
  <c r="C497" i="79"/>
  <c r="C527" i="79"/>
  <c r="D527" i="79"/>
  <c r="G685" i="79"/>
  <c r="G5" i="79"/>
  <c r="G15" i="79"/>
  <c r="G100" i="79"/>
  <c r="AJ13" i="77"/>
  <c r="G542" i="79"/>
  <c r="G350" i="79"/>
  <c r="G144" i="79"/>
  <c r="G187" i="79"/>
  <c r="G622" i="79"/>
  <c r="AD35" i="77"/>
  <c r="X36" i="77"/>
  <c r="Y36" i="77" s="1"/>
  <c r="L45" i="44"/>
  <c r="M45" i="44" s="1"/>
  <c r="L68" i="80"/>
  <c r="M68" i="80" s="1"/>
  <c r="K190" i="85"/>
  <c r="C14" i="87"/>
  <c r="D9" i="87"/>
  <c r="AH12" i="87"/>
  <c r="AJ12" i="87" s="1"/>
  <c r="AL12" i="87"/>
  <c r="I91" i="78"/>
  <c r="X22" i="48"/>
  <c r="Y22" i="48" s="1"/>
  <c r="L65" i="44"/>
  <c r="M65" i="44" s="1"/>
  <c r="L10" i="44"/>
  <c r="M10" i="44" s="1"/>
  <c r="J9" i="87"/>
  <c r="J14" i="87" s="1"/>
  <c r="F221" i="85"/>
  <c r="D853" i="94" s="1"/>
  <c r="O14" i="87"/>
  <c r="E221" i="85"/>
  <c r="I221" i="85"/>
  <c r="G853" i="94" s="1"/>
  <c r="K202" i="85"/>
  <c r="U14" i="87"/>
  <c r="D227" i="79"/>
  <c r="L7" i="92"/>
  <c r="H17" i="92"/>
  <c r="L16" i="92"/>
  <c r="L19" i="92"/>
  <c r="AJ25" i="48"/>
  <c r="AK25" i="48" s="1"/>
  <c r="AJ18" i="48"/>
  <c r="AK18" i="48" s="1"/>
  <c r="I11" i="92"/>
  <c r="I21" i="92" s="1"/>
  <c r="AN19" i="83"/>
  <c r="M13" i="83"/>
  <c r="AM13" i="80"/>
  <c r="R13" i="80"/>
  <c r="S13" i="80" s="1"/>
  <c r="N41" i="46"/>
  <c r="I43" i="46"/>
  <c r="AM50" i="80"/>
  <c r="AM46" i="80"/>
  <c r="AM55" i="80"/>
  <c r="G12" i="83"/>
  <c r="U57" i="47"/>
  <c r="V57" i="47" s="1"/>
  <c r="Q54" i="47"/>
  <c r="I62" i="47"/>
  <c r="J62" i="47" s="1"/>
  <c r="AG50" i="47"/>
  <c r="AH50" i="47" s="1"/>
  <c r="U16" i="47"/>
  <c r="V16" i="47" s="1"/>
  <c r="I47" i="47"/>
  <c r="J47" i="47" s="1"/>
  <c r="O46" i="47"/>
  <c r="P46" i="47" s="1"/>
  <c r="U28" i="47"/>
  <c r="V28" i="47" s="1"/>
  <c r="C45" i="47"/>
  <c r="U25" i="47"/>
  <c r="V25" i="47" s="1"/>
  <c r="O35" i="47"/>
  <c r="P35" i="47" s="1"/>
  <c r="O45" i="47"/>
  <c r="P45" i="47" s="1"/>
  <c r="I43" i="47"/>
  <c r="J43" i="47" s="1"/>
  <c r="AG64" i="47"/>
  <c r="AH64" i="47" s="1"/>
  <c r="AA24" i="47"/>
  <c r="AB24" i="47" s="1"/>
  <c r="AA37" i="47"/>
  <c r="AB37" i="47" s="1"/>
  <c r="AC40" i="47"/>
  <c r="AG60" i="47"/>
  <c r="AH60" i="47" s="1"/>
  <c r="Q42" i="47"/>
  <c r="AG13" i="47"/>
  <c r="AH13" i="47" s="1"/>
  <c r="AA49" i="47"/>
  <c r="AB49" i="47" s="1"/>
  <c r="AA19" i="47"/>
  <c r="AB19" i="47" s="1"/>
  <c r="AI27" i="47"/>
  <c r="AG65" i="47"/>
  <c r="AH65" i="47" s="1"/>
  <c r="AI55" i="47"/>
  <c r="C34" i="47"/>
  <c r="AI53" i="47"/>
  <c r="Q33" i="47"/>
  <c r="AA25" i="47"/>
  <c r="AB25" i="47" s="1"/>
  <c r="AC55" i="47"/>
  <c r="AG52" i="47"/>
  <c r="AH52" i="47" s="1"/>
  <c r="M75" i="80"/>
  <c r="AP13" i="83"/>
  <c r="X79" i="80"/>
  <c r="Y79" i="80" s="1"/>
  <c r="AM25" i="80"/>
  <c r="X25" i="80"/>
  <c r="Y25" i="80" s="1"/>
  <c r="AJ26" i="83"/>
  <c r="AK26" i="83" s="1"/>
  <c r="AI36" i="83"/>
  <c r="F39" i="48"/>
  <c r="G39" i="48" s="1"/>
  <c r="F41" i="77"/>
  <c r="G41" i="77" s="1"/>
  <c r="AJ38" i="77"/>
  <c r="AK38" i="77" s="1"/>
  <c r="AM38" i="77"/>
  <c r="AK16" i="77"/>
  <c r="AM16" i="77"/>
  <c r="P27" i="77"/>
  <c r="AD101" i="44"/>
  <c r="Y96" i="44"/>
  <c r="Y101" i="44"/>
  <c r="AP79" i="80"/>
  <c r="G26" i="92"/>
  <c r="O36" i="46"/>
  <c r="L36" i="46"/>
  <c r="M36" i="46" s="1"/>
  <c r="AM32" i="48"/>
  <c r="AO32" i="48" s="1"/>
  <c r="AP32" i="48" s="1"/>
  <c r="X32" i="48"/>
  <c r="Y32" i="48" s="1"/>
  <c r="AC102" i="44"/>
  <c r="AD102" i="44" s="1"/>
  <c r="AK39" i="77"/>
  <c r="AM39" i="77"/>
  <c r="AO39" i="77" s="1"/>
  <c r="AP39" i="77" s="1"/>
  <c r="AJ34" i="77"/>
  <c r="AK34" i="77" s="1"/>
  <c r="AM34" i="77"/>
  <c r="AO34" i="77" s="1"/>
  <c r="AP34" i="77" s="1"/>
  <c r="AJ17" i="77"/>
  <c r="AK17" i="77" s="1"/>
  <c r="AJ12" i="77"/>
  <c r="AK12" i="77" s="1"/>
  <c r="AM12" i="77"/>
  <c r="AH27" i="77"/>
  <c r="AJ27" i="77" s="1"/>
  <c r="AK27" i="77" s="1"/>
  <c r="AM10" i="77"/>
  <c r="L9" i="77"/>
  <c r="M9" i="77" s="1"/>
  <c r="J27" i="77"/>
  <c r="Q11" i="86"/>
  <c r="Q34" i="86"/>
  <c r="I41" i="86"/>
  <c r="I46" i="86"/>
  <c r="Q32" i="86"/>
  <c r="G113" i="78"/>
  <c r="E21" i="92"/>
  <c r="R23" i="45"/>
  <c r="AD46" i="44"/>
  <c r="AO14" i="83"/>
  <c r="AP14" i="83" s="1"/>
  <c r="AC70" i="44"/>
  <c r="AD70" i="44" s="1"/>
  <c r="G115" i="44"/>
  <c r="AD62" i="44"/>
  <c r="R74" i="80"/>
  <c r="S74" i="80" s="1"/>
  <c r="X16" i="80"/>
  <c r="Y16" i="80" s="1"/>
  <c r="X62" i="80"/>
  <c r="Y62" i="80" s="1"/>
  <c r="R61" i="80"/>
  <c r="S61" i="80" s="1"/>
  <c r="X50" i="80"/>
  <c r="Y50" i="80" s="1"/>
  <c r="AI6" i="48"/>
  <c r="U7" i="48"/>
  <c r="N6" i="45"/>
  <c r="AJ10" i="77"/>
  <c r="AK10" i="77" s="1"/>
  <c r="AJ9" i="77"/>
  <c r="AK9" i="77" s="1"/>
  <c r="P39" i="48"/>
  <c r="S32" i="48"/>
  <c r="Y19" i="44"/>
  <c r="R17" i="46"/>
  <c r="R13" i="46"/>
  <c r="AO24" i="83"/>
  <c r="AO27" i="80"/>
  <c r="G18" i="46"/>
  <c r="Q18" i="46"/>
  <c r="R18" i="46" s="1"/>
  <c r="R78" i="80"/>
  <c r="S78" i="80" s="1"/>
  <c r="AB81" i="80"/>
  <c r="AB83" i="80" s="1"/>
  <c r="X24" i="80"/>
  <c r="Y24" i="80" s="1"/>
  <c r="AM54" i="80"/>
  <c r="AO54" i="80" s="1"/>
  <c r="AP54" i="80" s="1"/>
  <c r="K19" i="89"/>
  <c r="K25" i="46"/>
  <c r="L25" i="48"/>
  <c r="M25" i="48" s="1"/>
  <c r="X33" i="77"/>
  <c r="Y33" i="77" s="1"/>
  <c r="R39" i="77"/>
  <c r="S39" i="77" s="1"/>
  <c r="R22" i="77"/>
  <c r="S22" i="77" s="1"/>
  <c r="R16" i="77"/>
  <c r="S16" i="77" s="1"/>
  <c r="R13" i="77"/>
  <c r="S13" i="77" s="1"/>
  <c r="L33" i="77"/>
  <c r="M33" i="77" s="1"/>
  <c r="X36" i="48"/>
  <c r="Y36" i="48" s="1"/>
  <c r="X35" i="48"/>
  <c r="Y35" i="48" s="1"/>
  <c r="X13" i="48"/>
  <c r="Y13" i="48" s="1"/>
  <c r="X91" i="44"/>
  <c r="Y91" i="44" s="1"/>
  <c r="X11" i="44"/>
  <c r="Y11" i="44" s="1"/>
  <c r="X71" i="80"/>
  <c r="Y71" i="80" s="1"/>
  <c r="X40" i="80"/>
  <c r="Y40" i="80" s="1"/>
  <c r="R36" i="48"/>
  <c r="S36" i="48" s="1"/>
  <c r="R33" i="48"/>
  <c r="S33" i="48" s="1"/>
  <c r="R23" i="48"/>
  <c r="S23" i="48" s="1"/>
  <c r="L30" i="46"/>
  <c r="M30" i="46" s="1"/>
  <c r="L19" i="46"/>
  <c r="M19" i="46" s="1"/>
  <c r="L25" i="45"/>
  <c r="M25" i="45" s="1"/>
  <c r="R88" i="44"/>
  <c r="S88" i="44" s="1"/>
  <c r="R84" i="44"/>
  <c r="S84" i="44" s="1"/>
  <c r="L28" i="48"/>
  <c r="M28" i="48" s="1"/>
  <c r="X89" i="44"/>
  <c r="Y89" i="44" s="1"/>
  <c r="K201" i="85"/>
  <c r="K218" i="85" s="1"/>
  <c r="K198" i="85"/>
  <c r="L14" i="92"/>
  <c r="L78" i="80"/>
  <c r="M78" i="80" s="1"/>
  <c r="R27" i="48"/>
  <c r="AD42" i="80"/>
  <c r="AE42" i="80" s="1"/>
  <c r="AO38" i="80"/>
  <c r="AP38" i="80" s="1"/>
  <c r="AO46" i="80"/>
  <c r="AP46" i="80" s="1"/>
  <c r="Q40" i="45"/>
  <c r="R40" i="45" s="1"/>
  <c r="R20" i="80"/>
  <c r="S20" i="80" s="1"/>
  <c r="X14" i="80"/>
  <c r="Y14" i="80" s="1"/>
  <c r="X29" i="80"/>
  <c r="Y29" i="80" s="1"/>
  <c r="AC83" i="80"/>
  <c r="AM15" i="80"/>
  <c r="X15" i="80"/>
  <c r="Y15" i="80" s="1"/>
  <c r="X19" i="80"/>
  <c r="Y19" i="80" s="1"/>
  <c r="X56" i="80"/>
  <c r="Y56" i="80" s="1"/>
  <c r="R22" i="80"/>
  <c r="S22" i="80" s="1"/>
  <c r="AM22" i="80"/>
  <c r="R39" i="80"/>
  <c r="S39" i="80" s="1"/>
  <c r="AM64" i="80"/>
  <c r="R64" i="80"/>
  <c r="S64" i="80" s="1"/>
  <c r="X74" i="80"/>
  <c r="Y74" i="80" s="1"/>
  <c r="X20" i="44"/>
  <c r="Y20" i="44" s="1"/>
  <c r="AM39" i="80"/>
  <c r="L39" i="80"/>
  <c r="M39" i="80" s="1"/>
  <c r="R11" i="80"/>
  <c r="S11" i="80" s="1"/>
  <c r="AM11" i="80"/>
  <c r="R23" i="80"/>
  <c r="S23" i="80" s="1"/>
  <c r="R44" i="80"/>
  <c r="S44" i="80" s="1"/>
  <c r="AM44" i="80"/>
  <c r="X38" i="80"/>
  <c r="Y38" i="80" s="1"/>
  <c r="Q29" i="45"/>
  <c r="R29" i="45" s="1"/>
  <c r="AC81" i="44"/>
  <c r="AD81" i="44" s="1"/>
  <c r="J125" i="44"/>
  <c r="I127" i="44"/>
  <c r="R16" i="80"/>
  <c r="AM16" i="80"/>
  <c r="S16" i="80"/>
  <c r="AM58" i="80"/>
  <c r="R58" i="80"/>
  <c r="S58" i="80" s="1"/>
  <c r="L41" i="80"/>
  <c r="M41" i="80" s="1"/>
  <c r="AD70" i="80"/>
  <c r="AE70" i="80" s="1"/>
  <c r="R51" i="80"/>
  <c r="S51" i="80" s="1"/>
  <c r="AM51" i="80"/>
  <c r="R76" i="80"/>
  <c r="S76" i="80" s="1"/>
  <c r="AM76" i="80"/>
  <c r="X41" i="80"/>
  <c r="Y41" i="80"/>
  <c r="J31" i="80"/>
  <c r="L17" i="80"/>
  <c r="M17" i="80" s="1"/>
  <c r="AM19" i="80"/>
  <c r="R19" i="80"/>
  <c r="S19" i="80" s="1"/>
  <c r="R28" i="80"/>
  <c r="S28" i="80" s="1"/>
  <c r="AM52" i="80"/>
  <c r="R52" i="80"/>
  <c r="S52" i="80" s="1"/>
  <c r="R56" i="80"/>
  <c r="S56" i="80" s="1"/>
  <c r="AM56" i="80"/>
  <c r="AM77" i="80"/>
  <c r="R77" i="80"/>
  <c r="S77" i="80" s="1"/>
  <c r="AD94" i="44"/>
  <c r="AC96" i="44"/>
  <c r="AD96" i="44" s="1"/>
  <c r="S38" i="80"/>
  <c r="S46" i="80"/>
  <c r="AA19" i="44"/>
  <c r="AO39" i="80"/>
  <c r="X31" i="44"/>
  <c r="Y31" i="44" s="1"/>
  <c r="AA31" i="44"/>
  <c r="AA45" i="44"/>
  <c r="Y45" i="44"/>
  <c r="X49" i="44"/>
  <c r="Y49" i="44" s="1"/>
  <c r="AA49" i="44"/>
  <c r="X100" i="44"/>
  <c r="Y100" i="44" s="1"/>
  <c r="AA100" i="44"/>
  <c r="X105" i="44"/>
  <c r="Y105" i="44" s="1"/>
  <c r="Q6" i="45"/>
  <c r="L6" i="45"/>
  <c r="AJ33" i="80"/>
  <c r="AK33" i="80" s="1"/>
  <c r="I43" i="77"/>
  <c r="I45" i="77" s="1"/>
  <c r="I46" i="77" s="1"/>
  <c r="J41" i="77"/>
  <c r="J43" i="77" s="1"/>
  <c r="D40" i="77"/>
  <c r="AL40" i="77"/>
  <c r="C43" i="77"/>
  <c r="I22" i="89"/>
  <c r="AJ23" i="77"/>
  <c r="AK23" i="77" s="1"/>
  <c r="D123" i="44"/>
  <c r="F123" i="44" s="1"/>
  <c r="Z123" i="44"/>
  <c r="AA122" i="44"/>
  <c r="G122" i="44"/>
  <c r="R14" i="87"/>
  <c r="S14" i="87" s="1"/>
  <c r="S9" i="87"/>
  <c r="F9" i="87"/>
  <c r="AN9" i="87"/>
  <c r="H20" i="89"/>
  <c r="AD33" i="77"/>
  <c r="AE33" i="77" s="1"/>
  <c r="X20" i="77"/>
  <c r="Y20" i="77" s="1"/>
  <c r="G15" i="89"/>
  <c r="K15" i="89" s="1"/>
  <c r="Q7" i="46"/>
  <c r="X39" i="80"/>
  <c r="Y39" i="80" s="1"/>
  <c r="AM24" i="80"/>
  <c r="R45" i="80"/>
  <c r="S45" i="80" s="1"/>
  <c r="AE10" i="87"/>
  <c r="R30" i="46"/>
  <c r="R21" i="45"/>
  <c r="AM68" i="80"/>
  <c r="Z35" i="44"/>
  <c r="AM71" i="80"/>
  <c r="AL29" i="80"/>
  <c r="AN78" i="80"/>
  <c r="AA119" i="44"/>
  <c r="AE57" i="80"/>
  <c r="F25" i="44"/>
  <c r="G25" i="44" s="1"/>
  <c r="AL16" i="80"/>
  <c r="AA89" i="44"/>
  <c r="G40" i="45"/>
  <c r="AL58" i="80"/>
  <c r="AL14" i="80"/>
  <c r="AL31" i="80" s="1"/>
  <c r="S65" i="80"/>
  <c r="AN28" i="83"/>
  <c r="I219" i="85"/>
  <c r="I222" i="85" s="1"/>
  <c r="K17" i="89"/>
  <c r="X43" i="44"/>
  <c r="Y43" i="44" s="1"/>
  <c r="Y110" i="44"/>
  <c r="AN7" i="48"/>
  <c r="W7" i="48"/>
  <c r="AJ33" i="77"/>
  <c r="AK33" i="77" s="1"/>
  <c r="AK31" i="77"/>
  <c r="Q43" i="77"/>
  <c r="I11" i="89"/>
  <c r="AK21" i="77"/>
  <c r="AJ14" i="77"/>
  <c r="AK13" i="77"/>
  <c r="X30" i="44"/>
  <c r="Y30" i="44" s="1"/>
  <c r="M27" i="46"/>
  <c r="R9" i="80"/>
  <c r="S9" i="80" s="1"/>
  <c r="AI83" i="80"/>
  <c r="X9" i="87"/>
  <c r="Q36" i="83"/>
  <c r="AE37" i="77"/>
  <c r="Y41" i="77"/>
  <c r="Y35" i="77"/>
  <c r="Y30" i="77"/>
  <c r="Y16" i="77"/>
  <c r="AA99" i="44"/>
  <c r="AA120" i="44"/>
  <c r="Y120" i="44"/>
  <c r="AB7" i="48"/>
  <c r="V7" i="48"/>
  <c r="Q6" i="48"/>
  <c r="K6" i="48"/>
  <c r="W6" i="48"/>
  <c r="AH30" i="77"/>
  <c r="AH43" i="77" s="1"/>
  <c r="AG43" i="77"/>
  <c r="AG45" i="77" s="1"/>
  <c r="AG46" i="77" s="1"/>
  <c r="H18" i="89"/>
  <c r="AC43" i="77"/>
  <c r="AD29" i="77"/>
  <c r="AE29" i="77" s="1"/>
  <c r="P29" i="77"/>
  <c r="O43" i="77"/>
  <c r="O45" i="77" s="1"/>
  <c r="O46" i="77" s="1"/>
  <c r="AL29" i="77"/>
  <c r="M29" i="77"/>
  <c r="F29" i="77"/>
  <c r="G29" i="77" s="1"/>
  <c r="D18" i="89"/>
  <c r="I15" i="89"/>
  <c r="AJ20" i="77"/>
  <c r="AK20" i="77" s="1"/>
  <c r="V9" i="77"/>
  <c r="U27" i="77"/>
  <c r="D9" i="44"/>
  <c r="C28" i="44"/>
  <c r="Z9" i="44"/>
  <c r="L9" i="44"/>
  <c r="M9" i="44" s="1"/>
  <c r="K28" i="44"/>
  <c r="AB122" i="44"/>
  <c r="K14" i="87"/>
  <c r="AC105" i="44"/>
  <c r="AD105" i="44" s="1"/>
  <c r="AJ81" i="80"/>
  <c r="AK81" i="80" s="1"/>
  <c r="AN40" i="77"/>
  <c r="AK37" i="77"/>
  <c r="AK36" i="77"/>
  <c r="AK24" i="77"/>
  <c r="AK14" i="77"/>
  <c r="R9" i="44"/>
  <c r="S9" i="44" s="1"/>
  <c r="M122" i="44"/>
  <c r="C83" i="80"/>
  <c r="K12" i="89"/>
  <c r="X15" i="48"/>
  <c r="Y15" i="48" s="1"/>
  <c r="R18" i="44"/>
  <c r="S18" i="44" s="1"/>
  <c r="R12" i="44"/>
  <c r="S12" i="44" s="1"/>
  <c r="R69" i="80"/>
  <c r="S69" i="80" s="1"/>
  <c r="R49" i="80"/>
  <c r="S49" i="80" s="1"/>
  <c r="R47" i="80"/>
  <c r="S47" i="80" s="1"/>
  <c r="K16" i="89"/>
  <c r="C25" i="46"/>
  <c r="N9" i="46"/>
  <c r="K22" i="89"/>
  <c r="I27" i="45"/>
  <c r="R35" i="77"/>
  <c r="S35" i="77" s="1"/>
  <c r="R16" i="48"/>
  <c r="S16" i="48" s="1"/>
  <c r="R12" i="48"/>
  <c r="S12" i="48" s="1"/>
  <c r="L37" i="46"/>
  <c r="M37" i="46" s="1"/>
  <c r="L18" i="45"/>
  <c r="M18" i="45" s="1"/>
  <c r="L10" i="45"/>
  <c r="M10" i="45" s="1"/>
  <c r="R77" i="44"/>
  <c r="S77" i="44" s="1"/>
  <c r="R73" i="44"/>
  <c r="S73" i="44" s="1"/>
  <c r="L25" i="44"/>
  <c r="M25" i="44" s="1"/>
  <c r="L17" i="44"/>
  <c r="M17" i="44" s="1"/>
  <c r="L63" i="80"/>
  <c r="M63" i="80" s="1"/>
  <c r="L59" i="80"/>
  <c r="M59" i="80" s="1"/>
  <c r="L51" i="80"/>
  <c r="M51" i="80" s="1"/>
  <c r="L44" i="80"/>
  <c r="M44" i="80" s="1"/>
  <c r="L15" i="80"/>
  <c r="M15" i="80" s="1"/>
  <c r="X27" i="48"/>
  <c r="L8" i="92"/>
  <c r="L9" i="92"/>
  <c r="L15" i="92"/>
  <c r="L17" i="92" s="1"/>
  <c r="G28" i="92"/>
  <c r="AD36" i="80"/>
  <c r="AE36" i="80" s="1"/>
  <c r="F111" i="44"/>
  <c r="G111" i="44" s="1"/>
  <c r="X87" i="44"/>
  <c r="Y87" i="44" s="1"/>
  <c r="V83" i="80" l="1"/>
  <c r="E43" i="46"/>
  <c r="E44" i="46" s="1"/>
  <c r="AP13" i="77"/>
  <c r="AO13" i="77"/>
  <c r="AC30" i="44"/>
  <c r="AD30" i="44" s="1"/>
  <c r="U17" i="47"/>
  <c r="V17" i="47" s="1"/>
  <c r="AA54" i="47"/>
  <c r="AB54" i="47" s="1"/>
  <c r="K53" i="47"/>
  <c r="P30" i="45"/>
  <c r="P44" i="45" s="1"/>
  <c r="L30" i="45"/>
  <c r="M30" i="45" s="1"/>
  <c r="AA98" i="44"/>
  <c r="AC98" i="44" s="1"/>
  <c r="AD98" i="44" s="1"/>
  <c r="X98" i="44"/>
  <c r="Y98" i="44" s="1"/>
  <c r="AM31" i="83"/>
  <c r="AO31" i="83" s="1"/>
  <c r="AP31" i="83" s="1"/>
  <c r="L31" i="83"/>
  <c r="M31" i="83" s="1"/>
  <c r="F16" i="45"/>
  <c r="G16" i="45" s="1"/>
  <c r="O16" i="45"/>
  <c r="Q16" i="45" s="1"/>
  <c r="R16" i="45" s="1"/>
  <c r="AO28" i="83"/>
  <c r="AP28" i="83" s="1"/>
  <c r="AC39" i="47"/>
  <c r="AD39" i="47" s="1"/>
  <c r="AE39" i="47" s="1"/>
  <c r="AG61" i="47"/>
  <c r="AH61" i="47" s="1"/>
  <c r="AA68" i="47"/>
  <c r="AB68" i="47" s="1"/>
  <c r="AD68" i="47" s="1"/>
  <c r="AE68" i="47" s="1"/>
  <c r="AA21" i="47"/>
  <c r="AB21" i="47" s="1"/>
  <c r="AA47" i="47"/>
  <c r="AB47" i="47" s="1"/>
  <c r="AG43" i="47"/>
  <c r="AH43" i="47" s="1"/>
  <c r="AG12" i="47"/>
  <c r="AH12" i="47" s="1"/>
  <c r="AC29" i="47"/>
  <c r="I70" i="47"/>
  <c r="J70" i="47" s="1"/>
  <c r="K43" i="47"/>
  <c r="U10" i="47"/>
  <c r="V10" i="47" s="1"/>
  <c r="K55" i="47"/>
  <c r="O7" i="80"/>
  <c r="U7" i="80"/>
  <c r="I7" i="80"/>
  <c r="AL7" i="80"/>
  <c r="AG7" i="80"/>
  <c r="AA7" i="80"/>
  <c r="Q39" i="46"/>
  <c r="R39" i="46" s="1"/>
  <c r="AN18" i="80"/>
  <c r="X18" i="80"/>
  <c r="Y18" i="80" s="1"/>
  <c r="AN33" i="77"/>
  <c r="AO33" i="77" s="1"/>
  <c r="AP33" i="77" s="1"/>
  <c r="F33" i="77"/>
  <c r="G33" i="77" s="1"/>
  <c r="AN34" i="80"/>
  <c r="X34" i="80"/>
  <c r="Y34" i="80" s="1"/>
  <c r="AN29" i="83"/>
  <c r="AA40" i="44"/>
  <c r="AC40" i="44" s="1"/>
  <c r="AD40" i="44" s="1"/>
  <c r="R10" i="48"/>
  <c r="S10" i="48" s="1"/>
  <c r="AM10" i="48"/>
  <c r="AO10" i="48" s="1"/>
  <c r="AP10" i="48" s="1"/>
  <c r="O19" i="46"/>
  <c r="F19" i="46"/>
  <c r="G19" i="46" s="1"/>
  <c r="F70" i="80"/>
  <c r="G70" i="80" s="1"/>
  <c r="AD18" i="48"/>
  <c r="AE18" i="48" s="1"/>
  <c r="AM18" i="48"/>
  <c r="O13" i="45"/>
  <c r="F13" i="45"/>
  <c r="G13" i="45" s="1"/>
  <c r="G32" i="48"/>
  <c r="AI17" i="47"/>
  <c r="AI43" i="47"/>
  <c r="AJ43" i="47" s="1"/>
  <c r="AA22" i="47"/>
  <c r="AB22" i="47" s="1"/>
  <c r="AG46" i="47"/>
  <c r="AH46" i="47" s="1"/>
  <c r="AI38" i="47"/>
  <c r="AC50" i="47"/>
  <c r="AG53" i="47"/>
  <c r="AH53" i="47" s="1"/>
  <c r="AJ53" i="47" s="1"/>
  <c r="AK53" i="47" s="1"/>
  <c r="K28" i="47"/>
  <c r="AN28" i="47" s="1"/>
  <c r="Q12" i="47"/>
  <c r="R12" i="47" s="1"/>
  <c r="U45" i="47"/>
  <c r="V45" i="47" s="1"/>
  <c r="E23" i="47"/>
  <c r="AN23" i="47" s="1"/>
  <c r="E50" i="47"/>
  <c r="E29" i="47"/>
  <c r="Q41" i="47"/>
  <c r="L13" i="48"/>
  <c r="M13" i="48" s="1"/>
  <c r="H27" i="89"/>
  <c r="AA33" i="44"/>
  <c r="AC33" i="44" s="1"/>
  <c r="AD33" i="44" s="1"/>
  <c r="X37" i="80"/>
  <c r="Y37" i="80" s="1"/>
  <c r="R53" i="80"/>
  <c r="S53" i="80" s="1"/>
  <c r="AM20" i="80"/>
  <c r="AO20" i="80" s="1"/>
  <c r="W54" i="47"/>
  <c r="AG67" i="47"/>
  <c r="AH67" i="47" s="1"/>
  <c r="AG9" i="47"/>
  <c r="AI62" i="47"/>
  <c r="AI66" i="47"/>
  <c r="AI57" i="47"/>
  <c r="AA33" i="47"/>
  <c r="AC68" i="47"/>
  <c r="U38" i="47"/>
  <c r="V38" i="47" s="1"/>
  <c r="C44" i="47"/>
  <c r="Q61" i="47"/>
  <c r="F33" i="89" s="1"/>
  <c r="W17" i="47"/>
  <c r="X17" i="47" s="1"/>
  <c r="Y17" i="47" s="1"/>
  <c r="AC38" i="47"/>
  <c r="I27" i="47"/>
  <c r="J27" i="47" s="1"/>
  <c r="N7" i="45"/>
  <c r="K21" i="89"/>
  <c r="W31" i="80"/>
  <c r="X21" i="80"/>
  <c r="Y21" i="80" s="1"/>
  <c r="AG16" i="47"/>
  <c r="AH16" i="47" s="1"/>
  <c r="AA40" i="47"/>
  <c r="AB40" i="47" s="1"/>
  <c r="AC48" i="47"/>
  <c r="AA45" i="47"/>
  <c r="AB45" i="47" s="1"/>
  <c r="AD45" i="47" s="1"/>
  <c r="AE45" i="47" s="1"/>
  <c r="AI23" i="47"/>
  <c r="AG69" i="47"/>
  <c r="AH69" i="47" s="1"/>
  <c r="AG37" i="47"/>
  <c r="AH37" i="47" s="1"/>
  <c r="AC25" i="47"/>
  <c r="AI20" i="47"/>
  <c r="AA44" i="47"/>
  <c r="AB44" i="47" s="1"/>
  <c r="AE44" i="47" s="1"/>
  <c r="I39" i="47"/>
  <c r="J39" i="47" s="1"/>
  <c r="C25" i="47"/>
  <c r="D25" i="47" s="1"/>
  <c r="O48" i="47"/>
  <c r="P48" i="47" s="1"/>
  <c r="I15" i="47"/>
  <c r="J15" i="47" s="1"/>
  <c r="E125" i="44"/>
  <c r="K41" i="46"/>
  <c r="F30" i="44"/>
  <c r="G30" i="44" s="1"/>
  <c r="AO56" i="80"/>
  <c r="AP56" i="80" s="1"/>
  <c r="X63" i="80"/>
  <c r="Y63" i="80" s="1"/>
  <c r="AG36" i="47"/>
  <c r="AH36" i="47" s="1"/>
  <c r="AC37" i="47"/>
  <c r="AD37" i="47" s="1"/>
  <c r="AC56" i="47"/>
  <c r="O33" i="47"/>
  <c r="AC66" i="47"/>
  <c r="AA28" i="47"/>
  <c r="AB28" i="47" s="1"/>
  <c r="AA15" i="47"/>
  <c r="AB15" i="47" s="1"/>
  <c r="AD15" i="47" s="1"/>
  <c r="AE15" i="47" s="1"/>
  <c r="AI68" i="47"/>
  <c r="AI65" i="47"/>
  <c r="AJ65" i="47" s="1"/>
  <c r="AK65" i="47" s="1"/>
  <c r="AC46" i="47"/>
  <c r="I54" i="47"/>
  <c r="J54" i="47" s="1"/>
  <c r="AG58" i="47"/>
  <c r="AH58" i="47" s="1"/>
  <c r="AC51" i="47"/>
  <c r="AA17" i="47"/>
  <c r="AB17" i="47" s="1"/>
  <c r="U67" i="47"/>
  <c r="V67" i="47" s="1"/>
  <c r="AI18" i="47"/>
  <c r="AA62" i="47"/>
  <c r="AB62" i="47" s="1"/>
  <c r="AA18" i="47"/>
  <c r="AB18" i="47" s="1"/>
  <c r="E63" i="47"/>
  <c r="E26" i="47"/>
  <c r="I36" i="47"/>
  <c r="J36" i="47" s="1"/>
  <c r="Q69" i="47"/>
  <c r="R69" i="47" s="1"/>
  <c r="S69" i="47" s="1"/>
  <c r="W44" i="47"/>
  <c r="O69" i="47"/>
  <c r="P69" i="47" s="1"/>
  <c r="C19" i="47"/>
  <c r="D19" i="47" s="1"/>
  <c r="E41" i="47"/>
  <c r="Q18" i="47"/>
  <c r="AG10" i="47"/>
  <c r="AH10" i="47" s="1"/>
  <c r="O50" i="47"/>
  <c r="P50" i="47" s="1"/>
  <c r="W58" i="47"/>
  <c r="X58" i="47" s="1"/>
  <c r="Y58" i="47" s="1"/>
  <c r="U51" i="47"/>
  <c r="V51" i="47" s="1"/>
  <c r="I24" i="47"/>
  <c r="J24" i="47" s="1"/>
  <c r="J22" i="89"/>
  <c r="AN29" i="77"/>
  <c r="AM32" i="83"/>
  <c r="E30" i="48"/>
  <c r="E41" i="48" s="1"/>
  <c r="F19" i="80"/>
  <c r="G19" i="80" s="1"/>
  <c r="F51" i="44"/>
  <c r="G51" i="44" s="1"/>
  <c r="AB51" i="44"/>
  <c r="AC51" i="44" s="1"/>
  <c r="AD51" i="44" s="1"/>
  <c r="X9" i="80"/>
  <c r="Y9" i="80" s="1"/>
  <c r="AM25" i="77"/>
  <c r="AO25" i="77" s="1"/>
  <c r="AP25" i="77" s="1"/>
  <c r="L25" i="77"/>
  <c r="M25" i="77" s="1"/>
  <c r="D19" i="89"/>
  <c r="J19" i="89" s="1"/>
  <c r="F35" i="77"/>
  <c r="G35" i="77" s="1"/>
  <c r="X35" i="44"/>
  <c r="Y35" i="44" s="1"/>
  <c r="Z7" i="44"/>
  <c r="O7" i="44"/>
  <c r="AB25" i="44"/>
  <c r="AC25" i="44" s="1"/>
  <c r="AD25" i="44" s="1"/>
  <c r="X24" i="44"/>
  <c r="Y24" i="44" s="1"/>
  <c r="AA24" i="44"/>
  <c r="AN35" i="48"/>
  <c r="AO35" i="48" s="1"/>
  <c r="AP35" i="48" s="1"/>
  <c r="R35" i="48"/>
  <c r="S35" i="48" s="1"/>
  <c r="Q39" i="48"/>
  <c r="R39" i="48" s="1"/>
  <c r="S39" i="48" s="1"/>
  <c r="AC10" i="44"/>
  <c r="AD10" i="44" s="1"/>
  <c r="AA93" i="44"/>
  <c r="AN38" i="77"/>
  <c r="X90" i="44"/>
  <c r="Y90" i="44" s="1"/>
  <c r="AB90" i="44"/>
  <c r="AC90" i="44" s="1"/>
  <c r="AD90" i="44" s="1"/>
  <c r="F54" i="44"/>
  <c r="G54" i="44" s="1"/>
  <c r="AA54" i="44"/>
  <c r="F57" i="44"/>
  <c r="G57" i="44" s="1"/>
  <c r="AA57" i="44"/>
  <c r="F33" i="46"/>
  <c r="G33" i="46" s="1"/>
  <c r="O33" i="46"/>
  <c r="Q33" i="46" s="1"/>
  <c r="R33" i="46" s="1"/>
  <c r="AN59" i="80"/>
  <c r="AO59" i="80" s="1"/>
  <c r="AP59" i="80" s="1"/>
  <c r="P42" i="45"/>
  <c r="Q42" i="45" s="1"/>
  <c r="R42" i="45" s="1"/>
  <c r="F42" i="45"/>
  <c r="G42" i="45" s="1"/>
  <c r="F30" i="45"/>
  <c r="G30" i="45" s="1"/>
  <c r="O30" i="45"/>
  <c r="Q30" i="45" s="1"/>
  <c r="R30" i="45" s="1"/>
  <c r="AA64" i="47"/>
  <c r="AB64" i="47" s="1"/>
  <c r="AD34" i="48"/>
  <c r="AE34" i="48" s="1"/>
  <c r="AM34" i="80"/>
  <c r="AN24" i="48"/>
  <c r="AO24" i="48" s="1"/>
  <c r="AP24" i="48" s="1"/>
  <c r="AL83" i="80"/>
  <c r="AB27" i="77"/>
  <c r="AD27" i="77" s="1"/>
  <c r="AE27" i="77" s="1"/>
  <c r="AD13" i="77"/>
  <c r="AE13" i="77" s="1"/>
  <c r="U68" i="47"/>
  <c r="V68" i="47" s="1"/>
  <c r="AD23" i="83"/>
  <c r="AE23" i="83" s="1"/>
  <c r="O127" i="44"/>
  <c r="O128" i="44" s="1"/>
  <c r="AG22" i="47"/>
  <c r="AH22" i="47" s="1"/>
  <c r="AA34" i="47"/>
  <c r="AB34" i="47" s="1"/>
  <c r="AG40" i="47"/>
  <c r="AH40" i="47" s="1"/>
  <c r="AJ40" i="47" s="1"/>
  <c r="AK40" i="47" s="1"/>
  <c r="K40" i="47"/>
  <c r="K12" i="47"/>
  <c r="E9" i="47"/>
  <c r="O41" i="48"/>
  <c r="P41" i="48" s="1"/>
  <c r="AC59" i="44"/>
  <c r="AD59" i="44" s="1"/>
  <c r="AN13" i="48"/>
  <c r="AO13" i="48" s="1"/>
  <c r="AP13" i="48" s="1"/>
  <c r="R13" i="48"/>
  <c r="S13" i="48" s="1"/>
  <c r="G219" i="85"/>
  <c r="G222" i="85" s="1"/>
  <c r="AN24" i="77"/>
  <c r="AO24" i="77" s="1"/>
  <c r="AP24" i="77" s="1"/>
  <c r="AC63" i="47"/>
  <c r="AG54" i="47"/>
  <c r="AH54" i="47" s="1"/>
  <c r="AG56" i="47"/>
  <c r="AH56" i="47" s="1"/>
  <c r="I33" i="47"/>
  <c r="AL33" i="47" s="1"/>
  <c r="I56" i="47"/>
  <c r="J56" i="47" s="1"/>
  <c r="I57" i="47"/>
  <c r="J57" i="47" s="1"/>
  <c r="Q58" i="47"/>
  <c r="V81" i="80"/>
  <c r="AO19" i="77"/>
  <c r="AP19" i="77" s="1"/>
  <c r="E27" i="77"/>
  <c r="F27" i="77" s="1"/>
  <c r="G27" i="77" s="1"/>
  <c r="K9" i="89"/>
  <c r="AM43" i="80"/>
  <c r="AO43" i="80" s="1"/>
  <c r="AP43" i="80" s="1"/>
  <c r="AM17" i="77"/>
  <c r="AO17" i="77" s="1"/>
  <c r="AP17" i="77" s="1"/>
  <c r="AA48" i="47"/>
  <c r="AB48" i="47" s="1"/>
  <c r="AI24" i="47"/>
  <c r="AJ24" i="47" s="1"/>
  <c r="C13" i="47"/>
  <c r="C29" i="47"/>
  <c r="P81" i="80"/>
  <c r="N44" i="45"/>
  <c r="N46" i="45" s="1"/>
  <c r="Q30" i="48"/>
  <c r="R30" i="48" s="1"/>
  <c r="S30" i="48" s="1"/>
  <c r="AM37" i="80"/>
  <c r="AO37" i="80" s="1"/>
  <c r="AP37" i="80" s="1"/>
  <c r="AB112" i="44"/>
  <c r="AC112" i="44" s="1"/>
  <c r="AD112" i="44" s="1"/>
  <c r="AN42" i="80"/>
  <c r="AO42" i="80" s="1"/>
  <c r="AP42" i="80" s="1"/>
  <c r="L42" i="80"/>
  <c r="M42" i="80" s="1"/>
  <c r="X72" i="80"/>
  <c r="Y72" i="80" s="1"/>
  <c r="AN72" i="80"/>
  <c r="X37" i="48"/>
  <c r="Y37" i="48" s="1"/>
  <c r="AN28" i="80"/>
  <c r="AO28" i="80" s="1"/>
  <c r="AP28" i="80" s="1"/>
  <c r="F36" i="77"/>
  <c r="G36" i="77" s="1"/>
  <c r="AM36" i="77"/>
  <c r="AB11" i="44"/>
  <c r="L11" i="44"/>
  <c r="M11" i="44" s="1"/>
  <c r="AB17" i="44"/>
  <c r="AC17" i="44" s="1"/>
  <c r="AD17" i="44" s="1"/>
  <c r="X17" i="44"/>
  <c r="Y17" i="44" s="1"/>
  <c r="L9" i="83"/>
  <c r="AM9" i="83"/>
  <c r="AO9" i="83" s="1"/>
  <c r="AP9" i="83" s="1"/>
  <c r="J36" i="83"/>
  <c r="F66" i="80"/>
  <c r="G66" i="80" s="1"/>
  <c r="AN66" i="80"/>
  <c r="AO66" i="80" s="1"/>
  <c r="AP66" i="80" s="1"/>
  <c r="AA97" i="44"/>
  <c r="R97" i="44"/>
  <c r="S97" i="44" s="1"/>
  <c r="AB47" i="44"/>
  <c r="AC47" i="44" s="1"/>
  <c r="AD47" i="44" s="1"/>
  <c r="F47" i="44"/>
  <c r="G47" i="44" s="1"/>
  <c r="O11" i="46"/>
  <c r="L11" i="46"/>
  <c r="M11" i="46" s="1"/>
  <c r="AO29" i="83"/>
  <c r="AP29" i="83" s="1"/>
  <c r="L38" i="46"/>
  <c r="M38" i="46" s="1"/>
  <c r="P38" i="46"/>
  <c r="Q38" i="46" s="1"/>
  <c r="R38" i="46" s="1"/>
  <c r="F34" i="48"/>
  <c r="G34" i="48" s="1"/>
  <c r="AM34" i="48"/>
  <c r="AO34" i="48" s="1"/>
  <c r="AP34" i="48" s="1"/>
  <c r="E81" i="80"/>
  <c r="F81" i="80" s="1"/>
  <c r="G81" i="80" s="1"/>
  <c r="AN41" i="80"/>
  <c r="AN81" i="80" s="1"/>
  <c r="AL81" i="80"/>
  <c r="AI12" i="47"/>
  <c r="AJ12" i="47" s="1"/>
  <c r="AK12" i="47" s="1"/>
  <c r="C42" i="47"/>
  <c r="D42" i="47" s="1"/>
  <c r="AI10" i="47"/>
  <c r="AA51" i="47"/>
  <c r="AB51" i="47" s="1"/>
  <c r="K66" i="47"/>
  <c r="AG15" i="47"/>
  <c r="AH15" i="47" s="1"/>
  <c r="C35" i="47"/>
  <c r="D35" i="47" s="1"/>
  <c r="F35" i="47" s="1"/>
  <c r="K44" i="47"/>
  <c r="W69" i="47"/>
  <c r="X69" i="47" s="1"/>
  <c r="Y69" i="47" s="1"/>
  <c r="E17" i="47"/>
  <c r="U69" i="47"/>
  <c r="V69" i="47" s="1"/>
  <c r="K69" i="47"/>
  <c r="AC61" i="47"/>
  <c r="AO19" i="83"/>
  <c r="AP19" i="83" s="1"/>
  <c r="AO16" i="48"/>
  <c r="AP16" i="48" s="1"/>
  <c r="I7" i="48"/>
  <c r="AA7" i="48"/>
  <c r="AG7" i="48"/>
  <c r="O7" i="48"/>
  <c r="AL7" i="48"/>
  <c r="AB108" i="44"/>
  <c r="AC108" i="44" s="1"/>
  <c r="AD108" i="44" s="1"/>
  <c r="X108" i="44"/>
  <c r="Y108" i="44" s="1"/>
  <c r="AM72" i="80"/>
  <c r="L72" i="80"/>
  <c r="M72" i="80" s="1"/>
  <c r="AM48" i="80"/>
  <c r="AO48" i="80" s="1"/>
  <c r="AP48" i="80" s="1"/>
  <c r="AC26" i="47"/>
  <c r="AG18" i="47"/>
  <c r="AH18" i="47" s="1"/>
  <c r="K63" i="47"/>
  <c r="K33" i="47"/>
  <c r="AA38" i="47"/>
  <c r="AB38" i="47" s="1"/>
  <c r="AD38" i="47" s="1"/>
  <c r="AE38" i="47" s="1"/>
  <c r="O9" i="47"/>
  <c r="W48" i="47"/>
  <c r="AN48" i="47" s="1"/>
  <c r="O19" i="47"/>
  <c r="P19" i="47" s="1"/>
  <c r="W57" i="47"/>
  <c r="X57" i="47" s="1"/>
  <c r="Y57" i="47" s="1"/>
  <c r="C23" i="47"/>
  <c r="O29" i="47"/>
  <c r="P29" i="47" s="1"/>
  <c r="K43" i="77"/>
  <c r="K45" i="77" s="1"/>
  <c r="K46" i="77" s="1"/>
  <c r="AC14" i="44"/>
  <c r="AD14" i="44" s="1"/>
  <c r="X36" i="83"/>
  <c r="Y36" i="83" s="1"/>
  <c r="X16" i="48"/>
  <c r="Y16" i="48" s="1"/>
  <c r="AN16" i="48"/>
  <c r="AN37" i="77"/>
  <c r="AO37" i="77" s="1"/>
  <c r="AP37" i="77" s="1"/>
  <c r="X14" i="44"/>
  <c r="Y14" i="44" s="1"/>
  <c r="AB14" i="44"/>
  <c r="Q16" i="46"/>
  <c r="R16" i="46" s="1"/>
  <c r="F16" i="46"/>
  <c r="G16" i="46" s="1"/>
  <c r="E28" i="44"/>
  <c r="K216" i="85"/>
  <c r="G11" i="89"/>
  <c r="K11" i="89" s="1"/>
  <c r="AN58" i="80"/>
  <c r="W43" i="77"/>
  <c r="F26" i="80"/>
  <c r="W27" i="77"/>
  <c r="AB32" i="44"/>
  <c r="AC32" i="44" s="1"/>
  <c r="AD32" i="44" s="1"/>
  <c r="X32" i="44"/>
  <c r="Y32" i="44" s="1"/>
  <c r="AO27" i="48"/>
  <c r="L9" i="87"/>
  <c r="AO19" i="80"/>
  <c r="X65" i="80"/>
  <c r="Y65" i="80" s="1"/>
  <c r="F59" i="44"/>
  <c r="G59" i="44" s="1"/>
  <c r="I36" i="89"/>
  <c r="AG62" i="47"/>
  <c r="AH62" i="47" s="1"/>
  <c r="AI39" i="47"/>
  <c r="AC18" i="47"/>
  <c r="AD18" i="47" s="1"/>
  <c r="AE18" i="47" s="1"/>
  <c r="AA41" i="47"/>
  <c r="AB41" i="47" s="1"/>
  <c r="AA57" i="47"/>
  <c r="AB57" i="47" s="1"/>
  <c r="AG11" i="47"/>
  <c r="AH11" i="47" s="1"/>
  <c r="AC33" i="47"/>
  <c r="I67" i="47"/>
  <c r="J67" i="47" s="1"/>
  <c r="AI26" i="47"/>
  <c r="AJ26" i="47" s="1"/>
  <c r="AK26" i="47" s="1"/>
  <c r="K41" i="47"/>
  <c r="AC57" i="47"/>
  <c r="AD57" i="47" s="1"/>
  <c r="AE57" i="47" s="1"/>
  <c r="AC27" i="47"/>
  <c r="AC35" i="47"/>
  <c r="AC70" i="47"/>
  <c r="C9" i="47"/>
  <c r="AG23" i="47"/>
  <c r="AH23" i="47" s="1"/>
  <c r="AI41" i="47"/>
  <c r="AJ41" i="47" s="1"/>
  <c r="AK41" i="47" s="1"/>
  <c r="C41" i="47"/>
  <c r="Q55" i="47"/>
  <c r="AN55" i="47" s="1"/>
  <c r="E49" i="47"/>
  <c r="E60" i="47"/>
  <c r="E21" i="47"/>
  <c r="E28" i="47"/>
  <c r="U35" i="47"/>
  <c r="V35" i="47" s="1"/>
  <c r="O47" i="47"/>
  <c r="P47" i="47" s="1"/>
  <c r="R47" i="47" s="1"/>
  <c r="S47" i="47" s="1"/>
  <c r="U53" i="47"/>
  <c r="V53" i="47" s="1"/>
  <c r="AI21" i="47"/>
  <c r="O68" i="47"/>
  <c r="P68" i="47" s="1"/>
  <c r="I46" i="47"/>
  <c r="J46" i="47" s="1"/>
  <c r="W46" i="47"/>
  <c r="E113" i="78"/>
  <c r="AN31" i="80"/>
  <c r="E27" i="45"/>
  <c r="Q22" i="46"/>
  <c r="R22" i="46" s="1"/>
  <c r="W7" i="44"/>
  <c r="F40" i="44"/>
  <c r="G40" i="44" s="1"/>
  <c r="AB40" i="44"/>
  <c r="AM25" i="48"/>
  <c r="F23" i="46"/>
  <c r="O23" i="46"/>
  <c r="G23" i="46"/>
  <c r="F31" i="77"/>
  <c r="G31" i="77" s="1"/>
  <c r="D20" i="89"/>
  <c r="D27" i="89" s="1"/>
  <c r="AN31" i="77"/>
  <c r="E41" i="46"/>
  <c r="F41" i="46" s="1"/>
  <c r="G41" i="46" s="1"/>
  <c r="F20" i="83"/>
  <c r="G20" i="83" s="1"/>
  <c r="AM20" i="83"/>
  <c r="AO20" i="83" s="1"/>
  <c r="AP20" i="83" s="1"/>
  <c r="AN27" i="48"/>
  <c r="L27" i="48"/>
  <c r="AC110" i="44"/>
  <c r="AD110" i="44"/>
  <c r="I7" i="46"/>
  <c r="N7" i="46"/>
  <c r="AN57" i="80"/>
  <c r="AO57" i="80" s="1"/>
  <c r="AP57" i="80" s="1"/>
  <c r="F57" i="80"/>
  <c r="G57" i="80" s="1"/>
  <c r="L17" i="48"/>
  <c r="M17" i="48" s="1"/>
  <c r="AN17" i="48"/>
  <c r="AO17" i="48" s="1"/>
  <c r="AP17" i="48" s="1"/>
  <c r="K30" i="48"/>
  <c r="R34" i="77"/>
  <c r="S34" i="77" s="1"/>
  <c r="F20" i="89"/>
  <c r="K20" i="89" s="1"/>
  <c r="L18" i="83"/>
  <c r="M18" i="83" s="1"/>
  <c r="AM18" i="83"/>
  <c r="AO18" i="83" s="1"/>
  <c r="AP18" i="83" s="1"/>
  <c r="AN23" i="48"/>
  <c r="AO23" i="48" s="1"/>
  <c r="AP23" i="48" s="1"/>
  <c r="X23" i="48"/>
  <c r="Y23" i="48" s="1"/>
  <c r="F32" i="77"/>
  <c r="G32" i="77" s="1"/>
  <c r="AM32" i="77"/>
  <c r="AO32" i="77" s="1"/>
  <c r="AP32" i="77" s="1"/>
  <c r="X41" i="44"/>
  <c r="Y41" i="44" s="1"/>
  <c r="AN50" i="80"/>
  <c r="R50" i="80"/>
  <c r="S50" i="80" s="1"/>
  <c r="Q18" i="45"/>
  <c r="R18" i="45"/>
  <c r="W28" i="44"/>
  <c r="W127" i="44" s="1"/>
  <c r="F22" i="44"/>
  <c r="G22" i="44"/>
  <c r="AA22" i="44"/>
  <c r="W125" i="44"/>
  <c r="X125" i="44" s="1"/>
  <c r="Y125" i="44" s="1"/>
  <c r="AO49" i="80"/>
  <c r="AP49" i="80" s="1"/>
  <c r="P35" i="45"/>
  <c r="Q35" i="45" s="1"/>
  <c r="R35" i="45" s="1"/>
  <c r="L35" i="45"/>
  <c r="M35" i="45" s="1"/>
  <c r="AB97" i="44"/>
  <c r="AC97" i="44" s="1"/>
  <c r="F23" i="80"/>
  <c r="G23" i="80" s="1"/>
  <c r="AM23" i="80"/>
  <c r="AO23" i="80" s="1"/>
  <c r="AP23" i="80" s="1"/>
  <c r="AO15" i="83"/>
  <c r="AP15" i="83"/>
  <c r="F22" i="46"/>
  <c r="G22" i="46" s="1"/>
  <c r="O41" i="46"/>
  <c r="L19" i="45"/>
  <c r="M19" i="45" s="1"/>
  <c r="P19" i="45"/>
  <c r="Q19" i="45" s="1"/>
  <c r="R19" i="45" s="1"/>
  <c r="X23" i="44"/>
  <c r="Y23" i="44" s="1"/>
  <c r="AB23" i="44"/>
  <c r="AC23" i="44" s="1"/>
  <c r="AD23" i="44" s="1"/>
  <c r="D22" i="89"/>
  <c r="AN23" i="77"/>
  <c r="AO23" i="77" s="1"/>
  <c r="V39" i="48"/>
  <c r="X39" i="48" s="1"/>
  <c r="Y39" i="48" s="1"/>
  <c r="U41" i="48"/>
  <c r="V41" i="48" s="1"/>
  <c r="AJ39" i="48"/>
  <c r="AK39" i="48" s="1"/>
  <c r="X119" i="44"/>
  <c r="Y119" i="44" s="1"/>
  <c r="AB119" i="44"/>
  <c r="AN18" i="48"/>
  <c r="R18" i="48"/>
  <c r="S18" i="48" s="1"/>
  <c r="Q29" i="46"/>
  <c r="R29" i="46" s="1"/>
  <c r="AB123" i="44"/>
  <c r="AC10" i="47"/>
  <c r="AD10" i="47" s="1"/>
  <c r="AE10" i="47" s="1"/>
  <c r="AI46" i="47"/>
  <c r="AJ46" i="47" s="1"/>
  <c r="AC49" i="47"/>
  <c r="AD49" i="47" s="1"/>
  <c r="AC16" i="47"/>
  <c r="AG45" i="47"/>
  <c r="AH45" i="47" s="1"/>
  <c r="AG28" i="47"/>
  <c r="AH28" i="47" s="1"/>
  <c r="W9" i="47"/>
  <c r="AI35" i="47"/>
  <c r="AJ35" i="47" s="1"/>
  <c r="AK35" i="47" s="1"/>
  <c r="AC52" i="47"/>
  <c r="AD52" i="47" s="1"/>
  <c r="AE52" i="47" s="1"/>
  <c r="AA14" i="47"/>
  <c r="AB14" i="47" s="1"/>
  <c r="Q68" i="47"/>
  <c r="R68" i="47" s="1"/>
  <c r="S68" i="47" s="1"/>
  <c r="AO37" i="48"/>
  <c r="AP37" i="48" s="1"/>
  <c r="AO31" i="77"/>
  <c r="AP31" i="77" s="1"/>
  <c r="F9" i="80"/>
  <c r="G9" i="80"/>
  <c r="AM33" i="80"/>
  <c r="AO33" i="80" s="1"/>
  <c r="AP33" i="80" s="1"/>
  <c r="F33" i="80"/>
  <c r="G33" i="80" s="1"/>
  <c r="AO18" i="80"/>
  <c r="AP18" i="80" s="1"/>
  <c r="AA107" i="44"/>
  <c r="AC107" i="44" s="1"/>
  <c r="AD107" i="44" s="1"/>
  <c r="X107" i="44"/>
  <c r="Y107" i="44" s="1"/>
  <c r="AK37" i="48"/>
  <c r="AJ37" i="48"/>
  <c r="L30" i="77"/>
  <c r="AN30" i="77"/>
  <c r="E18" i="89"/>
  <c r="E27" i="89" s="1"/>
  <c r="E28" i="89" s="1"/>
  <c r="F44" i="44"/>
  <c r="G44" i="44" s="1"/>
  <c r="AA44" i="44"/>
  <c r="AC44" i="44" s="1"/>
  <c r="AD44" i="44" s="1"/>
  <c r="F29" i="46"/>
  <c r="G29" i="46" s="1"/>
  <c r="F13" i="89"/>
  <c r="R17" i="77"/>
  <c r="S17" i="77" s="1"/>
  <c r="E16" i="89"/>
  <c r="L22" i="77"/>
  <c r="M22" i="77" s="1"/>
  <c r="AN28" i="48"/>
  <c r="AO28" i="48" s="1"/>
  <c r="AP28" i="48" s="1"/>
  <c r="L38" i="44"/>
  <c r="M38" i="44" s="1"/>
  <c r="AM70" i="80"/>
  <c r="AO70" i="80" s="1"/>
  <c r="AP70" i="80" s="1"/>
  <c r="AL39" i="48"/>
  <c r="K67" i="47"/>
  <c r="AA39" i="47"/>
  <c r="AB39" i="47" s="1"/>
  <c r="AA70" i="47"/>
  <c r="AB70" i="47" s="1"/>
  <c r="AC14" i="47"/>
  <c r="AD14" i="47" s="1"/>
  <c r="AE14" i="47" s="1"/>
  <c r="AC21" i="47"/>
  <c r="AD21" i="47" s="1"/>
  <c r="AE21" i="47" s="1"/>
  <c r="AA29" i="47"/>
  <c r="AB29" i="47" s="1"/>
  <c r="I42" i="47"/>
  <c r="J42" i="47" s="1"/>
  <c r="AM42" i="47" s="1"/>
  <c r="E15" i="47"/>
  <c r="W65" i="47"/>
  <c r="K44" i="45"/>
  <c r="AO19" i="48"/>
  <c r="AP19" i="48" s="1"/>
  <c r="AO36" i="77"/>
  <c r="AP36" i="77" s="1"/>
  <c r="P7" i="45"/>
  <c r="K7" i="45"/>
  <c r="X103" i="44"/>
  <c r="Y103" i="44" s="1"/>
  <c r="AB103" i="44"/>
  <c r="AC103" i="44" s="1"/>
  <c r="AD103" i="44" s="1"/>
  <c r="AA118" i="44"/>
  <c r="AC118" i="44" s="1"/>
  <c r="AD118" i="44" s="1"/>
  <c r="X118" i="44"/>
  <c r="Y118" i="44" s="1"/>
  <c r="AA86" i="44"/>
  <c r="AC86" i="44" s="1"/>
  <c r="AD86" i="44" s="1"/>
  <c r="L86" i="44"/>
  <c r="M86" i="44" s="1"/>
  <c r="AO15" i="77"/>
  <c r="AP15" i="77" s="1"/>
  <c r="F15" i="46"/>
  <c r="G15" i="46" s="1"/>
  <c r="P15" i="46"/>
  <c r="Q15" i="46" s="1"/>
  <c r="R15" i="46" s="1"/>
  <c r="AJ32" i="83"/>
  <c r="AJ36" i="83" s="1"/>
  <c r="AK36" i="83" s="1"/>
  <c r="Z28" i="44"/>
  <c r="E43" i="77"/>
  <c r="D31" i="80"/>
  <c r="F31" i="80" s="1"/>
  <c r="I41" i="48"/>
  <c r="I42" i="48" s="1"/>
  <c r="AG41" i="47"/>
  <c r="AH41" i="47" s="1"/>
  <c r="C68" i="47"/>
  <c r="AG47" i="47"/>
  <c r="AH47" i="47" s="1"/>
  <c r="AI64" i="47"/>
  <c r="AJ64" i="47" s="1"/>
  <c r="AG14" i="47"/>
  <c r="AH14" i="47" s="1"/>
  <c r="W41" i="47"/>
  <c r="X41" i="47" s="1"/>
  <c r="Y41" i="47" s="1"/>
  <c r="AI58" i="47"/>
  <c r="E16" i="47"/>
  <c r="AN16" i="47" s="1"/>
  <c r="I18" i="47"/>
  <c r="J18" i="47" s="1"/>
  <c r="I45" i="47"/>
  <c r="J45" i="47" s="1"/>
  <c r="E55" i="47"/>
  <c r="K47" i="47"/>
  <c r="X21" i="44"/>
  <c r="Y21" i="44" s="1"/>
  <c r="AN22" i="77"/>
  <c r="AO22" i="77" s="1"/>
  <c r="AP22" i="77" s="1"/>
  <c r="AO74" i="80"/>
  <c r="AP74" i="80" s="1"/>
  <c r="D36" i="89"/>
  <c r="K27" i="77"/>
  <c r="K83" i="80"/>
  <c r="E66" i="47"/>
  <c r="AA13" i="47"/>
  <c r="AB13" i="47" s="1"/>
  <c r="AI59" i="47"/>
  <c r="AC45" i="47"/>
  <c r="AA50" i="47"/>
  <c r="AB50" i="47" s="1"/>
  <c r="AI36" i="47"/>
  <c r="AA43" i="47"/>
  <c r="AB43" i="47" s="1"/>
  <c r="U40" i="47"/>
  <c r="V40" i="47" s="1"/>
  <c r="Q13" i="47"/>
  <c r="O13" i="47"/>
  <c r="P13" i="47" s="1"/>
  <c r="I59" i="47"/>
  <c r="J59" i="47" s="1"/>
  <c r="W53" i="47"/>
  <c r="C43" i="47"/>
  <c r="AC54" i="47"/>
  <c r="AD54" i="47" s="1"/>
  <c r="Q46" i="47"/>
  <c r="AO50" i="80"/>
  <c r="AP50" i="80" s="1"/>
  <c r="L20" i="48"/>
  <c r="M20" i="48" s="1"/>
  <c r="E853" i="94"/>
  <c r="J16" i="89"/>
  <c r="W81" i="80"/>
  <c r="AA83" i="80"/>
  <c r="K7" i="44"/>
  <c r="AD31" i="80"/>
  <c r="AE31" i="80" s="1"/>
  <c r="Q41" i="45"/>
  <c r="R41" i="45" s="1"/>
  <c r="Q7" i="44"/>
  <c r="E44" i="45"/>
  <c r="F18" i="44"/>
  <c r="G18" i="44" s="1"/>
  <c r="R15" i="48"/>
  <c r="S15" i="48" s="1"/>
  <c r="AN15" i="48"/>
  <c r="AO15" i="48" s="1"/>
  <c r="AP15" i="48" s="1"/>
  <c r="F30" i="48"/>
  <c r="G30" i="48" s="1"/>
  <c r="G21" i="92"/>
  <c r="K27" i="45"/>
  <c r="L39" i="45"/>
  <c r="M39" i="45" s="1"/>
  <c r="P39" i="45"/>
  <c r="Q39" i="45" s="1"/>
  <c r="R39" i="45" s="1"/>
  <c r="L11" i="45"/>
  <c r="M11" i="45" s="1"/>
  <c r="P11" i="45"/>
  <c r="AO36" i="48"/>
  <c r="AP36" i="48" s="1"/>
  <c r="AN25" i="48"/>
  <c r="AO26" i="80"/>
  <c r="AN16" i="77"/>
  <c r="F14" i="89"/>
  <c r="X92" i="44"/>
  <c r="Y92" i="44" s="1"/>
  <c r="AB92" i="44"/>
  <c r="AC92" i="44" s="1"/>
  <c r="AD92" i="44" s="1"/>
  <c r="Q125" i="44"/>
  <c r="AA16" i="44"/>
  <c r="AD109" i="44"/>
  <c r="X109" i="44"/>
  <c r="Y109" i="44" s="1"/>
  <c r="E31" i="80"/>
  <c r="AD19" i="83"/>
  <c r="AE19" i="83" s="1"/>
  <c r="F34" i="45"/>
  <c r="G34" i="45" s="1"/>
  <c r="P34" i="45"/>
  <c r="Q34" i="45" s="1"/>
  <c r="R34" i="45" s="1"/>
  <c r="AB36" i="44"/>
  <c r="AC36" i="44" s="1"/>
  <c r="AD36" i="44" s="1"/>
  <c r="F36" i="44"/>
  <c r="G36" i="44" s="1"/>
  <c r="M33" i="46"/>
  <c r="AM10" i="87"/>
  <c r="AO10" i="87" s="1"/>
  <c r="AP10" i="87" s="1"/>
  <c r="AJ10" i="87"/>
  <c r="AJ14" i="87" s="1"/>
  <c r="AK10" i="87"/>
  <c r="AN6" i="48"/>
  <c r="AC6" i="48"/>
  <c r="K6" i="46"/>
  <c r="P6" i="46"/>
  <c r="L7" i="45"/>
  <c r="Q7" i="45"/>
  <c r="AO32" i="83"/>
  <c r="AP32" i="83" s="1"/>
  <c r="Q6" i="44"/>
  <c r="W6" i="44"/>
  <c r="J7" i="45"/>
  <c r="O7" i="45"/>
  <c r="P7" i="44"/>
  <c r="J7" i="44"/>
  <c r="V7" i="44"/>
  <c r="AA7" i="44"/>
  <c r="AB30" i="48"/>
  <c r="AD30" i="48" s="1"/>
  <c r="AE30" i="48" s="1"/>
  <c r="AA41" i="48"/>
  <c r="AB41" i="48" s="1"/>
  <c r="F10" i="83"/>
  <c r="G10" i="83" s="1"/>
  <c r="AM10" i="83"/>
  <c r="AO10" i="83" s="1"/>
  <c r="AP10" i="83" s="1"/>
  <c r="D36" i="83"/>
  <c r="X111" i="44"/>
  <c r="Y111" i="44" s="1"/>
  <c r="AM39" i="48"/>
  <c r="K789" i="79"/>
  <c r="E222" i="85"/>
  <c r="AH30" i="48"/>
  <c r="AG41" i="48"/>
  <c r="AH41" i="48" s="1"/>
  <c r="AJ41" i="48" s="1"/>
  <c r="AK41" i="48" s="1"/>
  <c r="AL30" i="48"/>
  <c r="R7" i="48"/>
  <c r="AD7" i="48"/>
  <c r="AJ7" i="48"/>
  <c r="L7" i="48"/>
  <c r="X7" i="48"/>
  <c r="AO7" i="48"/>
  <c r="AN9" i="77"/>
  <c r="F8" i="89"/>
  <c r="Q27" i="77"/>
  <c r="U47" i="47"/>
  <c r="V47" i="47" s="1"/>
  <c r="Q49" i="47"/>
  <c r="C40" i="47"/>
  <c r="D40" i="47" s="1"/>
  <c r="U39" i="47"/>
  <c r="V39" i="47" s="1"/>
  <c r="O18" i="47"/>
  <c r="P18" i="47" s="1"/>
  <c r="R18" i="47" s="1"/>
  <c r="S18" i="47" s="1"/>
  <c r="E51" i="47"/>
  <c r="U60" i="47"/>
  <c r="V60" i="47" s="1"/>
  <c r="U27" i="47"/>
  <c r="V27" i="47" s="1"/>
  <c r="O43" i="47"/>
  <c r="P43" i="47" s="1"/>
  <c r="C28" i="47"/>
  <c r="AL28" i="47" s="1"/>
  <c r="K18" i="47"/>
  <c r="W21" i="47"/>
  <c r="I69" i="47"/>
  <c r="J69" i="47" s="1"/>
  <c r="L69" i="47" s="1"/>
  <c r="M69" i="47" s="1"/>
  <c r="C49" i="47"/>
  <c r="K35" i="47"/>
  <c r="W28" i="47"/>
  <c r="E22" i="47"/>
  <c r="K13" i="47"/>
  <c r="L13" i="47" s="1"/>
  <c r="M13" i="47" s="1"/>
  <c r="W70" i="47"/>
  <c r="Q43" i="47"/>
  <c r="R43" i="47" s="1"/>
  <c r="S43" i="47" s="1"/>
  <c r="E37" i="47"/>
  <c r="AN37" i="47" s="1"/>
  <c r="Q10" i="47"/>
  <c r="C46" i="47"/>
  <c r="U56" i="47"/>
  <c r="V56" i="47" s="1"/>
  <c r="O20" i="47"/>
  <c r="P20" i="47" s="1"/>
  <c r="C17" i="47"/>
  <c r="AL17" i="47" s="1"/>
  <c r="Q29" i="47"/>
  <c r="R29" i="47" s="1"/>
  <c r="U23" i="47"/>
  <c r="V23" i="47" s="1"/>
  <c r="Q67" i="47"/>
  <c r="F34" i="89" s="1"/>
  <c r="I40" i="47"/>
  <c r="J40" i="47" s="1"/>
  <c r="E36" i="47"/>
  <c r="O27" i="47"/>
  <c r="P27" i="47" s="1"/>
  <c r="W22" i="47"/>
  <c r="C16" i="47"/>
  <c r="Q22" i="47"/>
  <c r="R22" i="47" s="1"/>
  <c r="S22" i="47" s="1"/>
  <c r="O37" i="47"/>
  <c r="P37" i="47" s="1"/>
  <c r="C50" i="47"/>
  <c r="D50" i="47" s="1"/>
  <c r="AC53" i="47"/>
  <c r="O44" i="47"/>
  <c r="P44" i="47" s="1"/>
  <c r="C18" i="47"/>
  <c r="C24" i="47"/>
  <c r="I51" i="47"/>
  <c r="J51" i="47" s="1"/>
  <c r="U61" i="47"/>
  <c r="V61" i="47" s="1"/>
  <c r="Q39" i="47"/>
  <c r="K25" i="47"/>
  <c r="I12" i="47"/>
  <c r="J12" i="47" s="1"/>
  <c r="U66" i="47"/>
  <c r="V66" i="47" s="1"/>
  <c r="O57" i="47"/>
  <c r="P57" i="47" s="1"/>
  <c r="E43" i="47"/>
  <c r="Q23" i="47"/>
  <c r="R23" i="47" s="1"/>
  <c r="S23" i="47" s="1"/>
  <c r="K24" i="47"/>
  <c r="L24" i="47" s="1"/>
  <c r="M24" i="47" s="1"/>
  <c r="I20" i="47"/>
  <c r="J20" i="47" s="1"/>
  <c r="K29" i="47"/>
  <c r="AN29" i="47" s="1"/>
  <c r="U33" i="47"/>
  <c r="W63" i="47"/>
  <c r="AI60" i="47"/>
  <c r="U63" i="47"/>
  <c r="V63" i="47" s="1"/>
  <c r="AA36" i="47"/>
  <c r="AB36" i="47" s="1"/>
  <c r="AI61" i="47"/>
  <c r="I33" i="89" s="1"/>
  <c r="AG49" i="47"/>
  <c r="AH49" i="47" s="1"/>
  <c r="AI33" i="47"/>
  <c r="AI72" i="47" s="1"/>
  <c r="I68" i="47"/>
  <c r="J68" i="47" s="1"/>
  <c r="AI70" i="47"/>
  <c r="AI44" i="47"/>
  <c r="AI69" i="47"/>
  <c r="AG44" i="47"/>
  <c r="AH44" i="47" s="1"/>
  <c r="Q34" i="47"/>
  <c r="R34" i="47" s="1"/>
  <c r="S34" i="47" s="1"/>
  <c r="K27" i="47"/>
  <c r="U22" i="47"/>
  <c r="V22" i="47" s="1"/>
  <c r="X22" i="47" s="1"/>
  <c r="Y22" i="47" s="1"/>
  <c r="Q48" i="47"/>
  <c r="C59" i="47"/>
  <c r="O14" i="47"/>
  <c r="P14" i="47" s="1"/>
  <c r="W47" i="47"/>
  <c r="X47" i="47" s="1"/>
  <c r="Y47" i="47" s="1"/>
  <c r="C64" i="47"/>
  <c r="D64" i="47" s="1"/>
  <c r="K50" i="47"/>
  <c r="AN50" i="47" s="1"/>
  <c r="O21" i="47"/>
  <c r="P21" i="47" s="1"/>
  <c r="O10" i="47"/>
  <c r="P10" i="47" s="1"/>
  <c r="R10" i="47" s="1"/>
  <c r="S10" i="47" s="1"/>
  <c r="E57" i="47"/>
  <c r="W20" i="47"/>
  <c r="O63" i="47"/>
  <c r="P63" i="47" s="1"/>
  <c r="C11" i="47"/>
  <c r="I61" i="47"/>
  <c r="J61" i="47" s="1"/>
  <c r="W24" i="47"/>
  <c r="U37" i="47"/>
  <c r="V37" i="47" s="1"/>
  <c r="Q56" i="47"/>
  <c r="Q11" i="47"/>
  <c r="K17" i="47"/>
  <c r="U44" i="47"/>
  <c r="V44" i="47" s="1"/>
  <c r="Q21" i="47"/>
  <c r="K51" i="47"/>
  <c r="L51" i="47" s="1"/>
  <c r="E40" i="47"/>
  <c r="U49" i="47"/>
  <c r="V49" i="47" s="1"/>
  <c r="Q63" i="47"/>
  <c r="R63" i="47" s="1"/>
  <c r="S63" i="47" s="1"/>
  <c r="K11" i="47"/>
  <c r="I11" i="47"/>
  <c r="J11" i="47" s="1"/>
  <c r="W37" i="47"/>
  <c r="I38" i="47"/>
  <c r="J38" i="47" s="1"/>
  <c r="K21" i="47"/>
  <c r="L21" i="47" s="1"/>
  <c r="M21" i="47" s="1"/>
  <c r="O66" i="47"/>
  <c r="P66" i="47" s="1"/>
  <c r="R66" i="47" s="1"/>
  <c r="C60" i="47"/>
  <c r="K15" i="47"/>
  <c r="L15" i="47" s="1"/>
  <c r="M15" i="47" s="1"/>
  <c r="U20" i="47"/>
  <c r="V20" i="47" s="1"/>
  <c r="U15" i="47"/>
  <c r="V15" i="47" s="1"/>
  <c r="E14" i="47"/>
  <c r="K59" i="47"/>
  <c r="U29" i="47"/>
  <c r="V29" i="47" s="1"/>
  <c r="O22" i="47"/>
  <c r="P22" i="47" s="1"/>
  <c r="E70" i="47"/>
  <c r="Q44" i="47"/>
  <c r="I58" i="47"/>
  <c r="J58" i="47" s="1"/>
  <c r="I65" i="47"/>
  <c r="J65" i="47" s="1"/>
  <c r="U24" i="47"/>
  <c r="V24" i="47" s="1"/>
  <c r="E46" i="47"/>
  <c r="C52" i="47"/>
  <c r="AL52" i="47" s="1"/>
  <c r="K36" i="47"/>
  <c r="L36" i="47" s="1"/>
  <c r="M36" i="47" s="1"/>
  <c r="Q35" i="47"/>
  <c r="K16" i="47"/>
  <c r="U64" i="47"/>
  <c r="V64" i="47" s="1"/>
  <c r="C66" i="47"/>
  <c r="AG68" i="47"/>
  <c r="AH68" i="47" s="1"/>
  <c r="AG26" i="47"/>
  <c r="AH26" i="47" s="1"/>
  <c r="AC58" i="47"/>
  <c r="AD58" i="47" s="1"/>
  <c r="AE58" i="47" s="1"/>
  <c r="AA69" i="47"/>
  <c r="AB69" i="47" s="1"/>
  <c r="AE69" i="47" s="1"/>
  <c r="AA35" i="47"/>
  <c r="AB35" i="47" s="1"/>
  <c r="AD35" i="47" s="1"/>
  <c r="AE35" i="47" s="1"/>
  <c r="AI37" i="47"/>
  <c r="AJ37" i="47" s="1"/>
  <c r="AK37" i="47" s="1"/>
  <c r="AC62" i="47"/>
  <c r="AG25" i="47"/>
  <c r="AH25" i="47" s="1"/>
  <c r="AI42" i="47"/>
  <c r="W42" i="47"/>
  <c r="K42" i="47"/>
  <c r="AN42" i="47" s="1"/>
  <c r="U42" i="47"/>
  <c r="V42" i="47" s="1"/>
  <c r="X42" i="47" s="1"/>
  <c r="Y42" i="47" s="1"/>
  <c r="I41" i="47"/>
  <c r="J41" i="47" s="1"/>
  <c r="L41" i="47" s="1"/>
  <c r="M41" i="47" s="1"/>
  <c r="AC67" i="47"/>
  <c r="H34" i="89" s="1"/>
  <c r="AI56" i="47"/>
  <c r="AJ56" i="47" s="1"/>
  <c r="AK56" i="47" s="1"/>
  <c r="AG39" i="47"/>
  <c r="AH39" i="47" s="1"/>
  <c r="AA42" i="47"/>
  <c r="AB42" i="47" s="1"/>
  <c r="AG35" i="47"/>
  <c r="AH35" i="47" s="1"/>
  <c r="AG33" i="47"/>
  <c r="AH33" i="47" s="1"/>
  <c r="AH72" i="47" s="1"/>
  <c r="AC23" i="47"/>
  <c r="O42" i="47"/>
  <c r="P42" i="47" s="1"/>
  <c r="I34" i="47"/>
  <c r="J34" i="47" s="1"/>
  <c r="AG34" i="47"/>
  <c r="AH34" i="47" s="1"/>
  <c r="AG66" i="47"/>
  <c r="AH66" i="47" s="1"/>
  <c r="AC24" i="47"/>
  <c r="AI52" i="47"/>
  <c r="AA9" i="47"/>
  <c r="AI13" i="47"/>
  <c r="AJ13" i="47" s="1"/>
  <c r="AK13" i="47" s="1"/>
  <c r="AI48" i="47"/>
  <c r="K64" i="47"/>
  <c r="AN64" i="47" s="1"/>
  <c r="AI19" i="47"/>
  <c r="AC64" i="47"/>
  <c r="AD64" i="47" s="1"/>
  <c r="AI51" i="47"/>
  <c r="AG55" i="47"/>
  <c r="AH55" i="47" s="1"/>
  <c r="AC13" i="47"/>
  <c r="AD13" i="47" s="1"/>
  <c r="AE13" i="47" s="1"/>
  <c r="AG20" i="47"/>
  <c r="AH20" i="47" s="1"/>
  <c r="AJ20" i="47" s="1"/>
  <c r="AK20" i="47" s="1"/>
  <c r="C33" i="47"/>
  <c r="AA20" i="47"/>
  <c r="AB20" i="47" s="1"/>
  <c r="AD20" i="47" s="1"/>
  <c r="AE20" i="47" s="1"/>
  <c r="K54" i="47"/>
  <c r="L54" i="47" s="1"/>
  <c r="AC34" i="47"/>
  <c r="AI45" i="47"/>
  <c r="AJ45" i="47" s="1"/>
  <c r="AK45" i="47" s="1"/>
  <c r="K34" i="47"/>
  <c r="AA11" i="47"/>
  <c r="AB11" i="47" s="1"/>
  <c r="I66" i="47"/>
  <c r="J66" i="47" s="1"/>
  <c r="L66" i="47" s="1"/>
  <c r="M66" i="47" s="1"/>
  <c r="W23" i="47"/>
  <c r="Q15" i="47"/>
  <c r="R15" i="47" s="1"/>
  <c r="S15" i="47" s="1"/>
  <c r="K20" i="47"/>
  <c r="W16" i="47"/>
  <c r="K37" i="47"/>
  <c r="E35" i="47"/>
  <c r="U46" i="47"/>
  <c r="V46" i="47" s="1"/>
  <c r="X46" i="47" s="1"/>
  <c r="Y46" i="47" s="1"/>
  <c r="W13" i="47"/>
  <c r="O28" i="47"/>
  <c r="P28" i="47" s="1"/>
  <c r="E12" i="47"/>
  <c r="I55" i="47"/>
  <c r="J55" i="47" s="1"/>
  <c r="W50" i="47"/>
  <c r="I16" i="47"/>
  <c r="J16" i="47" s="1"/>
  <c r="I29" i="47"/>
  <c r="J29" i="47" s="1"/>
  <c r="AA61" i="47"/>
  <c r="AB61" i="47" s="1"/>
  <c r="AE61" i="47" s="1"/>
  <c r="U11" i="47"/>
  <c r="V11" i="47" s="1"/>
  <c r="E62" i="47"/>
  <c r="W61" i="47"/>
  <c r="G33" i="89" s="1"/>
  <c r="W51" i="47"/>
  <c r="C27" i="47"/>
  <c r="K48" i="47"/>
  <c r="K45" i="47"/>
  <c r="K19" i="47"/>
  <c r="U43" i="47"/>
  <c r="V43" i="47" s="1"/>
  <c r="O58" i="47"/>
  <c r="P58" i="47" s="1"/>
  <c r="E61" i="47"/>
  <c r="D33" i="89" s="1"/>
  <c r="U36" i="47"/>
  <c r="V36" i="47" s="1"/>
  <c r="U13" i="47"/>
  <c r="V13" i="47" s="1"/>
  <c r="Q60" i="47"/>
  <c r="C26" i="47"/>
  <c r="I10" i="47"/>
  <c r="J10" i="47" s="1"/>
  <c r="Q19" i="47"/>
  <c r="AN19" i="47" s="1"/>
  <c r="O59" i="47"/>
  <c r="P59" i="47" s="1"/>
  <c r="E54" i="47"/>
  <c r="AN54" i="47" s="1"/>
  <c r="W56" i="47"/>
  <c r="X56" i="47" s="1"/>
  <c r="I35" i="47"/>
  <c r="J35" i="47" s="1"/>
  <c r="I28" i="47"/>
  <c r="J28" i="47" s="1"/>
  <c r="W59" i="47"/>
  <c r="O26" i="47"/>
  <c r="P26" i="47" s="1"/>
  <c r="R26" i="47" s="1"/>
  <c r="S26" i="47" s="1"/>
  <c r="C57" i="47"/>
  <c r="D57" i="47" s="1"/>
  <c r="E59" i="47"/>
  <c r="AN59" i="47" s="1"/>
  <c r="K38" i="47"/>
  <c r="L38" i="47" s="1"/>
  <c r="M38" i="47" s="1"/>
  <c r="W29" i="47"/>
  <c r="C21" i="47"/>
  <c r="I22" i="47"/>
  <c r="J22" i="47" s="1"/>
  <c r="C12" i="47"/>
  <c r="U48" i="47"/>
  <c r="V48" i="47" s="1"/>
  <c r="Q50" i="47"/>
  <c r="R50" i="47" s="1"/>
  <c r="K65" i="47"/>
  <c r="L65" i="47" s="1"/>
  <c r="M65" i="47" s="1"/>
  <c r="Q16" i="47"/>
  <c r="K10" i="47"/>
  <c r="K26" i="47"/>
  <c r="Q25" i="47"/>
  <c r="U9" i="47"/>
  <c r="E34" i="47"/>
  <c r="AA12" i="47"/>
  <c r="AB12" i="47" s="1"/>
  <c r="AC17" i="47"/>
  <c r="AG24" i="47"/>
  <c r="AH24" i="47" s="1"/>
  <c r="AK24" i="47" s="1"/>
  <c r="AI40" i="47"/>
  <c r="AG57" i="47"/>
  <c r="AH57" i="47" s="1"/>
  <c r="AC9" i="47"/>
  <c r="AC47" i="47"/>
  <c r="AA23" i="47"/>
  <c r="AB23" i="47" s="1"/>
  <c r="AI22" i="47"/>
  <c r="W60" i="47"/>
  <c r="X60" i="47" s="1"/>
  <c r="Q65" i="47"/>
  <c r="C47" i="47"/>
  <c r="W40" i="47"/>
  <c r="W27" i="47"/>
  <c r="X27" i="47" s="1"/>
  <c r="E11" i="47"/>
  <c r="Q52" i="47"/>
  <c r="AN52" i="47" s="1"/>
  <c r="E18" i="47"/>
  <c r="K58" i="47"/>
  <c r="W25" i="47"/>
  <c r="X25" i="47" s="1"/>
  <c r="Y25" i="47" s="1"/>
  <c r="Q47" i="47"/>
  <c r="E45" i="47"/>
  <c r="U65" i="47"/>
  <c r="V65" i="47" s="1"/>
  <c r="X65" i="47" s="1"/>
  <c r="Y65" i="47" s="1"/>
  <c r="O64" i="47"/>
  <c r="P64" i="47" s="1"/>
  <c r="O49" i="47"/>
  <c r="P49" i="47" s="1"/>
  <c r="E10" i="47"/>
  <c r="E31" i="47" s="1"/>
  <c r="I52" i="47"/>
  <c r="J52" i="47" s="1"/>
  <c r="W62" i="47"/>
  <c r="X62" i="47" s="1"/>
  <c r="Y62" i="47" s="1"/>
  <c r="Q40" i="47"/>
  <c r="E38" i="47"/>
  <c r="W43" i="47"/>
  <c r="E27" i="47"/>
  <c r="AN27" i="47" s="1"/>
  <c r="K23" i="47"/>
  <c r="L23" i="47" s="1"/>
  <c r="M23" i="47" s="1"/>
  <c r="W38" i="47"/>
  <c r="X38" i="47" s="1"/>
  <c r="Y38" i="47" s="1"/>
  <c r="O16" i="47"/>
  <c r="P16" i="47" s="1"/>
  <c r="E58" i="47"/>
  <c r="F58" i="47" s="1"/>
  <c r="G58" i="47" s="1"/>
  <c r="C38" i="47"/>
  <c r="Q20" i="47"/>
  <c r="U14" i="47"/>
  <c r="V14" i="47" s="1"/>
  <c r="C54" i="47"/>
  <c r="I19" i="47"/>
  <c r="J19" i="47" s="1"/>
  <c r="K70" i="47"/>
  <c r="AN70" i="47" s="1"/>
  <c r="U18" i="47"/>
  <c r="V18" i="47" s="1"/>
  <c r="O12" i="47"/>
  <c r="P12" i="47" s="1"/>
  <c r="S12" i="47" s="1"/>
  <c r="K60" i="47"/>
  <c r="W18" i="47"/>
  <c r="C65" i="47"/>
  <c r="Q37" i="47"/>
  <c r="R37" i="47" s="1"/>
  <c r="S37" i="47" s="1"/>
  <c r="I13" i="47"/>
  <c r="J13" i="47" s="1"/>
  <c r="K68" i="47"/>
  <c r="L68" i="47" s="1"/>
  <c r="M68" i="47" s="1"/>
  <c r="AC22" i="47"/>
  <c r="AD22" i="47" s="1"/>
  <c r="AE22" i="47" s="1"/>
  <c r="AC41" i="47"/>
  <c r="AD41" i="47" s="1"/>
  <c r="AE41" i="47" s="1"/>
  <c r="AI67" i="47"/>
  <c r="AG17" i="47"/>
  <c r="AH17" i="47" s="1"/>
  <c r="AC19" i="47"/>
  <c r="AI50" i="47"/>
  <c r="AJ50" i="47" s="1"/>
  <c r="AK50" i="47" s="1"/>
  <c r="AC11" i="47"/>
  <c r="AD11" i="47" s="1"/>
  <c r="AE11" i="47" s="1"/>
  <c r="E68" i="47"/>
  <c r="AN68" i="47" s="1"/>
  <c r="AC59" i="47"/>
  <c r="AI49" i="47"/>
  <c r="AJ49" i="47" s="1"/>
  <c r="AK49" i="47" s="1"/>
  <c r="AA55" i="47"/>
  <c r="AB55" i="47" s="1"/>
  <c r="W45" i="47"/>
  <c r="C69" i="47"/>
  <c r="U21" i="47"/>
  <c r="V21" i="47" s="1"/>
  <c r="O70" i="47"/>
  <c r="P70" i="47" s="1"/>
  <c r="S70" i="47" s="1"/>
  <c r="E25" i="47"/>
  <c r="AN25" i="47" s="1"/>
  <c r="I14" i="47"/>
  <c r="J14" i="47" s="1"/>
  <c r="U34" i="47"/>
  <c r="V34" i="47" s="1"/>
  <c r="Q36" i="47"/>
  <c r="I23" i="47"/>
  <c r="J23" i="47" s="1"/>
  <c r="W39" i="47"/>
  <c r="O52" i="47"/>
  <c r="P52" i="47" s="1"/>
  <c r="E24" i="47"/>
  <c r="AN24" i="47" s="1"/>
  <c r="I50" i="47"/>
  <c r="J50" i="47" s="1"/>
  <c r="W34" i="47"/>
  <c r="W72" i="47" s="1"/>
  <c r="Q45" i="47"/>
  <c r="AN45" i="47" s="1"/>
  <c r="C37" i="47"/>
  <c r="K49" i="47"/>
  <c r="Q62" i="47"/>
  <c r="O67" i="47"/>
  <c r="P67" i="47" s="1"/>
  <c r="O34" i="47"/>
  <c r="P34" i="47" s="1"/>
  <c r="C63" i="47"/>
  <c r="AL63" i="47" s="1"/>
  <c r="U62" i="47"/>
  <c r="V62" i="47" s="1"/>
  <c r="U26" i="47"/>
  <c r="V26" i="47" s="1"/>
  <c r="X26" i="47" s="1"/>
  <c r="Y26" i="47" s="1"/>
  <c r="O40" i="47"/>
  <c r="P40" i="47" s="1"/>
  <c r="C70" i="47"/>
  <c r="Q28" i="47"/>
  <c r="U19" i="47"/>
  <c r="V19" i="47" s="1"/>
  <c r="O51" i="47"/>
  <c r="P51" i="47" s="1"/>
  <c r="C10" i="47"/>
  <c r="C31" i="47" s="1"/>
  <c r="Q17" i="47"/>
  <c r="O11" i="47"/>
  <c r="P11" i="47" s="1"/>
  <c r="R11" i="47" s="1"/>
  <c r="S11" i="47" s="1"/>
  <c r="C61" i="47"/>
  <c r="W35" i="47"/>
  <c r="I37" i="47"/>
  <c r="J37" i="47" s="1"/>
  <c r="I26" i="47"/>
  <c r="J26" i="47" s="1"/>
  <c r="L26" i="47" s="1"/>
  <c r="M26" i="47" s="1"/>
  <c r="I53" i="47"/>
  <c r="J53" i="47" s="1"/>
  <c r="L53" i="47" s="1"/>
  <c r="M53" i="47" s="1"/>
  <c r="W49" i="47"/>
  <c r="X49" i="47" s="1"/>
  <c r="Y49" i="47" s="1"/>
  <c r="Q51" i="47"/>
  <c r="E44" i="47"/>
  <c r="F44" i="47" s="1"/>
  <c r="G44" i="47" s="1"/>
  <c r="W66" i="47"/>
  <c r="O55" i="47"/>
  <c r="P55" i="47" s="1"/>
  <c r="I49" i="47"/>
  <c r="J49" i="47" s="1"/>
  <c r="U59" i="47"/>
  <c r="V59" i="47" s="1"/>
  <c r="Y59" i="47" s="1"/>
  <c r="E48" i="47"/>
  <c r="F48" i="47" s="1"/>
  <c r="Q27" i="47"/>
  <c r="R27" i="47" s="1"/>
  <c r="S27" i="47" s="1"/>
  <c r="K46" i="47"/>
  <c r="L46" i="47" s="1"/>
  <c r="M46" i="47" s="1"/>
  <c r="K14" i="47"/>
  <c r="L14" i="47" s="1"/>
  <c r="E39" i="47"/>
  <c r="K56" i="47"/>
  <c r="C51" i="47"/>
  <c r="U52" i="47"/>
  <c r="V52" i="47" s="1"/>
  <c r="E33" i="47"/>
  <c r="AN33" i="47" s="1"/>
  <c r="AC60" i="47"/>
  <c r="AA60" i="47"/>
  <c r="AB60" i="47" s="1"/>
  <c r="W68" i="47"/>
  <c r="X68" i="47" s="1"/>
  <c r="Y68" i="47" s="1"/>
  <c r="I63" i="47"/>
  <c r="J63" i="47" s="1"/>
  <c r="I64" i="47"/>
  <c r="J64" i="47" s="1"/>
  <c r="AA52" i="47"/>
  <c r="AB52" i="47" s="1"/>
  <c r="AI14" i="47"/>
  <c r="AC28" i="47"/>
  <c r="AC44" i="47"/>
  <c r="AD44" i="47" s="1"/>
  <c r="AG63" i="47"/>
  <c r="AH63" i="47" s="1"/>
  <c r="AI9" i="47"/>
  <c r="AI31" i="47" s="1"/>
  <c r="AA58" i="47"/>
  <c r="AB58" i="47" s="1"/>
  <c r="AC15" i="47"/>
  <c r="AC65" i="47"/>
  <c r="E67" i="47"/>
  <c r="AI29" i="47"/>
  <c r="AI15" i="47"/>
  <c r="AJ15" i="47" s="1"/>
  <c r="AK15" i="47" s="1"/>
  <c r="AA59" i="47"/>
  <c r="AB59" i="47" s="1"/>
  <c r="AI16" i="47"/>
  <c r="AJ16" i="47" s="1"/>
  <c r="AK16" i="47" s="1"/>
  <c r="AG48" i="47"/>
  <c r="AH48" i="47" s="1"/>
  <c r="K9" i="47"/>
  <c r="E42" i="47"/>
  <c r="W64" i="47"/>
  <c r="X64" i="47" s="1"/>
  <c r="Y64" i="47" s="1"/>
  <c r="AI63" i="47"/>
  <c r="AG19" i="47"/>
  <c r="AH19" i="47" s="1"/>
  <c r="AI47" i="47"/>
  <c r="AJ47" i="47" s="1"/>
  <c r="AK47" i="47" s="1"/>
  <c r="AG29" i="47"/>
  <c r="AH29" i="47" s="1"/>
  <c r="AJ29" i="47" s="1"/>
  <c r="AK29" i="47" s="1"/>
  <c r="W33" i="47"/>
  <c r="AA67" i="47"/>
  <c r="AB67" i="47" s="1"/>
  <c r="AC20" i="47"/>
  <c r="AC12" i="47"/>
  <c r="AA65" i="47"/>
  <c r="AB65" i="47" s="1"/>
  <c r="AD65" i="47" s="1"/>
  <c r="AE65" i="47" s="1"/>
  <c r="W67" i="47"/>
  <c r="X67" i="47" s="1"/>
  <c r="AI25" i="47"/>
  <c r="AJ25" i="47" s="1"/>
  <c r="AK25" i="47" s="1"/>
  <c r="AI11" i="47"/>
  <c r="AJ11" i="47" s="1"/>
  <c r="AK11" i="47" s="1"/>
  <c r="U41" i="47"/>
  <c r="V41" i="47" s="1"/>
  <c r="AA46" i="47"/>
  <c r="AB46" i="47" s="1"/>
  <c r="AG51" i="47"/>
  <c r="AH51" i="47" s="1"/>
  <c r="U54" i="47"/>
  <c r="V54" i="47" s="1"/>
  <c r="X54" i="47" s="1"/>
  <c r="AA27" i="47"/>
  <c r="AB27" i="47" s="1"/>
  <c r="AC42" i="47"/>
  <c r="AD42" i="47" s="1"/>
  <c r="AE42" i="47" s="1"/>
  <c r="AA26" i="47"/>
  <c r="AB26" i="47" s="1"/>
  <c r="Q9" i="47"/>
  <c r="AN9" i="47" s="1"/>
  <c r="AI28" i="47"/>
  <c r="AJ28" i="47" s="1"/>
  <c r="AK28" i="47" s="1"/>
  <c r="AC36" i="47"/>
  <c r="AA63" i="47"/>
  <c r="AB63" i="47" s="1"/>
  <c r="C67" i="47"/>
  <c r="AG59" i="47"/>
  <c r="AH59" i="47" s="1"/>
  <c r="AA66" i="47"/>
  <c r="AB66" i="47" s="1"/>
  <c r="AD66" i="47" s="1"/>
  <c r="AE66" i="47" s="1"/>
  <c r="AG27" i="47"/>
  <c r="AH27" i="47" s="1"/>
  <c r="AJ27" i="47" s="1"/>
  <c r="AK27" i="47" s="1"/>
  <c r="AA16" i="47"/>
  <c r="AB16" i="47" s="1"/>
  <c r="AD16" i="47" s="1"/>
  <c r="AG21" i="47"/>
  <c r="AH21" i="47" s="1"/>
  <c r="AI54" i="47"/>
  <c r="AJ54" i="47" s="1"/>
  <c r="I9" i="47"/>
  <c r="L6" i="44"/>
  <c r="AC6" i="44"/>
  <c r="R6" i="44"/>
  <c r="X6" i="44"/>
  <c r="K7" i="80"/>
  <c r="W7" i="80"/>
  <c r="AC7" i="80"/>
  <c r="AN7" i="80"/>
  <c r="AI7" i="80"/>
  <c r="Q7" i="80"/>
  <c r="D44" i="45"/>
  <c r="C46" i="45"/>
  <c r="K769" i="79"/>
  <c r="AJ39" i="47"/>
  <c r="AK39" i="47" s="1"/>
  <c r="L63" i="47"/>
  <c r="AJ23" i="47"/>
  <c r="AK23" i="47" s="1"/>
  <c r="O24" i="47"/>
  <c r="P24" i="47" s="1"/>
  <c r="U55" i="47"/>
  <c r="V55" i="47" s="1"/>
  <c r="X55" i="47" s="1"/>
  <c r="Y55" i="47" s="1"/>
  <c r="O15" i="47"/>
  <c r="P15" i="47" s="1"/>
  <c r="U58" i="47"/>
  <c r="V58" i="47" s="1"/>
  <c r="I21" i="47"/>
  <c r="J21" i="47" s="1"/>
  <c r="W19" i="47"/>
  <c r="E13" i="47"/>
  <c r="Q70" i="47"/>
  <c r="R70" i="47" s="1"/>
  <c r="C22" i="47"/>
  <c r="AL22" i="47" s="1"/>
  <c r="K39" i="47"/>
  <c r="AN39" i="47" s="1"/>
  <c r="Q66" i="47"/>
  <c r="E52" i="47"/>
  <c r="AG42" i="47"/>
  <c r="AH42" i="47" s="1"/>
  <c r="AA56" i="47"/>
  <c r="AB56" i="47" s="1"/>
  <c r="AD56" i="47" s="1"/>
  <c r="AE56" i="47" s="1"/>
  <c r="AG70" i="47"/>
  <c r="AH70" i="47" s="1"/>
  <c r="AC43" i="47"/>
  <c r="AN43" i="47" s="1"/>
  <c r="Q57" i="47"/>
  <c r="R57" i="47" s="1"/>
  <c r="AA53" i="47"/>
  <c r="AB53" i="47" s="1"/>
  <c r="AD53" i="47" s="1"/>
  <c r="AE53" i="47" s="1"/>
  <c r="C48" i="47"/>
  <c r="O62" i="47"/>
  <c r="P62" i="47" s="1"/>
  <c r="K62" i="47"/>
  <c r="E53" i="47"/>
  <c r="I48" i="47"/>
  <c r="J48" i="47" s="1"/>
  <c r="C62" i="47"/>
  <c r="W14" i="47"/>
  <c r="X14" i="47" s="1"/>
  <c r="Y14" i="47" s="1"/>
  <c r="K22" i="47"/>
  <c r="L22" i="47" s="1"/>
  <c r="M22" i="47" s="1"/>
  <c r="C39" i="47"/>
  <c r="Q26" i="47"/>
  <c r="C58" i="47"/>
  <c r="J766" i="79"/>
  <c r="O84" i="80" s="1"/>
  <c r="AL41" i="48"/>
  <c r="AJ17" i="47"/>
  <c r="AK17" i="47" s="1"/>
  <c r="AD63" i="47"/>
  <c r="L28" i="47"/>
  <c r="M28" i="47" s="1"/>
  <c r="L12" i="47"/>
  <c r="M12" i="47" s="1"/>
  <c r="E64" i="47"/>
  <c r="I17" i="47"/>
  <c r="J17" i="47" s="1"/>
  <c r="E65" i="47"/>
  <c r="AN65" i="47" s="1"/>
  <c r="O53" i="47"/>
  <c r="P53" i="47" s="1"/>
  <c r="L765" i="79"/>
  <c r="Q28" i="46"/>
  <c r="R28" i="46" s="1"/>
  <c r="M789" i="79"/>
  <c r="AC122" i="44"/>
  <c r="AJ68" i="47"/>
  <c r="AK68" i="47" s="1"/>
  <c r="L11" i="92"/>
  <c r="D83" i="80"/>
  <c r="AD55" i="47"/>
  <c r="AE55" i="47" s="1"/>
  <c r="AJ57" i="47"/>
  <c r="AK57" i="47" s="1"/>
  <c r="W12" i="47"/>
  <c r="K52" i="47"/>
  <c r="C53" i="47"/>
  <c r="W15" i="47"/>
  <c r="X15" i="47" s="1"/>
  <c r="Y15" i="47" s="1"/>
  <c r="E56" i="47"/>
  <c r="AN56" i="47" s="1"/>
  <c r="U12" i="47"/>
  <c r="V12" i="47" s="1"/>
  <c r="E47" i="47"/>
  <c r="AN47" i="47" s="1"/>
  <c r="O60" i="47"/>
  <c r="P60" i="47" s="1"/>
  <c r="R60" i="47" s="1"/>
  <c r="S60" i="47" s="1"/>
  <c r="W52" i="47"/>
  <c r="O54" i="47"/>
  <c r="P54" i="47" s="1"/>
  <c r="Q24" i="47"/>
  <c r="Q38" i="47"/>
  <c r="K61" i="47"/>
  <c r="L61" i="47" s="1"/>
  <c r="U70" i="47"/>
  <c r="V70" i="47" s="1"/>
  <c r="C15" i="47"/>
  <c r="AL15" i="47" s="1"/>
  <c r="U50" i="47"/>
  <c r="V50" i="47" s="1"/>
  <c r="X50" i="47" s="1"/>
  <c r="Y50" i="47" s="1"/>
  <c r="Q64" i="47"/>
  <c r="AC69" i="47"/>
  <c r="AI34" i="47"/>
  <c r="AG38" i="47"/>
  <c r="AH38" i="47" s="1"/>
  <c r="AJ38" i="47" s="1"/>
  <c r="W10" i="47"/>
  <c r="X10" i="47" s="1"/>
  <c r="Y10" i="47" s="1"/>
  <c r="C20" i="47"/>
  <c r="C36" i="47"/>
  <c r="D36" i="47" s="1"/>
  <c r="F36" i="47" s="1"/>
  <c r="O39" i="47"/>
  <c r="P39" i="47" s="1"/>
  <c r="E69" i="47"/>
  <c r="W55" i="47"/>
  <c r="O36" i="47"/>
  <c r="P36" i="47" s="1"/>
  <c r="W11" i="47"/>
  <c r="C55" i="47"/>
  <c r="AL55" i="47" s="1"/>
  <c r="O17" i="47"/>
  <c r="P17" i="47" s="1"/>
  <c r="Q14" i="47"/>
  <c r="R14" i="47" s="1"/>
  <c r="S14" i="47" s="1"/>
  <c r="Q53" i="47"/>
  <c r="R53" i="47" s="1"/>
  <c r="S53" i="47" s="1"/>
  <c r="O38" i="47"/>
  <c r="P38" i="47" s="1"/>
  <c r="W36" i="47"/>
  <c r="O41" i="47"/>
  <c r="P41" i="47" s="1"/>
  <c r="R41" i="47" s="1"/>
  <c r="S41" i="47" s="1"/>
  <c r="I25" i="47"/>
  <c r="J25" i="47" s="1"/>
  <c r="E19" i="47"/>
  <c r="W26" i="47"/>
  <c r="AN26" i="47" s="1"/>
  <c r="I44" i="47"/>
  <c r="J44" i="47" s="1"/>
  <c r="C56" i="47"/>
  <c r="AL56" i="47" s="1"/>
  <c r="O25" i="47"/>
  <c r="P25" i="47" s="1"/>
  <c r="O56" i="47"/>
  <c r="P56" i="47" s="1"/>
  <c r="O65" i="47"/>
  <c r="P65" i="47" s="1"/>
  <c r="I60" i="47"/>
  <c r="J60" i="47" s="1"/>
  <c r="E20" i="47"/>
  <c r="AN20" i="47" s="1"/>
  <c r="Q59" i="47"/>
  <c r="R59" i="47" s="1"/>
  <c r="S59" i="47" s="1"/>
  <c r="K57" i="47"/>
  <c r="C14" i="47"/>
  <c r="AL14" i="47" s="1"/>
  <c r="F36" i="83"/>
  <c r="G36" i="83" s="1"/>
  <c r="H24" i="92"/>
  <c r="H21" i="92"/>
  <c r="AM12" i="87"/>
  <c r="AH14" i="87"/>
  <c r="Q6" i="80"/>
  <c r="W6" i="80"/>
  <c r="K6" i="80"/>
  <c r="AC6" i="80"/>
  <c r="AN6" i="80"/>
  <c r="AI6" i="80"/>
  <c r="AM9" i="48"/>
  <c r="AJ9" i="48"/>
  <c r="AK9" i="48" s="1"/>
  <c r="L6" i="48"/>
  <c r="AJ6" i="48"/>
  <c r="AO6" i="48"/>
  <c r="AD6" i="48"/>
  <c r="X6" i="48"/>
  <c r="R6" i="48"/>
  <c r="K7" i="46"/>
  <c r="P7" i="46"/>
  <c r="X12" i="48"/>
  <c r="Y12" i="48" s="1"/>
  <c r="W30" i="48"/>
  <c r="AN12" i="48"/>
  <c r="AO12" i="48" s="1"/>
  <c r="AP12" i="48" s="1"/>
  <c r="J11" i="89"/>
  <c r="AB43" i="77"/>
  <c r="AE35" i="77"/>
  <c r="AM35" i="77"/>
  <c r="F222" i="85"/>
  <c r="AO21" i="80"/>
  <c r="AP21" i="80"/>
  <c r="J788" i="79"/>
  <c r="O42" i="48" s="1"/>
  <c r="L766" i="79"/>
  <c r="M783" i="79"/>
  <c r="L775" i="79"/>
  <c r="N6" i="46"/>
  <c r="I6" i="46"/>
  <c r="O6" i="80"/>
  <c r="U6" i="80"/>
  <c r="AA6" i="80"/>
  <c r="I6" i="80"/>
  <c r="AG6" i="80"/>
  <c r="AL6" i="80"/>
  <c r="X12" i="80"/>
  <c r="Y12" i="80" s="1"/>
  <c r="AM12" i="80"/>
  <c r="AO12" i="80" s="1"/>
  <c r="AP12" i="80" s="1"/>
  <c r="AD52" i="44"/>
  <c r="AC52" i="44"/>
  <c r="AM9" i="87"/>
  <c r="AO9" i="87" s="1"/>
  <c r="AP9" i="87" s="1"/>
  <c r="D14" i="87"/>
  <c r="N775" i="79"/>
  <c r="M769" i="79"/>
  <c r="M765" i="79"/>
  <c r="J764" i="79"/>
  <c r="C84" i="80" s="1"/>
  <c r="J773" i="79"/>
  <c r="J778" i="79"/>
  <c r="K787" i="79"/>
  <c r="M772" i="79"/>
  <c r="J783" i="79"/>
  <c r="I44" i="46" s="1"/>
  <c r="L783" i="79"/>
  <c r="N788" i="79"/>
  <c r="K786" i="79"/>
  <c r="N782" i="79"/>
  <c r="N767" i="79"/>
  <c r="M778" i="79"/>
  <c r="L774" i="79"/>
  <c r="M786" i="79"/>
  <c r="K779" i="79"/>
  <c r="N790" i="79"/>
  <c r="AC42" i="48" s="1"/>
  <c r="N765" i="79"/>
  <c r="K84" i="80" s="1"/>
  <c r="L778" i="79"/>
  <c r="L779" i="79"/>
  <c r="N766" i="79"/>
  <c r="Q84" i="80" s="1"/>
  <c r="L769" i="79"/>
  <c r="K790" i="79"/>
  <c r="M767" i="79"/>
  <c r="K788" i="79"/>
  <c r="M782" i="79"/>
  <c r="M784" i="79" s="1"/>
  <c r="J787" i="79"/>
  <c r="J775" i="79"/>
  <c r="L791" i="79"/>
  <c r="M766" i="79"/>
  <c r="J767" i="79"/>
  <c r="U84" i="80" s="1"/>
  <c r="M779" i="79"/>
  <c r="M787" i="79"/>
  <c r="N791" i="79"/>
  <c r="AI42" i="48" s="1"/>
  <c r="K766" i="79"/>
  <c r="L773" i="79"/>
  <c r="N778" i="79"/>
  <c r="M790" i="79"/>
  <c r="J769" i="79"/>
  <c r="AG84" i="80" s="1"/>
  <c r="K764" i="79"/>
  <c r="M764" i="79"/>
  <c r="L790" i="79"/>
  <c r="N779" i="79"/>
  <c r="M775" i="79"/>
  <c r="K767" i="79"/>
  <c r="J774" i="79"/>
  <c r="N787" i="79"/>
  <c r="K775" i="79"/>
  <c r="N789" i="79"/>
  <c r="L772" i="79"/>
  <c r="K773" i="79"/>
  <c r="M791" i="79"/>
  <c r="L764" i="79"/>
  <c r="J765" i="79"/>
  <c r="I84" i="80" s="1"/>
  <c r="N769" i="79"/>
  <c r="K772" i="79"/>
  <c r="K765" i="79"/>
  <c r="L768" i="79"/>
  <c r="L789" i="79"/>
  <c r="J772" i="79"/>
  <c r="J782" i="79"/>
  <c r="L787" i="79"/>
  <c r="K768" i="79"/>
  <c r="M788" i="79"/>
  <c r="K783" i="79"/>
  <c r="J779" i="79"/>
  <c r="N783" i="79"/>
  <c r="J768" i="79"/>
  <c r="AA84" i="80" s="1"/>
  <c r="J790" i="79"/>
  <c r="N764" i="79"/>
  <c r="J786" i="79"/>
  <c r="C42" i="48" s="1"/>
  <c r="M774" i="79"/>
  <c r="N774" i="79"/>
  <c r="N768" i="79"/>
  <c r="AC84" i="80" s="1"/>
  <c r="J791" i="79"/>
  <c r="AG42" i="48" s="1"/>
  <c r="N773" i="79"/>
  <c r="K774" i="79"/>
  <c r="S6" i="48"/>
  <c r="Y6" i="48"/>
  <c r="AP6" i="48"/>
  <c r="M6" i="48"/>
  <c r="AK6" i="48"/>
  <c r="AE6" i="48"/>
  <c r="AN12" i="77"/>
  <c r="R12" i="77"/>
  <c r="S12" i="77" s="1"/>
  <c r="AD6" i="80"/>
  <c r="X6" i="80"/>
  <c r="R6" i="80"/>
  <c r="AJ6" i="80"/>
  <c r="L6" i="80"/>
  <c r="AO6" i="80"/>
  <c r="F853" i="94"/>
  <c r="AO12" i="87"/>
  <c r="AP12" i="87" s="1"/>
  <c r="AN17" i="83"/>
  <c r="AO17" i="83" s="1"/>
  <c r="AP17" i="83" s="1"/>
  <c r="R17" i="83"/>
  <c r="AO40" i="80"/>
  <c r="AP40" i="80" s="1"/>
  <c r="L767" i="79"/>
  <c r="K782" i="79"/>
  <c r="L782" i="79"/>
  <c r="L788" i="79"/>
  <c r="K791" i="79"/>
  <c r="N786" i="79"/>
  <c r="L9" i="80"/>
  <c r="M9" i="80" s="1"/>
  <c r="Q32" i="45"/>
  <c r="R32" i="45" s="1"/>
  <c r="AK12" i="87"/>
  <c r="AL14" i="87"/>
  <c r="AL15" i="87" s="1"/>
  <c r="L6" i="46"/>
  <c r="Q6" i="46"/>
  <c r="AC7" i="48"/>
  <c r="K7" i="48"/>
  <c r="AI7" i="48"/>
  <c r="Q7" i="48"/>
  <c r="C853" i="94"/>
  <c r="D41" i="48"/>
  <c r="D113" i="78"/>
  <c r="AO25" i="83"/>
  <c r="AP25" i="83" s="1"/>
  <c r="L35" i="44"/>
  <c r="M35" i="44" s="1"/>
  <c r="AA35" i="44"/>
  <c r="AC35" i="44" s="1"/>
  <c r="AD35" i="44" s="1"/>
  <c r="Q38" i="45"/>
  <c r="R38" i="45" s="1"/>
  <c r="M773" i="79"/>
  <c r="N772" i="79"/>
  <c r="K778" i="79"/>
  <c r="J789" i="79"/>
  <c r="U42" i="48" s="1"/>
  <c r="M768" i="79"/>
  <c r="Q12" i="45"/>
  <c r="R12" i="45" s="1"/>
  <c r="O27" i="45"/>
  <c r="U127" i="44"/>
  <c r="V28" i="44"/>
  <c r="L786" i="79"/>
  <c r="U6" i="48"/>
  <c r="AL6" i="48"/>
  <c r="I6" i="48"/>
  <c r="AA6" i="48"/>
  <c r="O6" i="48"/>
  <c r="AG6" i="48"/>
  <c r="U6" i="44"/>
  <c r="O6" i="44"/>
  <c r="I6" i="44"/>
  <c r="Z6" i="44"/>
  <c r="AI45" i="77"/>
  <c r="AI46" i="77" s="1"/>
  <c r="AM18" i="77"/>
  <c r="AJ18" i="77"/>
  <c r="AK18" i="77" s="1"/>
  <c r="AN41" i="77"/>
  <c r="X11" i="80"/>
  <c r="Y11" i="80"/>
  <c r="X10" i="80"/>
  <c r="Y10" i="80" s="1"/>
  <c r="AM10" i="80"/>
  <c r="AO10" i="80" s="1"/>
  <c r="AP10" i="80" s="1"/>
  <c r="L81" i="80"/>
  <c r="M81" i="80"/>
  <c r="P31" i="80"/>
  <c r="AC26" i="83"/>
  <c r="K217" i="85"/>
  <c r="K221" i="85"/>
  <c r="L25" i="46"/>
  <c r="M25" i="46" s="1"/>
  <c r="P25" i="46"/>
  <c r="L27" i="77"/>
  <c r="M27" i="77" s="1"/>
  <c r="Q36" i="46"/>
  <c r="R36" i="46" s="1"/>
  <c r="R27" i="77"/>
  <c r="S27" i="77" s="1"/>
  <c r="AO38" i="77"/>
  <c r="AP38" i="77" s="1"/>
  <c r="E42" i="48"/>
  <c r="P127" i="44"/>
  <c r="AO12" i="77"/>
  <c r="AP12" i="77" s="1"/>
  <c r="D68" i="47"/>
  <c r="F68" i="47" s="1"/>
  <c r="D34" i="89"/>
  <c r="AN66" i="47"/>
  <c r="P33" i="47"/>
  <c r="D34" i="47"/>
  <c r="AH9" i="47"/>
  <c r="AG31" i="47"/>
  <c r="AJ66" i="47"/>
  <c r="AK66" i="47" s="1"/>
  <c r="I34" i="89"/>
  <c r="E34" i="89"/>
  <c r="AB33" i="47"/>
  <c r="AL9" i="47"/>
  <c r="D9" i="47"/>
  <c r="AD24" i="47"/>
  <c r="AE24" i="47" s="1"/>
  <c r="P9" i="47"/>
  <c r="J33" i="47"/>
  <c r="D41" i="47"/>
  <c r="F41" i="47" s="1"/>
  <c r="G41" i="47" s="1"/>
  <c r="AN63" i="47"/>
  <c r="D13" i="47"/>
  <c r="L70" i="47"/>
  <c r="M70" i="47" s="1"/>
  <c r="AL25" i="47"/>
  <c r="R35" i="47"/>
  <c r="S35" i="47" s="1"/>
  <c r="D44" i="47"/>
  <c r="D45" i="47"/>
  <c r="AN17" i="47"/>
  <c r="AL53" i="47"/>
  <c r="D53" i="47"/>
  <c r="L59" i="47"/>
  <c r="M59" i="47" s="1"/>
  <c r="R46" i="47"/>
  <c r="S46" i="47" s="1"/>
  <c r="F13" i="47"/>
  <c r="AN13" i="47"/>
  <c r="L47" i="47"/>
  <c r="M47" i="47" s="1"/>
  <c r="X53" i="47"/>
  <c r="Y53" i="47" s="1"/>
  <c r="D43" i="47"/>
  <c r="AM43" i="47" s="1"/>
  <c r="AL43" i="47"/>
  <c r="AL23" i="47"/>
  <c r="D23" i="47"/>
  <c r="AM23" i="47" s="1"/>
  <c r="AJ10" i="47"/>
  <c r="AK10" i="47" s="1"/>
  <c r="AN34" i="47"/>
  <c r="V9" i="47"/>
  <c r="D20" i="47"/>
  <c r="AL12" i="47"/>
  <c r="D12" i="47"/>
  <c r="D21" i="47"/>
  <c r="AL21" i="47"/>
  <c r="AL48" i="47"/>
  <c r="D48" i="47"/>
  <c r="AL57" i="47"/>
  <c r="D29" i="47"/>
  <c r="F29" i="47" s="1"/>
  <c r="F53" i="47"/>
  <c r="G53" i="47" s="1"/>
  <c r="AL26" i="47"/>
  <c r="D26" i="47"/>
  <c r="F26" i="47" s="1"/>
  <c r="H33" i="89"/>
  <c r="AD61" i="47"/>
  <c r="D62" i="47"/>
  <c r="D55" i="47"/>
  <c r="F55" i="47" s="1"/>
  <c r="D27" i="47"/>
  <c r="L55" i="47"/>
  <c r="M55" i="47" s="1"/>
  <c r="D39" i="47"/>
  <c r="F39" i="47" s="1"/>
  <c r="G39" i="47" s="1"/>
  <c r="AN35" i="47"/>
  <c r="R38" i="47"/>
  <c r="S38" i="47"/>
  <c r="D58" i="47"/>
  <c r="AO13" i="80"/>
  <c r="AP13" i="80"/>
  <c r="G31" i="80"/>
  <c r="AD81" i="80"/>
  <c r="AE81" i="80" s="1"/>
  <c r="I47" i="86"/>
  <c r="L39" i="48"/>
  <c r="M39" i="48" s="1"/>
  <c r="AJ55" i="47"/>
  <c r="AK55" i="47" s="1"/>
  <c r="AK54" i="47"/>
  <c r="AJ62" i="47"/>
  <c r="AK62" i="47" s="1"/>
  <c r="AJ59" i="47"/>
  <c r="AK59" i="47" s="1"/>
  <c r="AE64" i="47"/>
  <c r="AK46" i="47"/>
  <c r="AD46" i="47"/>
  <c r="AE46" i="47" s="1"/>
  <c r="M54" i="47"/>
  <c r="AE49" i="47"/>
  <c r="AK43" i="47"/>
  <c r="AD27" i="47"/>
  <c r="AE27" i="47" s="1"/>
  <c r="AD25" i="47"/>
  <c r="AE25" i="47" s="1"/>
  <c r="AD51" i="47"/>
  <c r="AE51" i="47" s="1"/>
  <c r="R42" i="47"/>
  <c r="S42" i="47" s="1"/>
  <c r="AD50" i="47"/>
  <c r="AE50" i="47" s="1"/>
  <c r="AD70" i="47"/>
  <c r="AE70" i="47" s="1"/>
  <c r="Y67" i="47"/>
  <c r="AD40" i="47"/>
  <c r="AE40" i="47" s="1"/>
  <c r="AJ36" i="47"/>
  <c r="AK36" i="47" s="1"/>
  <c r="AJ18" i="47"/>
  <c r="AK18" i="47" s="1"/>
  <c r="AE37" i="47"/>
  <c r="AJ58" i="47"/>
  <c r="AK58" i="47" s="1"/>
  <c r="AD29" i="47"/>
  <c r="AE29" i="47" s="1"/>
  <c r="AK64" i="47"/>
  <c r="AN60" i="47"/>
  <c r="L43" i="47"/>
  <c r="M43" i="47" s="1"/>
  <c r="X52" i="47"/>
  <c r="X19" i="47"/>
  <c r="Y19" i="47" s="1"/>
  <c r="R24" i="47"/>
  <c r="S24" i="47" s="1"/>
  <c r="AD69" i="47"/>
  <c r="AJ22" i="47"/>
  <c r="AK22" i="47" s="1"/>
  <c r="AJ21" i="47"/>
  <c r="AK21" i="47" s="1"/>
  <c r="AD47" i="47"/>
  <c r="AE47" i="47" s="1"/>
  <c r="AJ34" i="47"/>
  <c r="AK34" i="47" s="1"/>
  <c r="AD17" i="47"/>
  <c r="AE17" i="47" s="1"/>
  <c r="AD43" i="47"/>
  <c r="AE43" i="47" s="1"/>
  <c r="S50" i="47"/>
  <c r="X29" i="47"/>
  <c r="Y29" i="47" s="1"/>
  <c r="X59" i="47"/>
  <c r="L62" i="47"/>
  <c r="M62" i="47" s="1"/>
  <c r="R19" i="47"/>
  <c r="S19" i="47" s="1"/>
  <c r="R54" i="47"/>
  <c r="S54" i="47" s="1"/>
  <c r="L19" i="47"/>
  <c r="M19" i="47" s="1"/>
  <c r="L45" i="47"/>
  <c r="M45" i="47" s="1"/>
  <c r="S29" i="47"/>
  <c r="L48" i="47"/>
  <c r="M48" i="47" s="1"/>
  <c r="X13" i="47"/>
  <c r="Y13" i="47" s="1"/>
  <c r="L37" i="47"/>
  <c r="M37" i="47" s="1"/>
  <c r="X16" i="47"/>
  <c r="Y16" i="47" s="1"/>
  <c r="L20" i="47"/>
  <c r="M20" i="47" s="1"/>
  <c r="X23" i="47"/>
  <c r="Y23" i="47" s="1"/>
  <c r="X36" i="47"/>
  <c r="Y36" i="47" s="1"/>
  <c r="AO10" i="77"/>
  <c r="AP10" i="77" s="1"/>
  <c r="AO16" i="77"/>
  <c r="AP16" i="77" s="1"/>
  <c r="AO25" i="80"/>
  <c r="AP25" i="80" s="1"/>
  <c r="J9" i="47"/>
  <c r="D67" i="47"/>
  <c r="F67" i="47" s="1"/>
  <c r="D33" i="47"/>
  <c r="AB9" i="47"/>
  <c r="AA31" i="47"/>
  <c r="F42" i="47"/>
  <c r="G42" i="47" s="1"/>
  <c r="AJ63" i="47"/>
  <c r="AK63" i="47" s="1"/>
  <c r="D66" i="47"/>
  <c r="AL51" i="47"/>
  <c r="D51" i="47"/>
  <c r="D52" i="47"/>
  <c r="G34" i="89"/>
  <c r="X66" i="47"/>
  <c r="AN44" i="47"/>
  <c r="D60" i="47"/>
  <c r="D61" i="47"/>
  <c r="D10" i="47"/>
  <c r="AM10" i="47" s="1"/>
  <c r="D70" i="47"/>
  <c r="X37" i="47"/>
  <c r="Y37" i="47" s="1"/>
  <c r="D37" i="47"/>
  <c r="AL37" i="47"/>
  <c r="D11" i="47"/>
  <c r="F11" i="47" s="1"/>
  <c r="AL64" i="47"/>
  <c r="D59" i="47"/>
  <c r="AL59" i="47"/>
  <c r="D69" i="47"/>
  <c r="F69" i="47" s="1"/>
  <c r="AJ61" i="47"/>
  <c r="AK61" i="47" s="1"/>
  <c r="V33" i="47"/>
  <c r="D65" i="47"/>
  <c r="AL54" i="47"/>
  <c r="D54" i="47"/>
  <c r="AL38" i="47"/>
  <c r="D38" i="47"/>
  <c r="D24" i="47"/>
  <c r="D18" i="47"/>
  <c r="R44" i="47"/>
  <c r="S44" i="47" s="1"/>
  <c r="F38" i="47"/>
  <c r="D16" i="47"/>
  <c r="AN36" i="47"/>
  <c r="L40" i="47"/>
  <c r="M40" i="47" s="1"/>
  <c r="R20" i="47"/>
  <c r="S20" i="47" s="1"/>
  <c r="D46" i="47"/>
  <c r="F46" i="47" s="1"/>
  <c r="AL46" i="47"/>
  <c r="AN18" i="47"/>
  <c r="D47" i="47"/>
  <c r="AL49" i="47"/>
  <c r="D49" i="47"/>
  <c r="D56" i="47"/>
  <c r="AP55" i="80"/>
  <c r="AO55" i="80"/>
  <c r="R81" i="80"/>
  <c r="S81" i="80" s="1"/>
  <c r="J43" i="46"/>
  <c r="AE63" i="47"/>
  <c r="AJ51" i="47"/>
  <c r="AK51" i="47" s="1"/>
  <c r="AJ52" i="47"/>
  <c r="AK52" i="47" s="1"/>
  <c r="AD28" i="47"/>
  <c r="AE28" i="47" s="1"/>
  <c r="AJ14" i="47"/>
  <c r="AK14" i="47" s="1"/>
  <c r="M63" i="47"/>
  <c r="AD60" i="47"/>
  <c r="AE60" i="47" s="1"/>
  <c r="Y52" i="47"/>
  <c r="L11" i="47"/>
  <c r="M11" i="47" s="1"/>
  <c r="AN40" i="47"/>
  <c r="X24" i="47"/>
  <c r="Y24" i="47" s="1"/>
  <c r="L49" i="47"/>
  <c r="M49" i="47" s="1"/>
  <c r="X20" i="47"/>
  <c r="Y20" i="47" s="1"/>
  <c r="L50" i="47"/>
  <c r="M50" i="47" s="1"/>
  <c r="R48" i="47"/>
  <c r="S48" i="47" s="1"/>
  <c r="X45" i="47"/>
  <c r="Y45" i="47" s="1"/>
  <c r="AJ69" i="47"/>
  <c r="AK69" i="47" s="1"/>
  <c r="AJ44" i="47"/>
  <c r="AK44" i="47" s="1"/>
  <c r="AD59" i="47"/>
  <c r="AE59" i="47" s="1"/>
  <c r="AD19" i="47"/>
  <c r="AE19" i="47" s="1"/>
  <c r="AJ67" i="47"/>
  <c r="AK67" i="47" s="1"/>
  <c r="AJ60" i="47"/>
  <c r="AK60" i="47" s="1"/>
  <c r="X63" i="47"/>
  <c r="Y63" i="47" s="1"/>
  <c r="S57" i="47"/>
  <c r="Y66" i="47"/>
  <c r="R40" i="47"/>
  <c r="S40" i="47" s="1"/>
  <c r="R67" i="47"/>
  <c r="S67" i="47" s="1"/>
  <c r="L58" i="47"/>
  <c r="M58" i="47" s="1"/>
  <c r="R52" i="47"/>
  <c r="S52" i="47" s="1"/>
  <c r="X70" i="47"/>
  <c r="Y70" i="47" s="1"/>
  <c r="X40" i="47"/>
  <c r="Y40" i="47" s="1"/>
  <c r="X28" i="47"/>
  <c r="Y28" i="47" s="1"/>
  <c r="L35" i="47"/>
  <c r="M35" i="47" s="1"/>
  <c r="X21" i="47"/>
  <c r="Y21" i="47" s="1"/>
  <c r="L18" i="47"/>
  <c r="M18" i="47" s="1"/>
  <c r="Y27" i="47"/>
  <c r="R49" i="47"/>
  <c r="S49" i="47" s="1"/>
  <c r="P83" i="80"/>
  <c r="L21" i="92"/>
  <c r="D25" i="46"/>
  <c r="C43" i="46"/>
  <c r="N25" i="46"/>
  <c r="N43" i="46" s="1"/>
  <c r="D28" i="44"/>
  <c r="C127" i="44"/>
  <c r="U45" i="77"/>
  <c r="U46" i="77" s="1"/>
  <c r="AL27" i="77"/>
  <c r="J18" i="89"/>
  <c r="AH45" i="77"/>
  <c r="AJ30" i="77"/>
  <c r="AK30" i="77" s="1"/>
  <c r="AM30" i="77"/>
  <c r="F36" i="89"/>
  <c r="AI84" i="80"/>
  <c r="AJ83" i="80"/>
  <c r="AK83" i="80" s="1"/>
  <c r="P41" i="46"/>
  <c r="K43" i="46"/>
  <c r="L41" i="46"/>
  <c r="M41" i="46" s="1"/>
  <c r="AC89" i="44"/>
  <c r="AD89" i="44" s="1"/>
  <c r="AO78" i="80"/>
  <c r="AP78" i="80" s="1"/>
  <c r="AO71" i="80"/>
  <c r="AP71" i="80" s="1"/>
  <c r="AO68" i="80"/>
  <c r="AP68" i="80" s="1"/>
  <c r="G27" i="89"/>
  <c r="J15" i="89"/>
  <c r="C45" i="77"/>
  <c r="AL43" i="77"/>
  <c r="AM40" i="77"/>
  <c r="AO40" i="77" s="1"/>
  <c r="AP40" i="77" s="1"/>
  <c r="D43" i="77"/>
  <c r="F43" i="77" s="1"/>
  <c r="F40" i="77"/>
  <c r="G40" i="77" s="1"/>
  <c r="AO41" i="80"/>
  <c r="AP41" i="80" s="1"/>
  <c r="AC19" i="44"/>
  <c r="AD19" i="44" s="1"/>
  <c r="AO51" i="80"/>
  <c r="AP51" i="80" s="1"/>
  <c r="AO53" i="80"/>
  <c r="AP53" i="80" s="1"/>
  <c r="AO16" i="80"/>
  <c r="AP16" i="80" s="1"/>
  <c r="J127" i="44"/>
  <c r="I128" i="44"/>
  <c r="AO44" i="80"/>
  <c r="AP44" i="80" s="1"/>
  <c r="AD83" i="80"/>
  <c r="AE83" i="80" s="1"/>
  <c r="AJ43" i="77"/>
  <c r="AK43" i="77" s="1"/>
  <c r="AC45" i="44"/>
  <c r="AD45" i="44" s="1"/>
  <c r="AP19" i="80"/>
  <c r="AP39" i="80"/>
  <c r="AP20" i="80"/>
  <c r="E36" i="89"/>
  <c r="AN14" i="87"/>
  <c r="L28" i="92"/>
  <c r="K28" i="92"/>
  <c r="J27" i="45"/>
  <c r="I46" i="45"/>
  <c r="M9" i="87"/>
  <c r="L14" i="87"/>
  <c r="M14" i="87" s="1"/>
  <c r="E127" i="44"/>
  <c r="F125" i="44"/>
  <c r="G125" i="44" s="1"/>
  <c r="L28" i="44"/>
  <c r="M28" i="44" s="1"/>
  <c r="K127" i="44"/>
  <c r="AA9" i="44"/>
  <c r="F9" i="44"/>
  <c r="G9" i="44" s="1"/>
  <c r="AM9" i="77"/>
  <c r="V27" i="77"/>
  <c r="X9" i="77"/>
  <c r="Y9" i="77" s="1"/>
  <c r="E45" i="77"/>
  <c r="AN43" i="77"/>
  <c r="J45" i="77"/>
  <c r="P43" i="77"/>
  <c r="R43" i="77" s="1"/>
  <c r="R29" i="77"/>
  <c r="S29" i="77" s="1"/>
  <c r="AM29" i="77"/>
  <c r="AD43" i="77"/>
  <c r="AE43" i="77" s="1"/>
  <c r="AC45" i="77"/>
  <c r="H28" i="89" s="1"/>
  <c r="AC120" i="44"/>
  <c r="AD120" i="44" s="1"/>
  <c r="AC99" i="44"/>
  <c r="AD99" i="44" s="1"/>
  <c r="Y9" i="87"/>
  <c r="X14" i="87"/>
  <c r="Y14" i="87" s="1"/>
  <c r="Q45" i="77"/>
  <c r="AC119" i="44"/>
  <c r="AD119" i="44" s="1"/>
  <c r="W83" i="80"/>
  <c r="X31" i="80"/>
  <c r="Y31" i="80" s="1"/>
  <c r="AO24" i="80"/>
  <c r="AP24" i="80" s="1"/>
  <c r="F14" i="87"/>
  <c r="G9" i="87"/>
  <c r="AA123" i="44"/>
  <c r="G123" i="44"/>
  <c r="AM41" i="77"/>
  <c r="AO41" i="77" s="1"/>
  <c r="AP41" i="77" s="1"/>
  <c r="L41" i="77"/>
  <c r="M41" i="77" s="1"/>
  <c r="AC100" i="44"/>
  <c r="AD100" i="44" s="1"/>
  <c r="AC49" i="44"/>
  <c r="AD49" i="44" s="1"/>
  <c r="AC31" i="44"/>
  <c r="AD31" i="44" s="1"/>
  <c r="AO77" i="80"/>
  <c r="AP77" i="80" s="1"/>
  <c r="AO52" i="80"/>
  <c r="AP52" i="80"/>
  <c r="L31" i="80"/>
  <c r="M31" i="80" s="1"/>
  <c r="J83" i="80"/>
  <c r="AO76" i="80"/>
  <c r="AP76" i="80" s="1"/>
  <c r="AO65" i="80"/>
  <c r="AP65" i="80" s="1"/>
  <c r="AO58" i="80"/>
  <c r="AP58" i="80" s="1"/>
  <c r="L125" i="44"/>
  <c r="M125" i="44" s="1"/>
  <c r="AJ42" i="47"/>
  <c r="AK42" i="47" s="1"/>
  <c r="AO11" i="80"/>
  <c r="AP11" i="80" s="1"/>
  <c r="AO64" i="80"/>
  <c r="AP64" i="80" s="1"/>
  <c r="AO22" i="80"/>
  <c r="AP22" i="80" s="1"/>
  <c r="AO15" i="80"/>
  <c r="AP15" i="80" s="1"/>
  <c r="I27" i="89"/>
  <c r="Z125" i="44"/>
  <c r="Z127" i="44" s="1"/>
  <c r="AD122" i="44"/>
  <c r="AM25" i="47" l="1"/>
  <c r="F25" i="47"/>
  <c r="G25" i="47" s="1"/>
  <c r="Y34" i="47"/>
  <c r="M61" i="47"/>
  <c r="R125" i="44"/>
  <c r="S125" i="44" s="1"/>
  <c r="Q127" i="44"/>
  <c r="Q128" i="44" s="1"/>
  <c r="D14" i="47"/>
  <c r="AM14" i="47" s="1"/>
  <c r="AO14" i="47" s="1"/>
  <c r="AP14" i="47" s="1"/>
  <c r="AM18" i="47"/>
  <c r="AJ33" i="47"/>
  <c r="AK33" i="47" s="1"/>
  <c r="F37" i="47"/>
  <c r="G37" i="47" s="1"/>
  <c r="AN67" i="47"/>
  <c r="AN15" i="47"/>
  <c r="AN62" i="47"/>
  <c r="AM62" i="47"/>
  <c r="AN53" i="47"/>
  <c r="AL19" i="47"/>
  <c r="AL45" i="47"/>
  <c r="J72" i="47"/>
  <c r="L72" i="47" s="1"/>
  <c r="M72" i="47" s="1"/>
  <c r="AA72" i="47"/>
  <c r="AM34" i="47"/>
  <c r="E46" i="45"/>
  <c r="E47" i="45" s="1"/>
  <c r="F27" i="45"/>
  <c r="G27" i="45" s="1"/>
  <c r="AE16" i="47"/>
  <c r="AL40" i="47"/>
  <c r="AN22" i="47"/>
  <c r="AN38" i="47"/>
  <c r="AN72" i="47" s="1"/>
  <c r="E72" i="47"/>
  <c r="J14" i="89"/>
  <c r="K14" i="89"/>
  <c r="S66" i="47"/>
  <c r="AL47" i="47"/>
  <c r="F41" i="48"/>
  <c r="G41" i="48" s="1"/>
  <c r="L43" i="77"/>
  <c r="M43" i="77" s="1"/>
  <c r="AN10" i="47"/>
  <c r="AO10" i="47" s="1"/>
  <c r="AP10" i="47" s="1"/>
  <c r="AL50" i="47"/>
  <c r="AL11" i="47"/>
  <c r="L64" i="47"/>
  <c r="M64" i="47" s="1"/>
  <c r="AL67" i="47"/>
  <c r="AN21" i="47"/>
  <c r="AL58" i="47"/>
  <c r="AM12" i="47"/>
  <c r="D15" i="47"/>
  <c r="D31" i="47" s="1"/>
  <c r="AM53" i="47"/>
  <c r="AL35" i="47"/>
  <c r="J41" i="48"/>
  <c r="R64" i="47"/>
  <c r="S64" i="47" s="1"/>
  <c r="L10" i="47"/>
  <c r="M10" i="47" s="1"/>
  <c r="X51" i="47"/>
  <c r="Y51" i="47" s="1"/>
  <c r="AD62" i="47"/>
  <c r="AE62" i="47" s="1"/>
  <c r="AC16" i="44"/>
  <c r="AD16" i="44"/>
  <c r="AC22" i="44"/>
  <c r="AD22" i="44" s="1"/>
  <c r="AD97" i="44"/>
  <c r="X81" i="80"/>
  <c r="Y81" i="80" s="1"/>
  <c r="AO18" i="48"/>
  <c r="AP18" i="48" s="1"/>
  <c r="R127" i="44"/>
  <c r="AL62" i="47"/>
  <c r="AL20" i="47"/>
  <c r="AN49" i="47"/>
  <c r="K72" i="47"/>
  <c r="X34" i="47"/>
  <c r="L27" i="47"/>
  <c r="M27" i="47" s="1"/>
  <c r="Q11" i="45"/>
  <c r="R11" i="45" s="1"/>
  <c r="P27" i="45"/>
  <c r="P46" i="45" s="1"/>
  <c r="L30" i="48"/>
  <c r="M30" i="48" s="1"/>
  <c r="K41" i="48"/>
  <c r="AC57" i="44"/>
  <c r="AD57" i="44"/>
  <c r="AD48" i="47"/>
  <c r="AE48" i="47" s="1"/>
  <c r="AC11" i="44"/>
  <c r="AD11" i="44" s="1"/>
  <c r="AB28" i="44"/>
  <c r="N792" i="79"/>
  <c r="Q41" i="48"/>
  <c r="R41" i="48" s="1"/>
  <c r="S41" i="48" s="1"/>
  <c r="AN39" i="48"/>
  <c r="AO39" i="48" s="1"/>
  <c r="AP39" i="48" s="1"/>
  <c r="Q23" i="46"/>
  <c r="R23" i="46"/>
  <c r="L792" i="79"/>
  <c r="L34" i="47"/>
  <c r="M34" i="47" s="1"/>
  <c r="R21" i="47"/>
  <c r="S21" i="47" s="1"/>
  <c r="E83" i="80"/>
  <c r="F83" i="80" s="1"/>
  <c r="G83" i="80" s="1"/>
  <c r="K46" i="45"/>
  <c r="K47" i="45" s="1"/>
  <c r="L44" i="45"/>
  <c r="M44" i="45" s="1"/>
  <c r="M9" i="83"/>
  <c r="L36" i="83"/>
  <c r="M36" i="83" s="1"/>
  <c r="AO34" i="80"/>
  <c r="AP34" i="80" s="1"/>
  <c r="Q19" i="46"/>
  <c r="R19" i="46" s="1"/>
  <c r="Q42" i="48"/>
  <c r="AN57" i="47"/>
  <c r="AL16" i="47"/>
  <c r="X48" i="47"/>
  <c r="Y48" i="47" s="1"/>
  <c r="Q11" i="46"/>
  <c r="R11" i="46"/>
  <c r="AN58" i="47"/>
  <c r="AO58" i="47" s="1"/>
  <c r="AP58" i="47" s="1"/>
  <c r="AL61" i="47"/>
  <c r="AG72" i="47"/>
  <c r="AG74" i="47" s="1"/>
  <c r="C72" i="47"/>
  <c r="X61" i="47"/>
  <c r="Y61" i="47" s="1"/>
  <c r="AL29" i="47"/>
  <c r="D22" i="47"/>
  <c r="AM22" i="47" s="1"/>
  <c r="AN41" i="47"/>
  <c r="O31" i="47"/>
  <c r="O74" i="47" s="1"/>
  <c r="AL34" i="47"/>
  <c r="AL68" i="47"/>
  <c r="AM14" i="87"/>
  <c r="AM15" i="87" s="1"/>
  <c r="AD12" i="47"/>
  <c r="AE12" i="47" s="1"/>
  <c r="AM81" i="80"/>
  <c r="R45" i="47"/>
  <c r="S45" i="47" s="1"/>
  <c r="D28" i="47"/>
  <c r="F28" i="47" s="1"/>
  <c r="G28" i="47" s="1"/>
  <c r="D17" i="47"/>
  <c r="F17" i="47" s="1"/>
  <c r="U72" i="47"/>
  <c r="D63" i="47"/>
  <c r="AM63" i="47" s="1"/>
  <c r="AO63" i="47" s="1"/>
  <c r="AP63" i="47" s="1"/>
  <c r="AL60" i="47"/>
  <c r="AN46" i="47"/>
  <c r="AL66" i="47"/>
  <c r="Y54" i="47"/>
  <c r="L39" i="47"/>
  <c r="M39" i="47" s="1"/>
  <c r="AL27" i="47"/>
  <c r="AN61" i="47"/>
  <c r="AL36" i="47"/>
  <c r="E33" i="89"/>
  <c r="R61" i="47"/>
  <c r="S61" i="47" s="1"/>
  <c r="AL13" i="47"/>
  <c r="K219" i="85"/>
  <c r="X28" i="44"/>
  <c r="Y28" i="44" s="1"/>
  <c r="AA42" i="48"/>
  <c r="J784" i="79"/>
  <c r="AB45" i="77"/>
  <c r="AD45" i="77" s="1"/>
  <c r="AE45" i="77" s="1"/>
  <c r="R28" i="47"/>
  <c r="S28" i="47" s="1"/>
  <c r="X39" i="47"/>
  <c r="Y39" i="47" s="1"/>
  <c r="X44" i="47"/>
  <c r="Y44" i="47" s="1"/>
  <c r="AN27" i="77"/>
  <c r="AM36" i="83"/>
  <c r="R13" i="47"/>
  <c r="S13" i="47" s="1"/>
  <c r="AK32" i="83"/>
  <c r="J20" i="89"/>
  <c r="AO25" i="48"/>
  <c r="AP25" i="48" s="1"/>
  <c r="W45" i="77"/>
  <c r="W46" i="77" s="1"/>
  <c r="X43" i="77"/>
  <c r="Y43" i="77" s="1"/>
  <c r="AO72" i="80"/>
  <c r="AP72" i="80" s="1"/>
  <c r="AC24" i="44"/>
  <c r="AD24" i="44"/>
  <c r="AE54" i="47"/>
  <c r="O44" i="45"/>
  <c r="Q44" i="45" s="1"/>
  <c r="R44" i="45" s="1"/>
  <c r="AC93" i="44"/>
  <c r="AD93" i="44" s="1"/>
  <c r="AB125" i="44"/>
  <c r="AB127" i="44" s="1"/>
  <c r="AD67" i="47"/>
  <c r="AE67" i="47" s="1"/>
  <c r="AL18" i="47"/>
  <c r="AL10" i="47"/>
  <c r="AL31" i="47" s="1"/>
  <c r="I31" i="47"/>
  <c r="K780" i="79"/>
  <c r="W128" i="44"/>
  <c r="L42" i="47"/>
  <c r="M42" i="47" s="1"/>
  <c r="AC54" i="44"/>
  <c r="AD54" i="44"/>
  <c r="AM31" i="80"/>
  <c r="AO31" i="80" s="1"/>
  <c r="AP31" i="80" s="1"/>
  <c r="AL69" i="47"/>
  <c r="AM44" i="47"/>
  <c r="X11" i="47"/>
  <c r="Y11" i="47" s="1"/>
  <c r="G14" i="87"/>
  <c r="N44" i="46"/>
  <c r="AN51" i="47"/>
  <c r="AN11" i="47"/>
  <c r="AL24" i="47"/>
  <c r="V72" i="47"/>
  <c r="AL70" i="47"/>
  <c r="AN14" i="47"/>
  <c r="AM66" i="47"/>
  <c r="AC31" i="47"/>
  <c r="H31" i="89" s="1"/>
  <c r="AM58" i="47"/>
  <c r="AL39" i="47"/>
  <c r="AM27" i="47"/>
  <c r="AN69" i="47"/>
  <c r="AO69" i="47" s="1"/>
  <c r="U31" i="47"/>
  <c r="O72" i="47"/>
  <c r="K784" i="79"/>
  <c r="J776" i="79"/>
  <c r="Z128" i="44" s="1"/>
  <c r="L52" i="47"/>
  <c r="M52" i="47" s="1"/>
  <c r="AD36" i="47"/>
  <c r="AE36" i="47" s="1"/>
  <c r="L56" i="47"/>
  <c r="M56" i="47" s="1"/>
  <c r="R55" i="47"/>
  <c r="S55" i="47" s="1"/>
  <c r="X35" i="47"/>
  <c r="Y35" i="47" s="1"/>
  <c r="L67" i="47"/>
  <c r="M67" i="47" s="1"/>
  <c r="K13" i="89"/>
  <c r="J13" i="89"/>
  <c r="Q13" i="45"/>
  <c r="R13" i="45"/>
  <c r="AD41" i="48"/>
  <c r="AE41" i="48"/>
  <c r="K776" i="79"/>
  <c r="K770" i="79"/>
  <c r="J780" i="79"/>
  <c r="N47" i="45" s="1"/>
  <c r="F22" i="47"/>
  <c r="G22" i="47" s="1"/>
  <c r="F10" i="47"/>
  <c r="G10" i="47" s="1"/>
  <c r="AO25" i="47"/>
  <c r="AA74" i="47"/>
  <c r="I32" i="92" s="1"/>
  <c r="F12" i="47"/>
  <c r="G12" i="47" s="1"/>
  <c r="J33" i="89"/>
  <c r="AO53" i="47"/>
  <c r="AP53" i="47" s="1"/>
  <c r="W31" i="47"/>
  <c r="G31" i="89" s="1"/>
  <c r="X18" i="47"/>
  <c r="Y18" i="47" s="1"/>
  <c r="R31" i="80"/>
  <c r="S31" i="80" s="1"/>
  <c r="AO44" i="47"/>
  <c r="I72" i="47"/>
  <c r="I74" i="47" s="1"/>
  <c r="P72" i="47"/>
  <c r="AP18" i="77"/>
  <c r="AO18" i="77"/>
  <c r="N776" i="79"/>
  <c r="AB128" i="44" s="1"/>
  <c r="J792" i="79"/>
  <c r="L780" i="79"/>
  <c r="N784" i="79"/>
  <c r="H26" i="92"/>
  <c r="K24" i="92"/>
  <c r="K26" i="92" s="1"/>
  <c r="L24" i="92"/>
  <c r="L26" i="92" s="1"/>
  <c r="AL37" i="83"/>
  <c r="AO35" i="77"/>
  <c r="AP35" i="77" s="1"/>
  <c r="R36" i="47"/>
  <c r="S36" i="47" s="1"/>
  <c r="L60" i="47"/>
  <c r="M60" i="47" s="1"/>
  <c r="AJ19" i="47"/>
  <c r="AK19" i="47" s="1"/>
  <c r="M51" i="47"/>
  <c r="L44" i="47"/>
  <c r="M44" i="47" s="1"/>
  <c r="F43" i="47"/>
  <c r="G43" i="47" s="1"/>
  <c r="D32" i="89"/>
  <c r="AO23" i="47"/>
  <c r="AP23" i="47" s="1"/>
  <c r="L57" i="47"/>
  <c r="M57" i="47" s="1"/>
  <c r="F27" i="47"/>
  <c r="G27" i="47" s="1"/>
  <c r="AO43" i="47"/>
  <c r="X72" i="47"/>
  <c r="Y72" i="47" s="1"/>
  <c r="AM39" i="47"/>
  <c r="AM41" i="47"/>
  <c r="L33" i="47"/>
  <c r="M33" i="47" s="1"/>
  <c r="L784" i="79"/>
  <c r="E84" i="80"/>
  <c r="N770" i="79"/>
  <c r="L776" i="79"/>
  <c r="K792" i="79"/>
  <c r="M776" i="79"/>
  <c r="J770" i="79"/>
  <c r="AL84" i="80" s="1"/>
  <c r="AK14" i="87"/>
  <c r="Q31" i="47"/>
  <c r="R65" i="47"/>
  <c r="S65" i="47" s="1"/>
  <c r="R16" i="47"/>
  <c r="S16" i="47" s="1"/>
  <c r="AN12" i="47"/>
  <c r="AO12" i="47" s="1"/>
  <c r="AP12" i="47" s="1"/>
  <c r="L16" i="47"/>
  <c r="M16" i="47" s="1"/>
  <c r="R56" i="47"/>
  <c r="S56" i="47" s="1"/>
  <c r="L29" i="47"/>
  <c r="M29" i="47" s="1"/>
  <c r="L25" i="47"/>
  <c r="M25" i="47" s="1"/>
  <c r="AM30" i="48"/>
  <c r="AM41" i="48" s="1"/>
  <c r="AJ30" i="48"/>
  <c r="AK30" i="48" s="1"/>
  <c r="F18" i="47"/>
  <c r="G18" i="47" s="1"/>
  <c r="AO27" i="47"/>
  <c r="AP27" i="47" s="1"/>
  <c r="AL65" i="47"/>
  <c r="F62" i="47"/>
  <c r="G62" i="47" s="1"/>
  <c r="F34" i="47"/>
  <c r="G34" i="47" s="1"/>
  <c r="AL44" i="47"/>
  <c r="AL41" i="47"/>
  <c r="Q72" i="47"/>
  <c r="V127" i="44"/>
  <c r="X127" i="44" s="1"/>
  <c r="Y127" i="44" s="1"/>
  <c r="U128" i="44"/>
  <c r="L770" i="79"/>
  <c r="M770" i="79"/>
  <c r="N780" i="79"/>
  <c r="M792" i="79"/>
  <c r="M780" i="79"/>
  <c r="AN30" i="48"/>
  <c r="X30" i="48"/>
  <c r="Y30" i="48" s="1"/>
  <c r="W41" i="48"/>
  <c r="AO9" i="48"/>
  <c r="AP9" i="48" s="1"/>
  <c r="X12" i="47"/>
  <c r="Y12" i="47" s="1"/>
  <c r="AL42" i="47"/>
  <c r="D46" i="45"/>
  <c r="F46" i="45" s="1"/>
  <c r="G46" i="45" s="1"/>
  <c r="C47" i="45"/>
  <c r="R51" i="47"/>
  <c r="S51" i="47" s="1"/>
  <c r="R17" i="47"/>
  <c r="S17" i="47" s="1"/>
  <c r="R62" i="47"/>
  <c r="S62" i="47" s="1"/>
  <c r="M14" i="47"/>
  <c r="X43" i="47"/>
  <c r="Y43" i="47" s="1"/>
  <c r="R25" i="47"/>
  <c r="S25" i="47" s="1"/>
  <c r="AJ48" i="47"/>
  <c r="AK48" i="47" s="1"/>
  <c r="R39" i="47"/>
  <c r="S39" i="47" s="1"/>
  <c r="Y56" i="47"/>
  <c r="S17" i="83"/>
  <c r="R36" i="83"/>
  <c r="S36" i="83" s="1"/>
  <c r="AK38" i="47"/>
  <c r="F44" i="45"/>
  <c r="G44" i="45" s="1"/>
  <c r="K31" i="47"/>
  <c r="AD34" i="47"/>
  <c r="AE34" i="47" s="1"/>
  <c r="AC72" i="47"/>
  <c r="H32" i="89" s="1"/>
  <c r="AD23" i="47"/>
  <c r="AE23" i="47" s="1"/>
  <c r="L17" i="47"/>
  <c r="M17" i="47" s="1"/>
  <c r="AJ70" i="47"/>
  <c r="AK70" i="47" s="1"/>
  <c r="Y60" i="47"/>
  <c r="K8" i="89"/>
  <c r="K27" i="89" s="1"/>
  <c r="F27" i="89"/>
  <c r="J8" i="89"/>
  <c r="R58" i="47"/>
  <c r="S58" i="47" s="1"/>
  <c r="AD26" i="47"/>
  <c r="AE26" i="47" s="1"/>
  <c r="I31" i="89"/>
  <c r="AI74" i="47"/>
  <c r="AM28" i="47"/>
  <c r="AM49" i="47"/>
  <c r="F16" i="47"/>
  <c r="G16" i="47" s="1"/>
  <c r="AM16" i="47"/>
  <c r="AO16" i="47" s="1"/>
  <c r="AP16" i="47" s="1"/>
  <c r="AM50" i="47"/>
  <c r="AO50" i="47" s="1"/>
  <c r="AP50" i="47" s="1"/>
  <c r="F50" i="47"/>
  <c r="G50" i="47" s="1"/>
  <c r="AM24" i="47"/>
  <c r="AO24" i="47" s="1"/>
  <c r="G38" i="47"/>
  <c r="AM38" i="47"/>
  <c r="AO38" i="47" s="1"/>
  <c r="AP38" i="47" s="1"/>
  <c r="AM54" i="47"/>
  <c r="AO54" i="47" s="1"/>
  <c r="AP54" i="47" s="1"/>
  <c r="AM61" i="47"/>
  <c r="AO61" i="47" s="1"/>
  <c r="AP61" i="47" s="1"/>
  <c r="F60" i="47"/>
  <c r="G60" i="47" s="1"/>
  <c r="AM60" i="47"/>
  <c r="AO60" i="47" s="1"/>
  <c r="AP60" i="47" s="1"/>
  <c r="F51" i="47"/>
  <c r="G51" i="47" s="1"/>
  <c r="AM51" i="47"/>
  <c r="AO51" i="47" s="1"/>
  <c r="AP51" i="47" s="1"/>
  <c r="AA75" i="47"/>
  <c r="F33" i="47"/>
  <c r="G33" i="47" s="1"/>
  <c r="AM33" i="47"/>
  <c r="AM67" i="47"/>
  <c r="AO67" i="47" s="1"/>
  <c r="AP67" i="47" s="1"/>
  <c r="G67" i="47"/>
  <c r="L9" i="47"/>
  <c r="M9" i="47" s="1"/>
  <c r="J31" i="47"/>
  <c r="G55" i="47"/>
  <c r="AM55" i="47"/>
  <c r="G26" i="47"/>
  <c r="AM26" i="47"/>
  <c r="AO26" i="47" s="1"/>
  <c r="AP26" i="47" s="1"/>
  <c r="AM57" i="47"/>
  <c r="AO57" i="47" s="1"/>
  <c r="AP57" i="47" s="1"/>
  <c r="F57" i="47"/>
  <c r="G57" i="47" s="1"/>
  <c r="G48" i="47"/>
  <c r="AM48" i="47"/>
  <c r="D31" i="89"/>
  <c r="E74" i="47"/>
  <c r="F19" i="47"/>
  <c r="G19" i="47" s="1"/>
  <c r="AM19" i="47"/>
  <c r="AO19" i="47" s="1"/>
  <c r="AP19" i="47" s="1"/>
  <c r="AM13" i="47"/>
  <c r="G13" i="47"/>
  <c r="G35" i="47"/>
  <c r="AM35" i="47"/>
  <c r="AO35" i="47" s="1"/>
  <c r="AP35" i="47" s="1"/>
  <c r="AD33" i="47"/>
  <c r="AE33" i="47" s="1"/>
  <c r="AB72" i="47"/>
  <c r="AJ9" i="47"/>
  <c r="AK9" i="47" s="1"/>
  <c r="AH31" i="47"/>
  <c r="AJ31" i="47" s="1"/>
  <c r="AK31" i="47" s="1"/>
  <c r="AM68" i="47"/>
  <c r="AO68" i="47" s="1"/>
  <c r="AP68" i="47" s="1"/>
  <c r="G68" i="47"/>
  <c r="AN26" i="83"/>
  <c r="AO26" i="83" s="1"/>
  <c r="AP26" i="83" s="1"/>
  <c r="AD26" i="83"/>
  <c r="AC36" i="83"/>
  <c r="I32" i="89"/>
  <c r="F24" i="47"/>
  <c r="G24" i="47" s="1"/>
  <c r="AO48" i="47"/>
  <c r="X33" i="47"/>
  <c r="Y33" i="47" s="1"/>
  <c r="AO62" i="47"/>
  <c r="AP62" i="47" s="1"/>
  <c r="F54" i="47"/>
  <c r="G54" i="47" s="1"/>
  <c r="U74" i="47"/>
  <c r="AO34" i="47"/>
  <c r="K34" i="89"/>
  <c r="AO22" i="47"/>
  <c r="AP22" i="47" s="1"/>
  <c r="E32" i="89"/>
  <c r="AO13" i="47"/>
  <c r="AP13" i="47" s="1"/>
  <c r="AO55" i="47"/>
  <c r="K33" i="89"/>
  <c r="F23" i="47"/>
  <c r="G23" i="47" s="1"/>
  <c r="AP25" i="47"/>
  <c r="F49" i="47"/>
  <c r="G49" i="47" s="1"/>
  <c r="C74" i="47"/>
  <c r="R33" i="47"/>
  <c r="S33" i="47" s="1"/>
  <c r="K222" i="85"/>
  <c r="R83" i="80"/>
  <c r="S83" i="80" s="1"/>
  <c r="F40" i="47"/>
  <c r="G40" i="47" s="1"/>
  <c r="AM40" i="47"/>
  <c r="AO40" i="47" s="1"/>
  <c r="AP40" i="47" s="1"/>
  <c r="F56" i="47"/>
  <c r="G56" i="47" s="1"/>
  <c r="AM56" i="47"/>
  <c r="AO56" i="47" s="1"/>
  <c r="AP56" i="47" s="1"/>
  <c r="F47" i="47"/>
  <c r="G47" i="47" s="1"/>
  <c r="AM47" i="47"/>
  <c r="AO47" i="47" s="1"/>
  <c r="AP47" i="47" s="1"/>
  <c r="G46" i="47"/>
  <c r="AM46" i="47"/>
  <c r="AM65" i="47"/>
  <c r="AO65" i="47" s="1"/>
  <c r="AP65" i="47" s="1"/>
  <c r="F65" i="47"/>
  <c r="G65" i="47" s="1"/>
  <c r="AM69" i="47"/>
  <c r="G69" i="47"/>
  <c r="F59" i="47"/>
  <c r="G59" i="47" s="1"/>
  <c r="AM59" i="47"/>
  <c r="AM64" i="47"/>
  <c r="AO64" i="47" s="1"/>
  <c r="AP64" i="47" s="1"/>
  <c r="AM11" i="47"/>
  <c r="G11" i="47"/>
  <c r="AM37" i="47"/>
  <c r="AO37" i="47" s="1"/>
  <c r="AP37" i="47" s="1"/>
  <c r="F70" i="47"/>
  <c r="G70" i="47" s="1"/>
  <c r="AM70" i="47"/>
  <c r="AO70" i="47" s="1"/>
  <c r="AP70" i="47" s="1"/>
  <c r="F52" i="47"/>
  <c r="G52" i="47" s="1"/>
  <c r="AM52" i="47"/>
  <c r="AO52" i="47" s="1"/>
  <c r="AP52" i="47" s="1"/>
  <c r="AO33" i="47"/>
  <c r="AO66" i="47"/>
  <c r="AP66" i="47" s="1"/>
  <c r="AD9" i="47"/>
  <c r="AE9" i="47" s="1"/>
  <c r="AB31" i="47"/>
  <c r="G29" i="47"/>
  <c r="AM29" i="47"/>
  <c r="AM21" i="47"/>
  <c r="F21" i="47"/>
  <c r="G21" i="47" s="1"/>
  <c r="AM36" i="47"/>
  <c r="AO36" i="47" s="1"/>
  <c r="AP36" i="47" s="1"/>
  <c r="G36" i="47"/>
  <c r="F20" i="47"/>
  <c r="G20" i="47" s="1"/>
  <c r="AM20" i="47"/>
  <c r="AO20" i="47" s="1"/>
  <c r="AP20" i="47" s="1"/>
  <c r="X9" i="47"/>
  <c r="Y9" i="47" s="1"/>
  <c r="V31" i="47"/>
  <c r="AM15" i="47"/>
  <c r="AO15" i="47" s="1"/>
  <c r="F45" i="47"/>
  <c r="G45" i="47" s="1"/>
  <c r="AM45" i="47"/>
  <c r="AO45" i="47" s="1"/>
  <c r="AP45" i="47" s="1"/>
  <c r="R9" i="47"/>
  <c r="S9" i="47" s="1"/>
  <c r="P31" i="47"/>
  <c r="F9" i="47"/>
  <c r="G9" i="47"/>
  <c r="AM9" i="47"/>
  <c r="F32" i="89"/>
  <c r="R72" i="47"/>
  <c r="S72" i="47" s="1"/>
  <c r="AO11" i="47"/>
  <c r="AP11" i="47" s="1"/>
  <c r="F14" i="47"/>
  <c r="G14" i="47" s="1"/>
  <c r="G32" i="89"/>
  <c r="G44" i="89" s="1"/>
  <c r="AO28" i="47"/>
  <c r="AO39" i="47"/>
  <c r="AP39" i="47" s="1"/>
  <c r="F64" i="47"/>
  <c r="G64" i="47" s="1"/>
  <c r="F61" i="47"/>
  <c r="G61" i="47" s="1"/>
  <c r="AO29" i="47"/>
  <c r="AP43" i="47"/>
  <c r="AP44" i="47"/>
  <c r="AO49" i="47"/>
  <c r="W74" i="47"/>
  <c r="AP34" i="47"/>
  <c r="F66" i="47"/>
  <c r="G66" i="47" s="1"/>
  <c r="J34" i="89"/>
  <c r="S127" i="44"/>
  <c r="AO42" i="47"/>
  <c r="AP42" i="47" s="1"/>
  <c r="W84" i="80"/>
  <c r="X83" i="80"/>
  <c r="Y83" i="80" s="1"/>
  <c r="F28" i="89"/>
  <c r="Q46" i="77"/>
  <c r="E46" i="77"/>
  <c r="AN45" i="77"/>
  <c r="V45" i="77"/>
  <c r="X27" i="77"/>
  <c r="Y27" i="77" s="1"/>
  <c r="AM27" i="77"/>
  <c r="AO9" i="77"/>
  <c r="AP9" i="77" s="1"/>
  <c r="L127" i="44"/>
  <c r="M127" i="44" s="1"/>
  <c r="K128" i="44"/>
  <c r="I47" i="45"/>
  <c r="J46" i="45"/>
  <c r="J36" i="89"/>
  <c r="AM43" i="77"/>
  <c r="AO43" i="77" s="1"/>
  <c r="D45" i="77"/>
  <c r="G43" i="77"/>
  <c r="C46" i="77"/>
  <c r="AL45" i="77"/>
  <c r="AL46" i="77" s="1"/>
  <c r="G28" i="89"/>
  <c r="K44" i="46"/>
  <c r="L43" i="46"/>
  <c r="M43" i="46" s="1"/>
  <c r="AO30" i="77"/>
  <c r="AP30" i="77" s="1"/>
  <c r="D28" i="89"/>
  <c r="F28" i="44"/>
  <c r="G28" i="44" s="1"/>
  <c r="D43" i="46"/>
  <c r="C44" i="46"/>
  <c r="AM83" i="80"/>
  <c r="I28" i="89"/>
  <c r="AH74" i="47"/>
  <c r="AJ72" i="47"/>
  <c r="AK72" i="47" s="1"/>
  <c r="L83" i="80"/>
  <c r="M83" i="80" s="1"/>
  <c r="AC46" i="77"/>
  <c r="AO29" i="77"/>
  <c r="AP29" i="77" s="1"/>
  <c r="S43" i="77"/>
  <c r="P45" i="77"/>
  <c r="R45" i="77" s="1"/>
  <c r="L45" i="77"/>
  <c r="M45" i="77" s="1"/>
  <c r="AA28" i="44"/>
  <c r="AC9" i="44"/>
  <c r="AD9" i="44" s="1"/>
  <c r="E128" i="44"/>
  <c r="L27" i="45"/>
  <c r="M27" i="45" s="1"/>
  <c r="AN15" i="87"/>
  <c r="AO14" i="87"/>
  <c r="AO81" i="80"/>
  <c r="AP81" i="80" s="1"/>
  <c r="AN83" i="80"/>
  <c r="P43" i="46"/>
  <c r="Q41" i="46"/>
  <c r="R41" i="46" s="1"/>
  <c r="K36" i="89"/>
  <c r="AJ45" i="77"/>
  <c r="AK45" i="77" s="1"/>
  <c r="D127" i="44"/>
  <c r="C128" i="44"/>
  <c r="O25" i="46"/>
  <c r="F25" i="46"/>
  <c r="G25" i="46" s="1"/>
  <c r="AA125" i="44"/>
  <c r="AC123" i="44"/>
  <c r="AD123" i="44" s="1"/>
  <c r="F32" i="92" l="1"/>
  <c r="F29" i="92" s="1"/>
  <c r="F30" i="92" s="1"/>
  <c r="I75" i="47"/>
  <c r="F15" i="47"/>
  <c r="G15" i="47" s="1"/>
  <c r="O46" i="45"/>
  <c r="Q46" i="45" s="1"/>
  <c r="R46" i="45" s="1"/>
  <c r="AO18" i="47"/>
  <c r="AP18" i="47" s="1"/>
  <c r="D72" i="47"/>
  <c r="F72" i="47" s="1"/>
  <c r="G72" i="47" s="1"/>
  <c r="AD72" i="47"/>
  <c r="AE72" i="47" s="1"/>
  <c r="K793" i="79"/>
  <c r="K796" i="79" s="1"/>
  <c r="Q27" i="45"/>
  <c r="R27" i="45" s="1"/>
  <c r="P47" i="45"/>
  <c r="AM72" i="47"/>
  <c r="AO72" i="47" s="1"/>
  <c r="AP72" i="47" s="1"/>
  <c r="AM17" i="47"/>
  <c r="AO17" i="47" s="1"/>
  <c r="AP17" i="47" s="1"/>
  <c r="G17" i="47"/>
  <c r="I44" i="89"/>
  <c r="AO41" i="47"/>
  <c r="AP41" i="47" s="1"/>
  <c r="F63" i="47"/>
  <c r="G63" i="47" s="1"/>
  <c r="J27" i="89"/>
  <c r="O27" i="89" s="1"/>
  <c r="L41" i="48"/>
  <c r="M41" i="48" s="1"/>
  <c r="K42" i="48"/>
  <c r="M793" i="79"/>
  <c r="M796" i="79" s="1"/>
  <c r="AL72" i="47"/>
  <c r="AL74" i="47" s="1"/>
  <c r="AL75" i="47" s="1"/>
  <c r="K32" i="89"/>
  <c r="AC74" i="47"/>
  <c r="K74" i="47"/>
  <c r="K75" i="47" s="1"/>
  <c r="E31" i="89"/>
  <c r="E44" i="89" s="1"/>
  <c r="AO30" i="48"/>
  <c r="AP30" i="48" s="1"/>
  <c r="AN41" i="48"/>
  <c r="L793" i="79"/>
  <c r="L796" i="79" s="1"/>
  <c r="J793" i="79"/>
  <c r="J796" i="79" s="1"/>
  <c r="AL42" i="48"/>
  <c r="N793" i="79"/>
  <c r="N796" i="79" s="1"/>
  <c r="X41" i="48"/>
  <c r="Y41" i="48" s="1"/>
  <c r="W42" i="48"/>
  <c r="F31" i="89"/>
  <c r="Q76" i="47" s="1"/>
  <c r="Q74" i="47"/>
  <c r="Q75" i="47" s="1"/>
  <c r="AN31" i="47"/>
  <c r="AN74" i="47" s="1"/>
  <c r="AN75" i="47" s="1"/>
  <c r="G45" i="89"/>
  <c r="G47" i="89"/>
  <c r="W75" i="47"/>
  <c r="W76" i="47"/>
  <c r="AM31" i="47"/>
  <c r="AO9" i="47"/>
  <c r="AP9" i="47" s="1"/>
  <c r="F31" i="47"/>
  <c r="G31" i="47" s="1"/>
  <c r="D74" i="47"/>
  <c r="R31" i="47"/>
  <c r="P74" i="47"/>
  <c r="S31" i="47"/>
  <c r="G32" i="92"/>
  <c r="O75" i="47"/>
  <c r="H36" i="89"/>
  <c r="H44" i="89" s="1"/>
  <c r="AN36" i="83"/>
  <c r="D44" i="89"/>
  <c r="AI75" i="47"/>
  <c r="AI76" i="47"/>
  <c r="AP69" i="47"/>
  <c r="AP33" i="47"/>
  <c r="AP28" i="47"/>
  <c r="AG75" i="47"/>
  <c r="J32" i="92"/>
  <c r="J29" i="92" s="1"/>
  <c r="J30" i="92" s="1"/>
  <c r="V74" i="47"/>
  <c r="X31" i="47"/>
  <c r="Y31" i="47" s="1"/>
  <c r="AB74" i="47"/>
  <c r="AD31" i="47"/>
  <c r="AE31" i="47" s="1"/>
  <c r="AO59" i="47"/>
  <c r="AP59" i="47" s="1"/>
  <c r="AO46" i="47"/>
  <c r="AP46" i="47" s="1"/>
  <c r="C75" i="47"/>
  <c r="E32" i="92"/>
  <c r="H32" i="92"/>
  <c r="H29" i="92" s="1"/>
  <c r="H30" i="92" s="1"/>
  <c r="U75" i="47"/>
  <c r="AE26" i="83"/>
  <c r="AD36" i="83"/>
  <c r="AE36" i="83" s="1"/>
  <c r="E76" i="47"/>
  <c r="E75" i="47"/>
  <c r="L31" i="47"/>
  <c r="M31" i="47" s="1"/>
  <c r="J74" i="47"/>
  <c r="L74" i="47" s="1"/>
  <c r="M74" i="47" s="1"/>
  <c r="AP15" i="47"/>
  <c r="AP29" i="47"/>
  <c r="AO21" i="47"/>
  <c r="AP21" i="47" s="1"/>
  <c r="J32" i="89"/>
  <c r="AP48" i="47"/>
  <c r="AP55" i="47"/>
  <c r="AP24" i="47"/>
  <c r="AP49" i="47"/>
  <c r="O43" i="46"/>
  <c r="Q25" i="46"/>
  <c r="R25" i="46" s="1"/>
  <c r="AO83" i="80"/>
  <c r="AP83" i="80" s="1"/>
  <c r="AN84" i="80"/>
  <c r="AP14" i="87"/>
  <c r="AO15" i="87"/>
  <c r="AA127" i="44"/>
  <c r="AC28" i="44"/>
  <c r="AD28" i="44" s="1"/>
  <c r="AJ74" i="47"/>
  <c r="AK74" i="47" s="1"/>
  <c r="F43" i="46"/>
  <c r="G43" i="46" s="1"/>
  <c r="AM45" i="77"/>
  <c r="O36" i="89"/>
  <c r="X45" i="77"/>
  <c r="Y45" i="77" s="1"/>
  <c r="AN46" i="77"/>
  <c r="F127" i="44"/>
  <c r="G127" i="44" s="1"/>
  <c r="Q43" i="46"/>
  <c r="P44" i="46"/>
  <c r="E45" i="89"/>
  <c r="E47" i="89"/>
  <c r="L46" i="45"/>
  <c r="M46" i="45" s="1"/>
  <c r="AO27" i="77"/>
  <c r="AP27" i="77" s="1"/>
  <c r="AC125" i="44"/>
  <c r="AD125" i="44" s="1"/>
  <c r="S45" i="77"/>
  <c r="AP43" i="77"/>
  <c r="F45" i="77"/>
  <c r="G45" i="77" s="1"/>
  <c r="J31" i="89" l="1"/>
  <c r="I45" i="89"/>
  <c r="I47" i="89"/>
  <c r="AM74" i="47"/>
  <c r="AO74" i="47" s="1"/>
  <c r="R74" i="47"/>
  <c r="S74" i="47" s="1"/>
  <c r="K31" i="89"/>
  <c r="K44" i="89" s="1"/>
  <c r="K47" i="89" s="1"/>
  <c r="F44" i="89"/>
  <c r="K76" i="47"/>
  <c r="AN42" i="48"/>
  <c r="AO41" i="48"/>
  <c r="AP41" i="48" s="1"/>
  <c r="AC75" i="47"/>
  <c r="AC76" i="47"/>
  <c r="E29" i="92"/>
  <c r="K32" i="92"/>
  <c r="X74" i="47"/>
  <c r="Y74" i="47" s="1"/>
  <c r="AN37" i="83"/>
  <c r="AO36" i="83"/>
  <c r="AP36" i="83" s="1"/>
  <c r="AO31" i="47"/>
  <c r="AP31" i="47" s="1"/>
  <c r="AD74" i="47"/>
  <c r="AE74" i="47"/>
  <c r="D45" i="89"/>
  <c r="D47" i="89"/>
  <c r="H45" i="89"/>
  <c r="H47" i="89"/>
  <c r="L32" i="92"/>
  <c r="G29" i="92"/>
  <c r="F74" i="47"/>
  <c r="G74" i="47"/>
  <c r="AC127" i="44"/>
  <c r="AD127" i="44" s="1"/>
  <c r="AP74" i="47"/>
  <c r="AO45" i="77"/>
  <c r="AP45" i="77" s="1"/>
  <c r="R43" i="46"/>
  <c r="O34" i="89" l="1"/>
  <c r="J44" i="89"/>
  <c r="J47" i="89" s="1"/>
  <c r="F45" i="89"/>
  <c r="F47" i="89"/>
  <c r="E30" i="92"/>
  <c r="K29" i="92"/>
  <c r="K30" i="92" s="1"/>
  <c r="L29" i="92"/>
  <c r="L30" i="92" s="1"/>
  <c r="G30" i="92"/>
</calcChain>
</file>

<file path=xl/comments1.xml><?xml version="1.0" encoding="utf-8"?>
<comments xmlns="http://schemas.openxmlformats.org/spreadsheetml/2006/main">
  <authors>
    <author>Tamela Hatfield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interest stmt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stmt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stmt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Provided by bank.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Use the bank statements debits/ credits for these, adjusting for outstanding items at year end offset by outstanding items from prior period.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Use the bank statements debits/ credits for these, adjusting for outstanding items at year end offset by outstanding items from prior period.</t>
        </r>
      </text>
    </comment>
  </commentList>
</comments>
</file>

<file path=xl/comments2.xml><?xml version="1.0" encoding="utf-8"?>
<comments xmlns="http://schemas.openxmlformats.org/spreadsheetml/2006/main">
  <authors>
    <author>Tamela Hatfield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stmt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stmt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Tamela Hatfield:</t>
        </r>
        <r>
          <rPr>
            <sz val="9"/>
            <color indexed="81"/>
            <rFont val="Tahoma"/>
            <family val="2"/>
          </rPr>
          <t xml:space="preserve">
per stmt
</t>
        </r>
      </text>
    </comment>
  </commentList>
</comments>
</file>

<file path=xl/sharedStrings.xml><?xml version="1.0" encoding="utf-8"?>
<sst xmlns="http://schemas.openxmlformats.org/spreadsheetml/2006/main" count="12472" uniqueCount="3484">
  <si>
    <t xml:space="preserve">  </t>
  </si>
  <si>
    <t>WATER SALES RESIDENTIAL</t>
  </si>
  <si>
    <t>WATER SALES BUSINESS</t>
  </si>
  <si>
    <t>WATER SALES SCHOOLS</t>
  </si>
  <si>
    <t>WATER SALES MULTIPLES</t>
  </si>
  <si>
    <t>WATER SALES GOVERMENT</t>
  </si>
  <si>
    <t>FIRE SYSTEM CHARGE</t>
  </si>
  <si>
    <t>LATE CHARGE FEES</t>
  </si>
  <si>
    <t>BACKFLOW REVENUE</t>
  </si>
  <si>
    <t>FLAT RATE ACCOUNTS</t>
  </si>
  <si>
    <t>RECLAIMED WATER SALES</t>
  </si>
  <si>
    <t>CAPITAL SURCHARGE</t>
  </si>
  <si>
    <t>CAPACITY CHARGES</t>
  </si>
  <si>
    <t>INTEREST INCOME</t>
  </si>
  <si>
    <t>INTEREST INCOME INTERNAL LOAN</t>
  </si>
  <si>
    <t>INTEREST INCOME - 2006 BOND</t>
  </si>
  <si>
    <t>PLAN CHECK/PERMIT FEES</t>
  </si>
  <si>
    <t>OTHER INCOME</t>
  </si>
  <si>
    <t>INSURANCE REFUNDS</t>
  </si>
  <si>
    <t>METER FEES</t>
  </si>
  <si>
    <t>DEFD REVENUE -2006 SERIES BOND</t>
  </si>
  <si>
    <t>DEVELOPER FEES</t>
  </si>
  <si>
    <t>SEWER SALES</t>
  </si>
  <si>
    <t>ACCOUNT NAME</t>
  </si>
  <si>
    <t>WATER SALES</t>
  </si>
  <si>
    <t>MARINA WATER</t>
  </si>
  <si>
    <t>MARINA SEWER</t>
  </si>
  <si>
    <t>ORD WATER</t>
  </si>
  <si>
    <t>ORD SEWER</t>
  </si>
  <si>
    <t>TOTAL</t>
  </si>
  <si>
    <t>TOTAL REVENUE</t>
  </si>
  <si>
    <t>MARINA COAST WATER DISTRICT</t>
  </si>
  <si>
    <t>GRANT REVENUE</t>
  </si>
  <si>
    <t/>
  </si>
  <si>
    <t>INTEREST EXPENSE</t>
  </si>
  <si>
    <t>% CHANGE</t>
  </si>
  <si>
    <t>WAGES - CON</t>
  </si>
  <si>
    <t>OVERTIME</t>
  </si>
  <si>
    <t>MEDICAL INSURANCE</t>
  </si>
  <si>
    <t>LIFE INSURANCE EXPENSE</t>
  </si>
  <si>
    <t>SUI EXPENSE</t>
  </si>
  <si>
    <t>ETT EXPENSE</t>
  </si>
  <si>
    <t>DISABILITY PLAN</t>
  </si>
  <si>
    <t>CALPERS RETIREMENT</t>
  </si>
  <si>
    <t>CALPERS RETIREMENT (EE)</t>
  </si>
  <si>
    <t>TOTAL SALARY &amp; BENEFIT</t>
  </si>
  <si>
    <t>BOOKS &amp; REF. MATERIAL</t>
  </si>
  <si>
    <t>PRINTING</t>
  </si>
  <si>
    <t>OFFICE SUPPLY</t>
  </si>
  <si>
    <t>GENERAL SUPPLY</t>
  </si>
  <si>
    <t>COMPUTERS/DATA PROCESSING</t>
  </si>
  <si>
    <t>ADVERTISEMENT</t>
  </si>
  <si>
    <t>CONSULTING SERVICES</t>
  </si>
  <si>
    <t>TRAVEL</t>
  </si>
  <si>
    <t>MEMBERSHIPS &amp; DUES</t>
  </si>
  <si>
    <t>FLEET MAINTENANCE</t>
  </si>
  <si>
    <t>TOILET &amp; SHOWER HEAD</t>
  </si>
  <si>
    <t>WASHING MACHINE REBATE</t>
  </si>
  <si>
    <t>CONSERVATION EDUCATION</t>
  </si>
  <si>
    <t>LANDSCAPE REBATE</t>
  </si>
  <si>
    <t>LANDSCAPE DEMONSTRATION</t>
  </si>
  <si>
    <t>TOTAL DEPARTMENT EXPENSE</t>
  </si>
  <si>
    <t>TOTAL EXPENSE</t>
  </si>
  <si>
    <t>WAGES - LAB</t>
  </si>
  <si>
    <t>UNIFORM BENEFIT</t>
  </si>
  <si>
    <t>BOOT BENEFIT</t>
  </si>
  <si>
    <t>CHEMICALS</t>
  </si>
  <si>
    <t>GLASSWARE</t>
  </si>
  <si>
    <t>CONTRACT TESTING</t>
  </si>
  <si>
    <t>QUALITY CONTROL PROGRAM</t>
  </si>
  <si>
    <t>POSTAGE</t>
  </si>
  <si>
    <t>SAFETY</t>
  </si>
  <si>
    <t>LAB PERMITS</t>
  </si>
  <si>
    <t>CERTIFICATION</t>
  </si>
  <si>
    <t>DESAL - MONITORING</t>
  </si>
  <si>
    <t>LAB MAINT. &amp; REPAIR</t>
  </si>
  <si>
    <t>WAGES - OPM</t>
  </si>
  <si>
    <t>DENTAL INSURANCE</t>
  </si>
  <si>
    <t>VISION INSURANCE</t>
  </si>
  <si>
    <t>WORKERS COMP. INSURANCE</t>
  </si>
  <si>
    <t>SUPPLIES</t>
  </si>
  <si>
    <t>O&amp;M POWER/GAS</t>
  </si>
  <si>
    <t>LUBRICANTS</t>
  </si>
  <si>
    <t>PHONE</t>
  </si>
  <si>
    <t>METERS</t>
  </si>
  <si>
    <t>ANNUAL MAINTENANCE PROGRAM</t>
  </si>
  <si>
    <t>WELL #10 MAINT &amp; EQUIP</t>
  </si>
  <si>
    <t>WELL #10 POWER</t>
  </si>
  <si>
    <t>WELL #11 MAINT &amp; EQUIP</t>
  </si>
  <si>
    <t>WELL #11 POWER</t>
  </si>
  <si>
    <t>WELL #12 MAINT &amp; EQUIP</t>
  </si>
  <si>
    <t>WELL #12 POWER</t>
  </si>
  <si>
    <t>WELL #2 POWER</t>
  </si>
  <si>
    <t>DESAL POWER</t>
  </si>
  <si>
    <t>L/S 2 MAINT &amp; EQUIP</t>
  </si>
  <si>
    <t>L/S 2 POWER</t>
  </si>
  <si>
    <t>L/S 3 MAINT &amp; EQUIP</t>
  </si>
  <si>
    <t>L/S 3 POWER</t>
  </si>
  <si>
    <t>L/S 5 MAINT &amp; EQUIP</t>
  </si>
  <si>
    <t>L/S 5 POWER</t>
  </si>
  <si>
    <t>L/S 6 MAINT &amp; EQUIP</t>
  </si>
  <si>
    <t>L/S 6 POWER</t>
  </si>
  <si>
    <t>MARINA BOOSTER MAINT &amp; EQUIP</t>
  </si>
  <si>
    <t>MARINA BOOSTER POWER</t>
  </si>
  <si>
    <t>TELEMETRY SYSTEM</t>
  </si>
  <si>
    <t>WELL #29 MAINT &amp; EQUIP</t>
  </si>
  <si>
    <t>WELL #29 POWER</t>
  </si>
  <si>
    <t>WELL #30 MAINT &amp; EQUIP</t>
  </si>
  <si>
    <t>WELL #30 POWER</t>
  </si>
  <si>
    <t>WELL #31 MAINT &amp; EQUIP</t>
  </si>
  <si>
    <t>WELL #31 POWER</t>
  </si>
  <si>
    <t>B/C BOOSTER MAINT &amp; EQUIP</t>
  </si>
  <si>
    <t>B/C BOOSTER POWER</t>
  </si>
  <si>
    <t>D BOOSTER MAINT &amp; EQUIP</t>
  </si>
  <si>
    <t>D BOOSTER POWER</t>
  </si>
  <si>
    <t>E BOOSTER MAINT &amp; EQUIP</t>
  </si>
  <si>
    <t>E BOOSTER POWER</t>
  </si>
  <si>
    <t>F BOOSTER MAINT &amp; EQUIP</t>
  </si>
  <si>
    <t>F BOOSTER POWER</t>
  </si>
  <si>
    <t>BOOSTER/SANDTANK MAINT &amp; EQUIP</t>
  </si>
  <si>
    <t>BOOSTER/SANDTANK POWER</t>
  </si>
  <si>
    <t>L/S RESERVATION MAINT &amp; EQUIP</t>
  </si>
  <si>
    <t>L/S RESERVATION POWER</t>
  </si>
  <si>
    <t>L/S 528 A/FIELD MAINT &amp; EQUIP</t>
  </si>
  <si>
    <t>L/S 528 A/FIELD POWER</t>
  </si>
  <si>
    <t>L/S 530 A/FIELD MAINT &amp; EQUIP</t>
  </si>
  <si>
    <t>L/S 530 A/FIELD POWER</t>
  </si>
  <si>
    <t>L/S 4906 POWER</t>
  </si>
  <si>
    <t>L/S 5398 W/MEYER MAINT &amp; EQUIP</t>
  </si>
  <si>
    <t>L/S 5398 W/MEYER POWER</t>
  </si>
  <si>
    <t>L/S 5447 LANDRUM MAINT &amp; EQUIP</t>
  </si>
  <si>
    <t>L/S 5447 LANDRUM POWER</t>
  </si>
  <si>
    <t>L/S 5713 S/OVER MAINT &amp; EQUIP</t>
  </si>
  <si>
    <t>L/S 5713 S/OVER POWER</t>
  </si>
  <si>
    <t>L/S 5790 HODGES MAINT &amp; EQUIP</t>
  </si>
  <si>
    <t>L/S 5790 HODGES POWER</t>
  </si>
  <si>
    <t>L/S 5871 IMJIN MAINT &amp; EQUIP</t>
  </si>
  <si>
    <t>L/S 5871 IMJIN POWER</t>
  </si>
  <si>
    <t>L/S 5990 ORD/V MAINT &amp; EQUIP</t>
  </si>
  <si>
    <t>L/S 5990 ORD/V POWER</t>
  </si>
  <si>
    <t>L/S 6143 CLARK MAINT &amp; EQUIP</t>
  </si>
  <si>
    <t>L/S 6143 CLARK POWER</t>
  </si>
  <si>
    <t>L/S 6634 HATTEN MAINT &amp; EQUIP</t>
  </si>
  <si>
    <t>L/S 6634 HATTEN POWER</t>
  </si>
  <si>
    <t>L/S 7698 GIGLING MAINT &amp; EQUIP</t>
  </si>
  <si>
    <t>L/S 7698 GIGLING POWER</t>
  </si>
  <si>
    <t>L/S 8775 BOOKER MAINT &amp; EQUIP</t>
  </si>
  <si>
    <t>L/S 8775 BOOKER POWER</t>
  </si>
  <si>
    <t>L/S 514 CARMEL MAINT &amp; EQUIP</t>
  </si>
  <si>
    <t>L/S 514 CARMEL POWER</t>
  </si>
  <si>
    <t>WAGES - ENG</t>
  </si>
  <si>
    <t>BOOTS BENEFIT</t>
  </si>
  <si>
    <t>ENGINEERING CONSULTANTS</t>
  </si>
  <si>
    <t>FICA EXPENSE</t>
  </si>
  <si>
    <t>MEDI EXPENSE</t>
  </si>
  <si>
    <t>CAR ALLOWANCE EXPENSE</t>
  </si>
  <si>
    <t>LIABILITY INSURANCE</t>
  </si>
  <si>
    <t>PROPERTY INSURANCE</t>
  </si>
  <si>
    <t>AUTO INSURANCE</t>
  </si>
  <si>
    <t>OFFICE POWER/GAS</t>
  </si>
  <si>
    <t>BUILDING SECURITY</t>
  </si>
  <si>
    <t>TRASH SERVICES</t>
  </si>
  <si>
    <t>ANSWERING SERVICE</t>
  </si>
  <si>
    <t>RENT/LEASE EQUIPMENT</t>
  </si>
  <si>
    <t>MAINTENANCE AGREEMENTS</t>
  </si>
  <si>
    <t>HOSPITALITY &amp; AWARDS</t>
  </si>
  <si>
    <t>ACCOUNTING SERVICES</t>
  </si>
  <si>
    <t>LEGAL FEES</t>
  </si>
  <si>
    <t>CONFERENCE ATTENDANCE</t>
  </si>
  <si>
    <t>EDUCATION EXPENSES</t>
  </si>
  <si>
    <t>PERMITS</t>
  </si>
  <si>
    <t>BANK &amp; ADMINISTRATION FEE</t>
  </si>
  <si>
    <t>BANK FEE -  2006 BOND</t>
  </si>
  <si>
    <t>INTEREST - INTERNAL LOAN</t>
  </si>
  <si>
    <t>LEASED EQUIPMENT INTEREST</t>
  </si>
  <si>
    <t>FRANCHISE FEE</t>
  </si>
  <si>
    <t>FORA ADMIN./LIAISON FEES</t>
  </si>
  <si>
    <t>MEMBERSHIP ON FORA BOARD</t>
  </si>
  <si>
    <t>BAD DEBT EXPENSE</t>
  </si>
  <si>
    <t>HOT WATER RECIR REBATE</t>
  </si>
  <si>
    <t>CONFERENCE (BOD)</t>
  </si>
  <si>
    <t>WHEELING CHARGE</t>
  </si>
  <si>
    <t>SEWER SALES RESIDENTIAL</t>
  </si>
  <si>
    <t>OPEB EXPENSE</t>
  </si>
  <si>
    <t>RECYCLED WATER</t>
  </si>
  <si>
    <t>IOP INTEREST EXPENSE</t>
  </si>
  <si>
    <t>IOP EXPENSE</t>
  </si>
  <si>
    <t>REGIONAL PROJECT</t>
  </si>
  <si>
    <t>OTHER WATER SALES</t>
  </si>
  <si>
    <t>INTERTIE #2 MAINT &amp; EQUIP</t>
  </si>
  <si>
    <t>INTERTIE #2 POWER</t>
  </si>
  <si>
    <t>TOTAL OPERATING REVENUES</t>
  </si>
  <si>
    <t>TOTAL NON OPERATING REVENUES</t>
  </si>
  <si>
    <t>Description</t>
  </si>
  <si>
    <t>01-02-010-000</t>
  </si>
  <si>
    <t>01-02-015-000</t>
  </si>
  <si>
    <t>01-02-016-000</t>
  </si>
  <si>
    <t>01-02-020-202</t>
  </si>
  <si>
    <t>01-02-020-203</t>
  </si>
  <si>
    <t>01-02-020-204</t>
  </si>
  <si>
    <t>01-02-020-205</t>
  </si>
  <si>
    <t>01-02-020-206</t>
  </si>
  <si>
    <t>01-02-020-208</t>
  </si>
  <si>
    <t>01-02-020-209</t>
  </si>
  <si>
    <t>01-02-020-210</t>
  </si>
  <si>
    <t>01-02-020-211</t>
  </si>
  <si>
    <t>01-02-020-212</t>
  </si>
  <si>
    <t>01-02-020-213</t>
  </si>
  <si>
    <t>01-02-020-215</t>
  </si>
  <si>
    <t>01-02-020-217</t>
  </si>
  <si>
    <t>01-02-020-218</t>
  </si>
  <si>
    <t>01-02-020-220</t>
  </si>
  <si>
    <t>01-02-033-106</t>
  </si>
  <si>
    <t>01-02-035-003</t>
  </si>
  <si>
    <t>01-02-035-005</t>
  </si>
  <si>
    <t>01-02-040-019</t>
  </si>
  <si>
    <t>01-02-040-024</t>
  </si>
  <si>
    <t>01-02-050-120</t>
  </si>
  <si>
    <t>01-02-050-121</t>
  </si>
  <si>
    <t>01-02-050-122</t>
  </si>
  <si>
    <t>01-02-050-124</t>
  </si>
  <si>
    <t>GENERAL O&amp;M CHEMICALS</t>
  </si>
  <si>
    <t>01-02-050-125</t>
  </si>
  <si>
    <t>01-02-050-127</t>
  </si>
  <si>
    <t>01-02-050-130</t>
  </si>
  <si>
    <t>01-02-050-135</t>
  </si>
  <si>
    <t>01-02-051-121</t>
  </si>
  <si>
    <t>01-02-051-122</t>
  </si>
  <si>
    <t>01-02-052-121</t>
  </si>
  <si>
    <t>01-02-052-122</t>
  </si>
  <si>
    <t>01-02-053-121</t>
  </si>
  <si>
    <t>01-02-053-122</t>
  </si>
  <si>
    <t>01-02-054-121</t>
  </si>
  <si>
    <t>01-02-054-122</t>
  </si>
  <si>
    <t>WELL #2 MAINT &amp; EQUIP</t>
  </si>
  <si>
    <t>01-02-055-121</t>
  </si>
  <si>
    <t>01-02-055-122</t>
  </si>
  <si>
    <t>01-02-058-122</t>
  </si>
  <si>
    <t>01-02-059-000</t>
  </si>
  <si>
    <t>01-02-068-000</t>
  </si>
  <si>
    <t>01-02-070-121</t>
  </si>
  <si>
    <t>01-02-070-122</t>
  </si>
  <si>
    <t>01-02-071-000</t>
  </si>
  <si>
    <t>02-02-010-000</t>
  </si>
  <si>
    <t>02-02-015-000</t>
  </si>
  <si>
    <t>02-02-016-000</t>
  </si>
  <si>
    <t>02-02-020-202</t>
  </si>
  <si>
    <t>02-02-020-203</t>
  </si>
  <si>
    <t>02-02-020-204</t>
  </si>
  <si>
    <t>02-02-020-205</t>
  </si>
  <si>
    <t>02-02-020-206</t>
  </si>
  <si>
    <t>02-02-020-208</t>
  </si>
  <si>
    <t>02-02-020-209</t>
  </si>
  <si>
    <t>02-02-020-210</t>
  </si>
  <si>
    <t>02-02-020-211</t>
  </si>
  <si>
    <t>02-02-020-212</t>
  </si>
  <si>
    <t>02-02-020-213</t>
  </si>
  <si>
    <t>02-02-020-215</t>
  </si>
  <si>
    <t>02-02-020-217</t>
  </si>
  <si>
    <t>02-02-020-218</t>
  </si>
  <si>
    <t>02-02-020-220</t>
  </si>
  <si>
    <t>02-02-033-106</t>
  </si>
  <si>
    <t>02-02-035-003</t>
  </si>
  <si>
    <t>02-02-035-005</t>
  </si>
  <si>
    <t>02-02-040-019</t>
  </si>
  <si>
    <t>02-02-040-024</t>
  </si>
  <si>
    <t>02-02-050-120</t>
  </si>
  <si>
    <t>02-02-050-121</t>
  </si>
  <si>
    <t>02-02-050-122</t>
  </si>
  <si>
    <t>02-02-050-124</t>
  </si>
  <si>
    <t>02-02-050-125</t>
  </si>
  <si>
    <t>02-02-050-135</t>
  </si>
  <si>
    <t>02-02-059-000</t>
  </si>
  <si>
    <t>02-02-061-121</t>
  </si>
  <si>
    <t>02-02-061-122</t>
  </si>
  <si>
    <t>02-02-062-121</t>
  </si>
  <si>
    <t>02-02-062-122</t>
  </si>
  <si>
    <t>02-02-064-121</t>
  </si>
  <si>
    <t>02-02-064-122</t>
  </si>
  <si>
    <t>02-02-065-121</t>
  </si>
  <si>
    <t>02-02-065-122</t>
  </si>
  <si>
    <t>02-02-068-000</t>
  </si>
  <si>
    <t>02-02-071-000</t>
  </si>
  <si>
    <t>03-02-010-000</t>
  </si>
  <si>
    <t>03-02-015-000</t>
  </si>
  <si>
    <t>03-02-016-000</t>
  </si>
  <si>
    <t>03-02-020-202</t>
  </si>
  <si>
    <t>03-02-020-203</t>
  </si>
  <si>
    <t>03-02-020-204</t>
  </si>
  <si>
    <t>03-02-020-205</t>
  </si>
  <si>
    <t>03-02-020-206</t>
  </si>
  <si>
    <t>03-02-020-208</t>
  </si>
  <si>
    <t>03-02-020-209</t>
  </si>
  <si>
    <t>03-02-020-210</t>
  </si>
  <si>
    <t>03-02-020-211</t>
  </si>
  <si>
    <t>03-02-020-212</t>
  </si>
  <si>
    <t>03-02-020-213</t>
  </si>
  <si>
    <t>03-02-020-215</t>
  </si>
  <si>
    <t>03-02-020-217</t>
  </si>
  <si>
    <t>03-02-020-218</t>
  </si>
  <si>
    <t>03-02-020-220</t>
  </si>
  <si>
    <t>03-02-033-106</t>
  </si>
  <si>
    <t>03-02-035-003</t>
  </si>
  <si>
    <t>03-02-035-005</t>
  </si>
  <si>
    <t>03-02-040-019</t>
  </si>
  <si>
    <t>03-02-040-024</t>
  </si>
  <si>
    <t>03-02-050-120</t>
  </si>
  <si>
    <t>03-02-050-121</t>
  </si>
  <si>
    <t>03-02-050-122</t>
  </si>
  <si>
    <t>03-02-050-124</t>
  </si>
  <si>
    <t>03-02-050-125</t>
  </si>
  <si>
    <t>03-02-050-127</t>
  </si>
  <si>
    <t>03-02-050-130</t>
  </si>
  <si>
    <t>03-02-050-135</t>
  </si>
  <si>
    <t>03-02-059-000</t>
  </si>
  <si>
    <t>03-02-068-000</t>
  </si>
  <si>
    <t>03-02-071-000</t>
  </si>
  <si>
    <t>03-02-081-121</t>
  </si>
  <si>
    <t>03-02-081-122</t>
  </si>
  <si>
    <t>03-02-082-121</t>
  </si>
  <si>
    <t>03-02-082-122</t>
  </si>
  <si>
    <t>03-02-083-121</t>
  </si>
  <si>
    <t>03-02-083-122</t>
  </si>
  <si>
    <t>03-02-084-121</t>
  </si>
  <si>
    <t>03-02-084-122</t>
  </si>
  <si>
    <t>03-02-085-121</t>
  </si>
  <si>
    <t>03-02-085-122</t>
  </si>
  <si>
    <t>03-02-086-121</t>
  </si>
  <si>
    <t>03-02-086-122</t>
  </si>
  <si>
    <t>03-02-088-121</t>
  </si>
  <si>
    <t>03-02-088-122</t>
  </si>
  <si>
    <t>03-02-090-121</t>
  </si>
  <si>
    <t>03-02-090-122</t>
  </si>
  <si>
    <t>03-02-091-121</t>
  </si>
  <si>
    <t>03-02-091-122</t>
  </si>
  <si>
    <t>WELL #34 MAINT &amp; EQUIP</t>
  </si>
  <si>
    <t>03-02-092-121</t>
  </si>
  <si>
    <t>WELL #34 POWER</t>
  </si>
  <si>
    <t>03-02-092-122</t>
  </si>
  <si>
    <t>04-02-010-000</t>
  </si>
  <si>
    <t>04-02-015-000</t>
  </si>
  <si>
    <t>04-02-016-000</t>
  </si>
  <si>
    <t>04-02-020-202</t>
  </si>
  <si>
    <t>04-02-020-203</t>
  </si>
  <si>
    <t>04-02-020-204</t>
  </si>
  <si>
    <t>04-02-020-205</t>
  </si>
  <si>
    <t>04-02-020-206</t>
  </si>
  <si>
    <t>04-02-020-208</t>
  </si>
  <si>
    <t>04-02-020-209</t>
  </si>
  <si>
    <t>04-02-020-210</t>
  </si>
  <si>
    <t>04-02-020-211</t>
  </si>
  <si>
    <t>04-02-020-212</t>
  </si>
  <si>
    <t>04-02-020-213</t>
  </si>
  <si>
    <t>04-02-020-215</t>
  </si>
  <si>
    <t>04-02-020-217</t>
  </si>
  <si>
    <t>04-02-020-218</t>
  </si>
  <si>
    <t>04-02-020-220</t>
  </si>
  <si>
    <t>04-02-033-106</t>
  </si>
  <si>
    <t>04-02-035-003</t>
  </si>
  <si>
    <t>04-02-035-005</t>
  </si>
  <si>
    <t>04-02-040-019</t>
  </si>
  <si>
    <t>04-02-040-024</t>
  </si>
  <si>
    <t>04-02-050-120</t>
  </si>
  <si>
    <t>04-02-050-121</t>
  </si>
  <si>
    <t>04-02-050-122</t>
  </si>
  <si>
    <t>04-02-050-124</t>
  </si>
  <si>
    <t>04-02-050-125</t>
  </si>
  <si>
    <t>04-02-050-135</t>
  </si>
  <si>
    <t>04-02-059-000</t>
  </si>
  <si>
    <t>04-02-068-000</t>
  </si>
  <si>
    <t>04-02-071-000</t>
  </si>
  <si>
    <t>04-02-100-121</t>
  </si>
  <si>
    <t>04-02-100-122</t>
  </si>
  <si>
    <t>04-02-101-121</t>
  </si>
  <si>
    <t>04-02-101-122</t>
  </si>
  <si>
    <t>04-02-102-121</t>
  </si>
  <si>
    <t>04-02-102-122</t>
  </si>
  <si>
    <t>04-02-106-122</t>
  </si>
  <si>
    <t>04-02-107-121</t>
  </si>
  <si>
    <t>04-02-107-122</t>
  </si>
  <si>
    <t>04-02-108-121</t>
  </si>
  <si>
    <t>04-02-108-122</t>
  </si>
  <si>
    <t>04-02-109-121</t>
  </si>
  <si>
    <t>04-02-109-122</t>
  </si>
  <si>
    <t>04-02-110-121</t>
  </si>
  <si>
    <t>04-02-110-122</t>
  </si>
  <si>
    <t>04-02-111-121</t>
  </si>
  <si>
    <t>04-02-111-122</t>
  </si>
  <si>
    <t>04-02-112-121</t>
  </si>
  <si>
    <t>04-02-112-122</t>
  </si>
  <si>
    <t>04-02-114-121</t>
  </si>
  <si>
    <t>04-02-114-122</t>
  </si>
  <si>
    <t>04-02-116-121</t>
  </si>
  <si>
    <t>04-02-116-122</t>
  </si>
  <si>
    <t>04-02-117-121</t>
  </si>
  <si>
    <t>04-02-117-122</t>
  </si>
  <si>
    <t>04-02-118-121</t>
  </si>
  <si>
    <t>04-02-118-122</t>
  </si>
  <si>
    <t>04-02-122-121</t>
  </si>
  <si>
    <t>04-02-122-122</t>
  </si>
  <si>
    <t>04-02-123-121</t>
  </si>
  <si>
    <t>04-02-123-122</t>
  </si>
  <si>
    <t>01-03-033-106</t>
  </si>
  <si>
    <t>01-03-020-211</t>
  </si>
  <si>
    <t>01-03-020-217</t>
  </si>
  <si>
    <t>01-03-020-218</t>
  </si>
  <si>
    <t>01-03-040-028</t>
  </si>
  <si>
    <t>01-03-033-102</t>
  </si>
  <si>
    <t>01-03-033-108</t>
  </si>
  <si>
    <t>01-03-020-205</t>
  </si>
  <si>
    <t>01-03-020-215</t>
  </si>
  <si>
    <t>01-03-020-213</t>
  </si>
  <si>
    <t>01-03-020-202</t>
  </si>
  <si>
    <t>01-03-034-004</t>
  </si>
  <si>
    <t>01-03-033-104</t>
  </si>
  <si>
    <t>01-03-060-112</t>
  </si>
  <si>
    <t>01-03-040-026</t>
  </si>
  <si>
    <t>01-03-020-209</t>
  </si>
  <si>
    <t>01-03-020-203</t>
  </si>
  <si>
    <t>01-03-020-204</t>
  </si>
  <si>
    <t>01-03-040-025</t>
  </si>
  <si>
    <t>01-03-035-003</t>
  </si>
  <si>
    <t>01-03-020-220</t>
  </si>
  <si>
    <t>01-03-015-000</t>
  </si>
  <si>
    <t>01-03-035-001</t>
  </si>
  <si>
    <t>01-03-035-002</t>
  </si>
  <si>
    <t>01-03-034-008</t>
  </si>
  <si>
    <t>01-03-020-212</t>
  </si>
  <si>
    <t>01-03-020-210</t>
  </si>
  <si>
    <t>01-03-020-206</t>
  </si>
  <si>
    <t>01-03-010-000</t>
  </si>
  <si>
    <t>01-03-020-208</t>
  </si>
  <si>
    <t>03-03-033-106</t>
  </si>
  <si>
    <t>03-03-020-211</t>
  </si>
  <si>
    <t>03-03-020-217</t>
  </si>
  <si>
    <t>03-03-020-218</t>
  </si>
  <si>
    <t>03-03-040-028</t>
  </si>
  <si>
    <t>03-03-033-102</t>
  </si>
  <si>
    <t>03-03-033-108</t>
  </si>
  <si>
    <t>03-03-020-205</t>
  </si>
  <si>
    <t>03-03-058-123</t>
  </si>
  <si>
    <t>03-03-020-215</t>
  </si>
  <si>
    <t>03-03-020-213</t>
  </si>
  <si>
    <t>03-03-020-203</t>
  </si>
  <si>
    <t>03-03-020-202</t>
  </si>
  <si>
    <t>03-03-034-004</t>
  </si>
  <si>
    <t>03-03-033-104</t>
  </si>
  <si>
    <t>03-03-060-112</t>
  </si>
  <si>
    <t>03-03-040-026</t>
  </si>
  <si>
    <t>03-03-020-209</t>
  </si>
  <si>
    <t>03-03-020-204</t>
  </si>
  <si>
    <t>03-03-040-025</t>
  </si>
  <si>
    <t>03-03-035-003</t>
  </si>
  <si>
    <t>03-03-020-220</t>
  </si>
  <si>
    <t>03-03-015-000</t>
  </si>
  <si>
    <t>03-03-035-001</t>
  </si>
  <si>
    <t>03-03-035-002</t>
  </si>
  <si>
    <t>03-03-034-008</t>
  </si>
  <si>
    <t>03-03-020-212</t>
  </si>
  <si>
    <t>03-03-020-210</t>
  </si>
  <si>
    <t>03-03-020-206</t>
  </si>
  <si>
    <t>03-03-010-000</t>
  </si>
  <si>
    <t>03-03-020-208</t>
  </si>
  <si>
    <t>01-04-035-007</t>
  </si>
  <si>
    <t>01-04-033-106</t>
  </si>
  <si>
    <t>01-04-020-217</t>
  </si>
  <si>
    <t>01-04-020-218</t>
  </si>
  <si>
    <t>01-04-035-005</t>
  </si>
  <si>
    <t>01-04-076-005</t>
  </si>
  <si>
    <t>01-04-038-111</t>
  </si>
  <si>
    <t>01-04-020-205</t>
  </si>
  <si>
    <t>01-04-020-215</t>
  </si>
  <si>
    <t>01-04-020-213</t>
  </si>
  <si>
    <t>01-04-020-203</t>
  </si>
  <si>
    <t>01-04-020-202</t>
  </si>
  <si>
    <t>01-04-035-004</t>
  </si>
  <si>
    <t>01-04-076-015</t>
  </si>
  <si>
    <t>01-04-077-000</t>
  </si>
  <si>
    <t>01-04-076-010</t>
  </si>
  <si>
    <t>01-04-020-209</t>
  </si>
  <si>
    <t>01-04-020-204</t>
  </si>
  <si>
    <t>01-04-040-025</t>
  </si>
  <si>
    <t>01-04-020-220</t>
  </si>
  <si>
    <t>01-04-015-000</t>
  </si>
  <si>
    <t>01-04-035-002</t>
  </si>
  <si>
    <t>01-04-020-212</t>
  </si>
  <si>
    <t>01-04-076-000</t>
  </si>
  <si>
    <t>01-04-020-206</t>
  </si>
  <si>
    <t>01-04-010-000</t>
  </si>
  <si>
    <t>01-04-076-001</t>
  </si>
  <si>
    <t>01-04-020-208</t>
  </si>
  <si>
    <t>03-04-035-007</t>
  </si>
  <si>
    <t>03-04-033-106</t>
  </si>
  <si>
    <t>03-04-020-217</t>
  </si>
  <si>
    <t>03-04-020-218</t>
  </si>
  <si>
    <t>03-04-035-005</t>
  </si>
  <si>
    <t>03-04-076-005</t>
  </si>
  <si>
    <t>03-04-038-111</t>
  </si>
  <si>
    <t>03-04-020-205</t>
  </si>
  <si>
    <t>03-04-020-215</t>
  </si>
  <si>
    <t>03-04-020-213</t>
  </si>
  <si>
    <t>03-04-020-203</t>
  </si>
  <si>
    <t>03-04-020-202</t>
  </si>
  <si>
    <t>03-04-035-004</t>
  </si>
  <si>
    <t>03-04-076-015</t>
  </si>
  <si>
    <t>03-04-077-000</t>
  </si>
  <si>
    <t>03-04-076-010</t>
  </si>
  <si>
    <t>03-04-020-209</t>
  </si>
  <si>
    <t>03-04-020-204</t>
  </si>
  <si>
    <t>03-04-040-025</t>
  </si>
  <si>
    <t>03-04-020-220</t>
  </si>
  <si>
    <t>03-04-015-000</t>
  </si>
  <si>
    <t>03-04-035-002</t>
  </si>
  <si>
    <t>03-04-020-212</t>
  </si>
  <si>
    <t>03-04-076-000</t>
  </si>
  <si>
    <t>03-04-020-206</t>
  </si>
  <si>
    <t>03-04-010-000</t>
  </si>
  <si>
    <t>03-04-076-001</t>
  </si>
  <si>
    <t>03-04-020-208</t>
  </si>
  <si>
    <t>01-05-020-211</t>
  </si>
  <si>
    <t>01-05-020-217</t>
  </si>
  <si>
    <t>01-05-020-218</t>
  </si>
  <si>
    <t>01-05-020-205</t>
  </si>
  <si>
    <t>01-05-020-215</t>
  </si>
  <si>
    <t>01-05-040-027</t>
  </si>
  <si>
    <t>01-05-040-030</t>
  </si>
  <si>
    <t>01-05-020-213</t>
  </si>
  <si>
    <t>01-05-020-203</t>
  </si>
  <si>
    <t>01-05-020-202</t>
  </si>
  <si>
    <t>01-05-020-209</t>
  </si>
  <si>
    <t>01-05-020-204</t>
  </si>
  <si>
    <t>01-05-040-025</t>
  </si>
  <si>
    <t>01-05-035-003</t>
  </si>
  <si>
    <t>01-05-020-220</t>
  </si>
  <si>
    <t>01-05-015-000</t>
  </si>
  <si>
    <t>01-05-035-001</t>
  </si>
  <si>
    <t>01-05-020-212</t>
  </si>
  <si>
    <t>01-05-020-210</t>
  </si>
  <si>
    <t>01-05-020-206</t>
  </si>
  <si>
    <t>01-05-010-000</t>
  </si>
  <si>
    <t>01-05-010-005</t>
  </si>
  <si>
    <t>01-05-020-208</t>
  </si>
  <si>
    <t>02-05-020-211</t>
  </si>
  <si>
    <t>02-05-020-217</t>
  </si>
  <si>
    <t>02-05-020-218</t>
  </si>
  <si>
    <t>02-05-020-205</t>
  </si>
  <si>
    <t>02-05-020-215</t>
  </si>
  <si>
    <t>02-05-040-027</t>
  </si>
  <si>
    <t>02-05-040-030</t>
  </si>
  <si>
    <t>02-05-020-213</t>
  </si>
  <si>
    <t>02-05-020-203</t>
  </si>
  <si>
    <t>02-05-020-202</t>
  </si>
  <si>
    <t>02-05-020-209</t>
  </si>
  <si>
    <t>02-05-020-204</t>
  </si>
  <si>
    <t>02-05-040-025</t>
  </si>
  <si>
    <t>02-05-035-003</t>
  </si>
  <si>
    <t>02-05-020-220</t>
  </si>
  <si>
    <t>02-05-015-000</t>
  </si>
  <si>
    <t>02-05-035-001</t>
  </si>
  <si>
    <t>02-05-020-212</t>
  </si>
  <si>
    <t>02-05-020-210</t>
  </si>
  <si>
    <t>02-05-020-206</t>
  </si>
  <si>
    <t>02-05-010-000</t>
  </si>
  <si>
    <t>02-05-010-005</t>
  </si>
  <si>
    <t>02-05-020-208</t>
  </si>
  <si>
    <t>03-05-020-211</t>
  </si>
  <si>
    <t>03-05-020-217</t>
  </si>
  <si>
    <t>03-05-020-218</t>
  </si>
  <si>
    <t>03-05-020-205</t>
  </si>
  <si>
    <t>03-05-020-215</t>
  </si>
  <si>
    <t>03-05-040-027</t>
  </si>
  <si>
    <t>03-05-040-030</t>
  </si>
  <si>
    <t>03-05-020-213</t>
  </si>
  <si>
    <t>03-05-020-203</t>
  </si>
  <si>
    <t>03-05-020-202</t>
  </si>
  <si>
    <t>03-05-020-209</t>
  </si>
  <si>
    <t>03-05-020-204</t>
  </si>
  <si>
    <t>03-05-040-025</t>
  </si>
  <si>
    <t>03-05-035-003</t>
  </si>
  <si>
    <t>03-05-020-220</t>
  </si>
  <si>
    <t>03-05-015-000</t>
  </si>
  <si>
    <t>03-05-035-001</t>
  </si>
  <si>
    <t>03-05-020-212</t>
  </si>
  <si>
    <t>03-05-020-210</t>
  </si>
  <si>
    <t>03-05-020-206</t>
  </si>
  <si>
    <t>03-05-010-000</t>
  </si>
  <si>
    <t>03-05-010-005</t>
  </si>
  <si>
    <t>03-05-020-208</t>
  </si>
  <si>
    <t>04-05-020-211</t>
  </si>
  <si>
    <t>04-05-020-217</t>
  </si>
  <si>
    <t>04-05-020-218</t>
  </si>
  <si>
    <t>04-05-020-205</t>
  </si>
  <si>
    <t>04-05-020-215</t>
  </si>
  <si>
    <t>04-05-040-027</t>
  </si>
  <si>
    <t>04-05-040-030</t>
  </si>
  <si>
    <t>04-05-020-213</t>
  </si>
  <si>
    <t>04-05-020-203</t>
  </si>
  <si>
    <t>04-05-020-202</t>
  </si>
  <si>
    <t>04-05-020-209</t>
  </si>
  <si>
    <t>04-05-020-204</t>
  </si>
  <si>
    <t>04-05-040-025</t>
  </si>
  <si>
    <t>04-05-035-003</t>
  </si>
  <si>
    <t>04-05-020-220</t>
  </si>
  <si>
    <t>04-05-015-000</t>
  </si>
  <si>
    <t>04-05-035-001</t>
  </si>
  <si>
    <t>04-05-020-212</t>
  </si>
  <si>
    <t>04-05-020-210</t>
  </si>
  <si>
    <t>04-05-020-206</t>
  </si>
  <si>
    <t>04-05-010-000</t>
  </si>
  <si>
    <t>04-05-010-005</t>
  </si>
  <si>
    <t>04-05-020-208</t>
  </si>
  <si>
    <t>01-01-045-025</t>
  </si>
  <si>
    <t>2010 BOND INTEREST EXPENSE</t>
  </si>
  <si>
    <t>01-01-045-008</t>
  </si>
  <si>
    <t>01-01-038-110</t>
  </si>
  <si>
    <t>01-01-035-007</t>
  </si>
  <si>
    <t>01-01-031-126</t>
  </si>
  <si>
    <t>01-01-030-012</t>
  </si>
  <si>
    <t>01-01-095-000</t>
  </si>
  <si>
    <t>01-01-040-027</t>
  </si>
  <si>
    <t>01-01-040-030</t>
  </si>
  <si>
    <t>BANK FEE - 2010 BOND</t>
  </si>
  <si>
    <t>01-01-040-035</t>
  </si>
  <si>
    <t>01-01-031-124</t>
  </si>
  <si>
    <t>01-01-020-217</t>
  </si>
  <si>
    <t>01-01-020-218</t>
  </si>
  <si>
    <t>01-01-020-214</t>
  </si>
  <si>
    <t>01-01-035-005</t>
  </si>
  <si>
    <t>01-01-040-019</t>
  </si>
  <si>
    <t>01-01-040-018</t>
  </si>
  <si>
    <t>01-01-038-111</t>
  </si>
  <si>
    <t>01-01-020-205</t>
  </si>
  <si>
    <t>01-01-020-215</t>
  </si>
  <si>
    <t>01-01-040-020</t>
  </si>
  <si>
    <t>01-01-020-213</t>
  </si>
  <si>
    <t>01-01-020-202</t>
  </si>
  <si>
    <t>01-01-035-004</t>
  </si>
  <si>
    <t>01-01-035-009</t>
  </si>
  <si>
    <t>01-01-045-000</t>
  </si>
  <si>
    <t>01-01-080-025</t>
  </si>
  <si>
    <t>01-01-045-035</t>
  </si>
  <si>
    <t>01-01-045-030</t>
  </si>
  <si>
    <t>01-01-038-113</t>
  </si>
  <si>
    <t>01-01-030-006</t>
  </si>
  <si>
    <t>01-01-020-209</t>
  </si>
  <si>
    <t>01-01-035-008</t>
  </si>
  <si>
    <t>01-01-020-203</t>
  </si>
  <si>
    <t>01-01-020-204</t>
  </si>
  <si>
    <t>01-01-040-025</t>
  </si>
  <si>
    <t>01-01-031-123</t>
  </si>
  <si>
    <t>01-01-035-003</t>
  </si>
  <si>
    <t>01-01-020-220</t>
  </si>
  <si>
    <t>01-01-015-000</t>
  </si>
  <si>
    <t>01-01-040-026</t>
  </si>
  <si>
    <t>01-01-031-127</t>
  </si>
  <si>
    <t>01-01-035-001</t>
  </si>
  <si>
    <t>01-01-035-002</t>
  </si>
  <si>
    <t>01-01-030-011</t>
  </si>
  <si>
    <t>01-01-031-128</t>
  </si>
  <si>
    <t>01-01-040-024</t>
  </si>
  <si>
    <t>01-01-016-000</t>
  </si>
  <si>
    <t>01-01-020-212</t>
  </si>
  <si>
    <t>01-01-031-125</t>
  </si>
  <si>
    <t>01-01-040-022</t>
  </si>
  <si>
    <t>01-01-020-206</t>
  </si>
  <si>
    <t>WAGES - ADM</t>
  </si>
  <si>
    <t>01-01-010-000</t>
  </si>
  <si>
    <t>WAGES ALLOCATED TO CAPITAL</t>
  </si>
  <si>
    <t>01-01-010-005</t>
  </si>
  <si>
    <t>01-01-020-208</t>
  </si>
  <si>
    <t>02-01-045-025</t>
  </si>
  <si>
    <t>02-01-045-008</t>
  </si>
  <si>
    <t>02-01-038-110</t>
  </si>
  <si>
    <t>02-01-035-007</t>
  </si>
  <si>
    <t>02-01-031-126</t>
  </si>
  <si>
    <t>02-01-030-012</t>
  </si>
  <si>
    <t>02-01-095-000</t>
  </si>
  <si>
    <t>02-01-040-027</t>
  </si>
  <si>
    <t>02-01-040-030</t>
  </si>
  <si>
    <t>02-01-040-035</t>
  </si>
  <si>
    <t>02-01-031-124</t>
  </si>
  <si>
    <t>02-01-020-217</t>
  </si>
  <si>
    <t>02-01-020-218</t>
  </si>
  <si>
    <t>02-01-020-214</t>
  </si>
  <si>
    <t>02-01-035-005</t>
  </si>
  <si>
    <t>02-01-040-019</t>
  </si>
  <si>
    <t>02-01-040-018</t>
  </si>
  <si>
    <t>02-01-038-111</t>
  </si>
  <si>
    <t>02-01-020-205</t>
  </si>
  <si>
    <t>02-01-020-215</t>
  </si>
  <si>
    <t>02-01-040-020</t>
  </si>
  <si>
    <t>02-01-020-213</t>
  </si>
  <si>
    <t>02-01-020-202</t>
  </si>
  <si>
    <t>02-01-035-004</t>
  </si>
  <si>
    <t>02-01-035-009</t>
  </si>
  <si>
    <t>02-01-045-000</t>
  </si>
  <si>
    <t>02-01-080-025</t>
  </si>
  <si>
    <t>02-01-045-035</t>
  </si>
  <si>
    <t>02-01-045-030</t>
  </si>
  <si>
    <t>02-01-038-113</t>
  </si>
  <si>
    <t>02-01-030-006</t>
  </si>
  <si>
    <t>02-01-020-209</t>
  </si>
  <si>
    <t>02-01-035-008</t>
  </si>
  <si>
    <t>02-01-020-203</t>
  </si>
  <si>
    <t>02-01-020-204</t>
  </si>
  <si>
    <t>02-01-040-025</t>
  </si>
  <si>
    <t>02-01-031-123</t>
  </si>
  <si>
    <t>02-01-035-003</t>
  </si>
  <si>
    <t>02-01-020-220</t>
  </si>
  <si>
    <t>02-01-015-000</t>
  </si>
  <si>
    <t>02-01-040-026</t>
  </si>
  <si>
    <t>02-01-031-127</t>
  </si>
  <si>
    <t>02-01-035-001</t>
  </si>
  <si>
    <t>02-01-035-002</t>
  </si>
  <si>
    <t>02-01-030-011</t>
  </si>
  <si>
    <t>02-01-031-128</t>
  </si>
  <si>
    <t>02-01-040-024</t>
  </si>
  <si>
    <t>02-01-016-000</t>
  </si>
  <si>
    <t>02-01-020-212</t>
  </si>
  <si>
    <t>02-01-031-125</t>
  </si>
  <si>
    <t>02-01-040-022</t>
  </si>
  <si>
    <t>02-01-020-206</t>
  </si>
  <si>
    <t>02-01-010-000</t>
  </si>
  <si>
    <t>02-01-010-005</t>
  </si>
  <si>
    <t>02-01-020-208</t>
  </si>
  <si>
    <t>03-01-045-025</t>
  </si>
  <si>
    <t>03-01-045-008</t>
  </si>
  <si>
    <t>03-01-038-110</t>
  </si>
  <si>
    <t>03-01-035-007</t>
  </si>
  <si>
    <t>03-01-031-126</t>
  </si>
  <si>
    <t>03-01-030-012</t>
  </si>
  <si>
    <t>03-01-095-000</t>
  </si>
  <si>
    <t>03-01-040-027</t>
  </si>
  <si>
    <t>03-01-040-030</t>
  </si>
  <si>
    <t>03-01-040-035</t>
  </si>
  <si>
    <t>03-01-031-124</t>
  </si>
  <si>
    <t>03-01-020-217</t>
  </si>
  <si>
    <t>03-01-020-218</t>
  </si>
  <si>
    <t>03-01-020-214</t>
  </si>
  <si>
    <t>03-01-035-005</t>
  </si>
  <si>
    <t>03-01-040-019</t>
  </si>
  <si>
    <t>03-01-040-018</t>
  </si>
  <si>
    <t>03-01-038-111</t>
  </si>
  <si>
    <t>03-01-020-205</t>
  </si>
  <si>
    <t>03-01-020-215</t>
  </si>
  <si>
    <t>03-01-040-020</t>
  </si>
  <si>
    <t>03-01-020-213</t>
  </si>
  <si>
    <t>03-01-020-202</t>
  </si>
  <si>
    <t>03-01-091-004</t>
  </si>
  <si>
    <t>03-01-091-003</t>
  </si>
  <si>
    <t>03-01-035-004</t>
  </si>
  <si>
    <t>03-01-035-009</t>
  </si>
  <si>
    <t>03-01-045-020</t>
  </si>
  <si>
    <t>03-01-045-000</t>
  </si>
  <si>
    <t>03-01-080-025</t>
  </si>
  <si>
    <t>03-01-045-035</t>
  </si>
  <si>
    <t>03-01-045-030</t>
  </si>
  <si>
    <t>03-01-038-113</t>
  </si>
  <si>
    <t>03-01-030-006</t>
  </si>
  <si>
    <t>03-01-020-209</t>
  </si>
  <si>
    <t>03-01-035-008</t>
  </si>
  <si>
    <t>03-01-020-203</t>
  </si>
  <si>
    <t>03-01-020-204</t>
  </si>
  <si>
    <t>03-01-091-006</t>
  </si>
  <si>
    <t>03-01-040-025</t>
  </si>
  <si>
    <t>03-01-031-123</t>
  </si>
  <si>
    <t>03-01-035-003</t>
  </si>
  <si>
    <t>03-01-020-220</t>
  </si>
  <si>
    <t>03-01-015-000</t>
  </si>
  <si>
    <t>03-01-040-026</t>
  </si>
  <si>
    <t>03-01-031-127</t>
  </si>
  <si>
    <t>03-01-035-001</t>
  </si>
  <si>
    <t>03-01-035-002</t>
  </si>
  <si>
    <t>03-01-030-011</t>
  </si>
  <si>
    <t>03-01-031-128</t>
  </si>
  <si>
    <t>03-01-040-024</t>
  </si>
  <si>
    <t>03-01-016-000</t>
  </si>
  <si>
    <t>03-01-020-212</t>
  </si>
  <si>
    <t>03-01-031-125</t>
  </si>
  <si>
    <t>03-01-040-022</t>
  </si>
  <si>
    <t>03-01-020-206</t>
  </si>
  <si>
    <t>03-01-010-000</t>
  </si>
  <si>
    <t>03-01-010-005</t>
  </si>
  <si>
    <t>03-01-020-208</t>
  </si>
  <si>
    <t>04-01-045-025</t>
  </si>
  <si>
    <t>04-01-045-008</t>
  </si>
  <si>
    <t>04-01-038-110</t>
  </si>
  <si>
    <t>04-01-035-007</t>
  </si>
  <si>
    <t>04-01-031-126</t>
  </si>
  <si>
    <t>04-01-030-012</t>
  </si>
  <si>
    <t>04-01-095-000</t>
  </si>
  <si>
    <t>04-01-040-027</t>
  </si>
  <si>
    <t>04-01-040-030</t>
  </si>
  <si>
    <t>04-01-040-035</t>
  </si>
  <si>
    <t>04-01-031-124</t>
  </si>
  <si>
    <t>04-01-020-217</t>
  </si>
  <si>
    <t>04-01-020-218</t>
  </si>
  <si>
    <t>04-01-020-214</t>
  </si>
  <si>
    <t>04-01-035-005</t>
  </si>
  <si>
    <t>04-01-040-019</t>
  </si>
  <si>
    <t>04-01-040-018</t>
  </si>
  <si>
    <t>04-01-038-111</t>
  </si>
  <si>
    <t>04-01-020-205</t>
  </si>
  <si>
    <t>04-01-020-215</t>
  </si>
  <si>
    <t>04-01-040-020</t>
  </si>
  <si>
    <t>04-01-020-213</t>
  </si>
  <si>
    <t>04-01-020-202</t>
  </si>
  <si>
    <t>04-01-091-003</t>
  </si>
  <si>
    <t>04-01-035-004</t>
  </si>
  <si>
    <t>04-01-035-009</t>
  </si>
  <si>
    <t>04-01-045-020</t>
  </si>
  <si>
    <t>04-01-045-000</t>
  </si>
  <si>
    <t>04-01-080-025</t>
  </si>
  <si>
    <t>04-01-045-035</t>
  </si>
  <si>
    <t>04-01-045-030</t>
  </si>
  <si>
    <t>04-01-038-113</t>
  </si>
  <si>
    <t>04-01-030-006</t>
  </si>
  <si>
    <t>04-01-020-209</t>
  </si>
  <si>
    <t>04-01-035-008</t>
  </si>
  <si>
    <t>04-01-020-203</t>
  </si>
  <si>
    <t>04-01-020-204</t>
  </si>
  <si>
    <t>04-01-040-025</t>
  </si>
  <si>
    <t>04-01-031-123</t>
  </si>
  <si>
    <t>04-01-035-003</t>
  </si>
  <si>
    <t>04-01-020-220</t>
  </si>
  <si>
    <t>04-01-015-000</t>
  </si>
  <si>
    <t>04-01-040-026</t>
  </si>
  <si>
    <t>04-01-031-127</t>
  </si>
  <si>
    <t>04-01-035-001</t>
  </si>
  <si>
    <t>04-01-035-002</t>
  </si>
  <si>
    <t>04-01-030-011</t>
  </si>
  <si>
    <t>04-01-031-128</t>
  </si>
  <si>
    <t>04-01-040-024</t>
  </si>
  <si>
    <t>04-01-016-000</t>
  </si>
  <si>
    <t>04-01-020-212</t>
  </si>
  <si>
    <t>04-01-031-125</t>
  </si>
  <si>
    <t>04-01-040-022</t>
  </si>
  <si>
    <t>04-01-020-206</t>
  </si>
  <si>
    <t>04-01-010-000</t>
  </si>
  <si>
    <t>04-01-010-005</t>
  </si>
  <si>
    <t>04-01-020-208</t>
  </si>
  <si>
    <t>05-01-045-025</t>
  </si>
  <si>
    <t>05-01-038-113</t>
  </si>
  <si>
    <t>INTEREST INCOME - 2010 BOND</t>
  </si>
  <si>
    <t>DEFD REVENUE -2010 SERIES BOND</t>
  </si>
  <si>
    <t>ACTUALS</t>
  </si>
  <si>
    <t>ENVIRONMENTAL INSURANCE</t>
  </si>
  <si>
    <t>01-00-400-001</t>
  </si>
  <si>
    <t>01-00-400-002</t>
  </si>
  <si>
    <t>01-00-400-003</t>
  </si>
  <si>
    <t>01-00-400-004</t>
  </si>
  <si>
    <t>01-00-400-005</t>
  </si>
  <si>
    <t>01-00-400-006</t>
  </si>
  <si>
    <t>01-00-400-007</t>
  </si>
  <si>
    <t>01-00-400-008</t>
  </si>
  <si>
    <t>HYDRANT METER</t>
  </si>
  <si>
    <t>01-00-400-011</t>
  </si>
  <si>
    <t>01-00-400-020</t>
  </si>
  <si>
    <t>01-00-410-001</t>
  </si>
  <si>
    <t>01-00-400-010</t>
  </si>
  <si>
    <t>01-00-415-001</t>
  </si>
  <si>
    <t>01-00-415-003</t>
  </si>
  <si>
    <t>01-00-415-015</t>
  </si>
  <si>
    <t>01-00-415-025</t>
  </si>
  <si>
    <t>01-00-415-035</t>
  </si>
  <si>
    <t>01-00-420-001</t>
  </si>
  <si>
    <t>01-00-490-010</t>
  </si>
  <si>
    <t>GAIN/LOSS ON ASSET SALES</t>
  </si>
  <si>
    <t>01-00-485-001</t>
  </si>
  <si>
    <t>01-00-415-004</t>
  </si>
  <si>
    <t>01-00-411-000</t>
  </si>
  <si>
    <t>01-00-411-020</t>
  </si>
  <si>
    <t>01-00-411-030</t>
  </si>
  <si>
    <t>01-02-056-122</t>
  </si>
  <si>
    <t>WELL #8 POWER</t>
  </si>
  <si>
    <t>01-02-056-121</t>
  </si>
  <si>
    <t>WELL #8 MAINT &amp; EQUIP</t>
  </si>
  <si>
    <t>MEDICAL INSURNACE</t>
  </si>
  <si>
    <t>02-00-415-004</t>
  </si>
  <si>
    <t>02-00-450-001</t>
  </si>
  <si>
    <t>02-00-450-002</t>
  </si>
  <si>
    <t>02-00-410-001</t>
  </si>
  <si>
    <t>02-00-400-010</t>
  </si>
  <si>
    <t>02-00-415-001</t>
  </si>
  <si>
    <t>02-00-415-003</t>
  </si>
  <si>
    <t>02-00-415-025</t>
  </si>
  <si>
    <t>02-00-415-035</t>
  </si>
  <si>
    <t>02-00-490-010</t>
  </si>
  <si>
    <t>02-00-485-001</t>
  </si>
  <si>
    <t>02-00-411-000</t>
  </si>
  <si>
    <t>02-00-411-020</t>
  </si>
  <si>
    <t>02-00-411-030</t>
  </si>
  <si>
    <t>02-02-050-127</t>
  </si>
  <si>
    <t>WORKERS COMP INSURANCE</t>
  </si>
  <si>
    <t>03-00-400-002</t>
  </si>
  <si>
    <t>03-00-400-003</t>
  </si>
  <si>
    <t>03-00-400-004</t>
  </si>
  <si>
    <t>03-00-400-005</t>
  </si>
  <si>
    <t>03-00-400-006</t>
  </si>
  <si>
    <t>03-00-400-007</t>
  </si>
  <si>
    <t>03-00-400-020</t>
  </si>
  <si>
    <t>03-00-400-001</t>
  </si>
  <si>
    <t>03-00-400-011</t>
  </si>
  <si>
    <t>03-00-400-012</t>
  </si>
  <si>
    <t>03-00-400-017</t>
  </si>
  <si>
    <t>03-00-405-015</t>
  </si>
  <si>
    <t>03-00-410-001</t>
  </si>
  <si>
    <t>03-00-400-010</t>
  </si>
  <si>
    <t>03-00-415-001</t>
  </si>
  <si>
    <t>03-00-415-003</t>
  </si>
  <si>
    <t>03-00-415-015</t>
  </si>
  <si>
    <t>03-00-415-025</t>
  </si>
  <si>
    <t>03-00-415-035</t>
  </si>
  <si>
    <t>03-00-420-001</t>
  </si>
  <si>
    <t>03-00-490-010</t>
  </si>
  <si>
    <t>03-00-485-001</t>
  </si>
  <si>
    <t>03-00-411-000</t>
  </si>
  <si>
    <t>03-00-411-030</t>
  </si>
  <si>
    <t>LIFE INUSRANCE EXPENSE</t>
  </si>
  <si>
    <t>WATKINS GATE WELL MAINT &amp; EQUI</t>
  </si>
  <si>
    <t>WATKINS GATE WELL POWER</t>
  </si>
  <si>
    <t>04-00-410-001</t>
  </si>
  <si>
    <t>04-00-450-002</t>
  </si>
  <si>
    <t>04-00-450-001</t>
  </si>
  <si>
    <t>04-00-405-015</t>
  </si>
  <si>
    <t>04-00-400-010</t>
  </si>
  <si>
    <t>04-00-415-001</t>
  </si>
  <si>
    <t>04-00-415-003</t>
  </si>
  <si>
    <t>04-00-415-025</t>
  </si>
  <si>
    <t>04-00-415-035</t>
  </si>
  <si>
    <t>04-00-420-001</t>
  </si>
  <si>
    <t>04-00-490-010</t>
  </si>
  <si>
    <t>04-00-485-001</t>
  </si>
  <si>
    <t>04-00-411-000</t>
  </si>
  <si>
    <t>04-00-411-030</t>
  </si>
  <si>
    <t>04-02-050-127</t>
  </si>
  <si>
    <t>EG LIFT STATION MAINT &amp; EQUIP</t>
  </si>
  <si>
    <t>EG LIFT STATION POWER</t>
  </si>
  <si>
    <t>04-02-103-121</t>
  </si>
  <si>
    <t>L/S 703 ARMY RSV MAINT &amp; EQUIP</t>
  </si>
  <si>
    <t>05-00-415-003</t>
  </si>
  <si>
    <t>05-00-415-025</t>
  </si>
  <si>
    <t>05-00-420-001</t>
  </si>
  <si>
    <t>05-00-411-030</t>
  </si>
  <si>
    <t>01-00-411-035</t>
  </si>
  <si>
    <t>04-00-411-035</t>
  </si>
  <si>
    <t>03-00-411-035</t>
  </si>
  <si>
    <t>02-00-411-035</t>
  </si>
  <si>
    <t>01-00-415-030</t>
  </si>
  <si>
    <t>04-00-415-030</t>
  </si>
  <si>
    <t>03-00-415-030</t>
  </si>
  <si>
    <t>02-00-415-030</t>
  </si>
  <si>
    <t>GL Code</t>
  </si>
  <si>
    <t>for formulas</t>
  </si>
  <si>
    <t>PROMONTORY LS MAINT &amp; EQUIP</t>
  </si>
  <si>
    <t>PROMONTORY LS POWER</t>
  </si>
  <si>
    <t>01-02-050-133</t>
  </si>
  <si>
    <t>02-02-050-133</t>
  </si>
  <si>
    <t>03-02-050-133</t>
  </si>
  <si>
    <t>04-02-050-133</t>
  </si>
  <si>
    <t>04-02-124-121</t>
  </si>
  <si>
    <t>04-02-124-122</t>
  </si>
  <si>
    <t>For</t>
  </si>
  <si>
    <t>Formulas</t>
  </si>
  <si>
    <t xml:space="preserve">BOOKS &amp; REF. MATERIALS </t>
  </si>
  <si>
    <t xml:space="preserve">OFFICE SUPPLY </t>
  </si>
  <si>
    <t xml:space="preserve">COMPUTERS/DATA PROCESSING </t>
  </si>
  <si>
    <t xml:space="preserve">MEMBERSHIPS &amp; DUES </t>
  </si>
  <si>
    <t xml:space="preserve">SAFETY EXPENSE </t>
  </si>
  <si>
    <t xml:space="preserve">SUPPLIES </t>
  </si>
  <si>
    <t xml:space="preserve">GENERAL O&amp;M MAINT &amp; EQUIP </t>
  </si>
  <si>
    <t xml:space="preserve">O&amp;M POWER/GAS </t>
  </si>
  <si>
    <t xml:space="preserve">LUBRICANTS </t>
  </si>
  <si>
    <t xml:space="preserve">GENERAL O&amp;M CHEMICALS </t>
  </si>
  <si>
    <t xml:space="preserve">PHONE </t>
  </si>
  <si>
    <t xml:space="preserve">ANNUAL MAINTENANCE PROGRAM </t>
  </si>
  <si>
    <t xml:space="preserve">REAL PROPERTY MAINT. </t>
  </si>
  <si>
    <t xml:space="preserve">FLEET MAINT. &amp; REPAIR </t>
  </si>
  <si>
    <t xml:space="preserve">TELEMETRY SYSTEM </t>
  </si>
  <si>
    <t>N/A</t>
  </si>
  <si>
    <t xml:space="preserve">METERS </t>
  </si>
  <si>
    <t xml:space="preserve">INTERTIE #2 MAINT &amp; EQUIP </t>
  </si>
  <si>
    <t xml:space="preserve">INTERTIE #2 POWER </t>
  </si>
  <si>
    <t xml:space="preserve">WELL #10 MAINT &amp; EQUIP </t>
  </si>
  <si>
    <t xml:space="preserve">WELL #10 POWER </t>
  </si>
  <si>
    <t xml:space="preserve">WELL #11 MAINT &amp; EQUIP </t>
  </si>
  <si>
    <t xml:space="preserve">WELL #11 POWER </t>
  </si>
  <si>
    <t xml:space="preserve">WELL #12 MAINT &amp; EQUIP </t>
  </si>
  <si>
    <t xml:space="preserve">WELL #12 POWER </t>
  </si>
  <si>
    <t xml:space="preserve">WELL #2 MAINT &amp; EQUIP </t>
  </si>
  <si>
    <t xml:space="preserve">WELL #2 POWER </t>
  </si>
  <si>
    <t xml:space="preserve">WELL #8 MAINT &amp; EQUIP </t>
  </si>
  <si>
    <t xml:space="preserve">WELL #8 POWER </t>
  </si>
  <si>
    <t xml:space="preserve">DESAL POWER </t>
  </si>
  <si>
    <t xml:space="preserve">MARINA BOOSTER MAINT &amp; EQUIP </t>
  </si>
  <si>
    <t xml:space="preserve">MARINA BOOSTER POWER </t>
  </si>
  <si>
    <t xml:space="preserve">L/S 2 MAINT &amp; EQUIP </t>
  </si>
  <si>
    <t xml:space="preserve">L/S 2 POWER </t>
  </si>
  <si>
    <t xml:space="preserve">L/S 3 MAINT &amp; EQUIP </t>
  </si>
  <si>
    <t xml:space="preserve">L/S 3 POWER </t>
  </si>
  <si>
    <t xml:space="preserve">L/S 5 MAINT &amp; EQUIP </t>
  </si>
  <si>
    <t xml:space="preserve">L/S 5 POWER </t>
  </si>
  <si>
    <t xml:space="preserve">L/S 6 MAINT &amp; EQUIP </t>
  </si>
  <si>
    <t xml:space="preserve">L/S 6 POWER </t>
  </si>
  <si>
    <t xml:space="preserve">WELL #29 MAINT &amp; EQUIP </t>
  </si>
  <si>
    <t xml:space="preserve">WELL #29 POWER </t>
  </si>
  <si>
    <t xml:space="preserve">WELL #30 MAINT &amp; EQUIP </t>
  </si>
  <si>
    <t xml:space="preserve">WELL #30 POWER </t>
  </si>
  <si>
    <t xml:space="preserve">WELL #31 MAINT &amp; EQUIP </t>
  </si>
  <si>
    <t xml:space="preserve">WELL #31 POWER </t>
  </si>
  <si>
    <t xml:space="preserve">B/C BOOSTER MAINT &amp; EQUIP </t>
  </si>
  <si>
    <t xml:space="preserve">B/C BOOSTER POWER </t>
  </si>
  <si>
    <t xml:space="preserve">D BOOSTER MAINT &amp; EQUIP </t>
  </si>
  <si>
    <t xml:space="preserve">D BOOSTER POWER </t>
  </si>
  <si>
    <t xml:space="preserve">E BOOSTER MAINT &amp; EQUIP </t>
  </si>
  <si>
    <t xml:space="preserve">E BOOSTER POWER </t>
  </si>
  <si>
    <t xml:space="preserve">F BOOSTER MAINT &amp; EQUIP </t>
  </si>
  <si>
    <t xml:space="preserve">F BOOSTER POWER </t>
  </si>
  <si>
    <t xml:space="preserve">BOOSTER/SANDTANK MAINT &amp; EQUIP </t>
  </si>
  <si>
    <t xml:space="preserve">BOOSTER/SANDTANK POWER </t>
  </si>
  <si>
    <t xml:space="preserve">WATKINS GATE WELL MAINT &amp; EQUI </t>
  </si>
  <si>
    <t xml:space="preserve">WATKINS GATE WELL POWER </t>
  </si>
  <si>
    <t xml:space="preserve">WELL #34 MAINT &amp; EQUIP </t>
  </si>
  <si>
    <t xml:space="preserve">WELL #34 POWER </t>
  </si>
  <si>
    <t xml:space="preserve">L/S RESERVATION MAINT &amp; EQUIP </t>
  </si>
  <si>
    <t xml:space="preserve">L/S RESERVATION POWER </t>
  </si>
  <si>
    <t xml:space="preserve">L/S 528 A/FIELD MAINT &amp; EQUIP </t>
  </si>
  <si>
    <t xml:space="preserve">L/S 528 A/FIELD POWER </t>
  </si>
  <si>
    <t xml:space="preserve">L/S 530 A/FIELD MAINT &amp; EQUIP </t>
  </si>
  <si>
    <t xml:space="preserve">L/S 530 A/FIELD POWER </t>
  </si>
  <si>
    <t xml:space="preserve">L/S 703 ARMY RSV MAINT &amp; EQUIP </t>
  </si>
  <si>
    <t xml:space="preserve">L/S 4906 POWER </t>
  </si>
  <si>
    <t xml:space="preserve">L/S 5398 W/MEYER MAINT &amp; EQUIP </t>
  </si>
  <si>
    <t xml:space="preserve">L/S 5398 W/MEYER POWER </t>
  </si>
  <si>
    <t xml:space="preserve">L/S 5447 LANDRUM MAINT &amp; EQUIP </t>
  </si>
  <si>
    <t xml:space="preserve">L/S 5447 LANDRUM POWER </t>
  </si>
  <si>
    <t xml:space="preserve">L/S 5713 S/OVER MAINT &amp; EQUIP </t>
  </si>
  <si>
    <t xml:space="preserve">L/S 5713 S/OVER POWER </t>
  </si>
  <si>
    <t xml:space="preserve">L/S 5790 HODGES MAINT &amp; EQUIP </t>
  </si>
  <si>
    <t xml:space="preserve">L/S 5790 HODGES POWER </t>
  </si>
  <si>
    <t xml:space="preserve">L/S 5871 IMJIN MAINT &amp; EQUIP </t>
  </si>
  <si>
    <t xml:space="preserve">L/S 5871 IMJIN POWER </t>
  </si>
  <si>
    <t xml:space="preserve">L/S 5990 ORD/V MAINT &amp; EQUIP </t>
  </si>
  <si>
    <t xml:space="preserve">L/S 5990 ORD/V POWER </t>
  </si>
  <si>
    <t xml:space="preserve">L/S 6143 CLARK MAINT &amp; EQUIP </t>
  </si>
  <si>
    <t xml:space="preserve">L/S 6143 CLARK POWER </t>
  </si>
  <si>
    <t xml:space="preserve">L/S 6634 HATTEN MAINT &amp; EQUIP </t>
  </si>
  <si>
    <t xml:space="preserve">L/S 6634 HATTEN POWER </t>
  </si>
  <si>
    <t xml:space="preserve">L/S 7698 GIGLING MAINT &amp; EQUIP </t>
  </si>
  <si>
    <t xml:space="preserve">L/S 7698 GIGLING POWER </t>
  </si>
  <si>
    <t xml:space="preserve">L/S 8775 BOOKER MAINT &amp; EQUIP </t>
  </si>
  <si>
    <t xml:space="preserve">L/S 8775 BOOKER POWER </t>
  </si>
  <si>
    <t xml:space="preserve">L/S 514 CARMEL MAINT &amp; EQUIP </t>
  </si>
  <si>
    <t xml:space="preserve">L/S 514 CARMEL POWER </t>
  </si>
  <si>
    <t xml:space="preserve">EG LIFT STATION MAINT &amp; EQUIP </t>
  </si>
  <si>
    <t xml:space="preserve">EG LIFT STATION POWER </t>
  </si>
  <si>
    <t xml:space="preserve">PROMONTORY LS MAINT &amp; EQUIP </t>
  </si>
  <si>
    <t xml:space="preserve">PROMONTORY LS POWER </t>
  </si>
  <si>
    <t>Needed for formulas - do not delete row</t>
  </si>
  <si>
    <t>01-01-030-050</t>
  </si>
  <si>
    <t>01-01-035-006</t>
  </si>
  <si>
    <t>SOFTWARE AND LICENSING</t>
  </si>
  <si>
    <t>01-01-035-010</t>
  </si>
  <si>
    <t>BOARD MEETING VIDEO RECORDING</t>
  </si>
  <si>
    <t>02-01-030-050</t>
  </si>
  <si>
    <t>02-01-035-006</t>
  </si>
  <si>
    <t>02-01-035-010</t>
  </si>
  <si>
    <t>03-01-030-050</t>
  </si>
  <si>
    <t>03-01-035-006</t>
  </si>
  <si>
    <t>03-01-035-010</t>
  </si>
  <si>
    <t>04-01-030-050</t>
  </si>
  <si>
    <t>04-01-035-006</t>
  </si>
  <si>
    <t>04-01-035-010</t>
  </si>
  <si>
    <t>PROPERTY TAXES</t>
  </si>
  <si>
    <t>BANK FEE -  2010 BOND</t>
  </si>
  <si>
    <t>2006 BOND INTEREST EXPENSE</t>
  </si>
  <si>
    <t>STANDBY WAGES</t>
  </si>
  <si>
    <t>formula</t>
  </si>
  <si>
    <t>01-01-020-225</t>
  </si>
  <si>
    <t>PARS RETIREMENT</t>
  </si>
  <si>
    <t>PRIOR PERIOD FA EXPENSE</t>
  </si>
  <si>
    <t>02-01-020-225</t>
  </si>
  <si>
    <t>03-01-020-225</t>
  </si>
  <si>
    <t>03-01-030-015</t>
  </si>
  <si>
    <t>04-01-020-225</t>
  </si>
  <si>
    <t>04-01-030-015</t>
  </si>
  <si>
    <t>MAINTENANCE MANAGEMENT SYSTEM</t>
  </si>
  <si>
    <t>01-01-075-000</t>
  </si>
  <si>
    <t>MISCELLANEOUS</t>
  </si>
  <si>
    <t>02-01-075-000</t>
  </si>
  <si>
    <t>03-01-075-000</t>
  </si>
  <si>
    <t>04-01-075-000</t>
  </si>
  <si>
    <t>JUL - DEC</t>
  </si>
  <si>
    <t>BUDGET</t>
  </si>
  <si>
    <t>ANNUAL</t>
  </si>
  <si>
    <t>BUD vs ACTUALS</t>
  </si>
  <si>
    <t>$ CHANGE</t>
  </si>
  <si>
    <t>OPER &amp; MAINT BUDGET ANALYSIS</t>
  </si>
  <si>
    <t>LAB BUDGET ANALYSIS</t>
  </si>
  <si>
    <t>CONSERVATION BUDGET ANALYSIS</t>
  </si>
  <si>
    <t>ENGINEERING BUDGET ANALYSIS</t>
  </si>
  <si>
    <t>01-02-010-005</t>
  </si>
  <si>
    <t>02-02-010-005</t>
  </si>
  <si>
    <t>03-02-010-005</t>
  </si>
  <si>
    <t>04-02-010-005</t>
  </si>
  <si>
    <t>01-03-035-004</t>
  </si>
  <si>
    <t>03-03-035-004</t>
  </si>
  <si>
    <t>Revenue</t>
  </si>
  <si>
    <t>REVENUE BUDGET ANALYSIS</t>
  </si>
  <si>
    <t>GL Detail</t>
  </si>
  <si>
    <t xml:space="preserve"> Budget Amount </t>
  </si>
  <si>
    <t xml:space="preserve"> Beginning Balance </t>
  </si>
  <si>
    <t xml:space="preserve"> Debit This Period </t>
  </si>
  <si>
    <t xml:space="preserve"> Credit This Period </t>
  </si>
  <si>
    <t xml:space="preserve"> Ending Balance </t>
  </si>
  <si>
    <t>Budget Amount</t>
  </si>
  <si>
    <t>Beginning Balance</t>
  </si>
  <si>
    <t>Debit This Period</t>
  </si>
  <si>
    <t>Credit This Period</t>
  </si>
  <si>
    <t>Ending Balance</t>
  </si>
  <si>
    <t>WATER SALES - RESIDENTIAL</t>
  </si>
  <si>
    <t>WATER SALES - BUSINESS</t>
  </si>
  <si>
    <t>WATER SALES - SCHOOLS</t>
  </si>
  <si>
    <t>WATER SALES - MULTIPLES</t>
  </si>
  <si>
    <t>WATER SALES - GOVERNMENT</t>
  </si>
  <si>
    <t>WATER SALES - APARTMENTS</t>
  </si>
  <si>
    <t>LATE CHARGE/PENALTY FEES</t>
  </si>
  <si>
    <t>INTEREST INCOME- INTERNAL LOAN</t>
  </si>
  <si>
    <t>DEFERRED REVENUE - 2006 BOND</t>
  </si>
  <si>
    <t>DEFERRED REVENUE - 2010 BOND</t>
  </si>
  <si>
    <t>01-00-430-000</t>
  </si>
  <si>
    <t>RENTAL REVENUE</t>
  </si>
  <si>
    <t>02-00-420-001</t>
  </si>
  <si>
    <t>02-00-430-000</t>
  </si>
  <si>
    <t>SEWER SALES - BUSINESS</t>
  </si>
  <si>
    <t>SEWER SALES - RESIDENTIAL</t>
  </si>
  <si>
    <t>03-00-400-008</t>
  </si>
  <si>
    <t>03-00-415-004</t>
  </si>
  <si>
    <t>03-00-430-000</t>
  </si>
  <si>
    <t>04-00-415-004</t>
  </si>
  <si>
    <t>04-00-430-000</t>
  </si>
  <si>
    <t>SEWER SALES BUSINESS</t>
  </si>
  <si>
    <t>Totals by Cost Center:</t>
  </si>
  <si>
    <t>CC - 01</t>
  </si>
  <si>
    <t>CC - 02</t>
  </si>
  <si>
    <t>CC - 03</t>
  </si>
  <si>
    <t>CC - 04</t>
  </si>
  <si>
    <t>CC - 05</t>
  </si>
  <si>
    <t>CC - 06</t>
  </si>
  <si>
    <t>Account Number</t>
  </si>
  <si>
    <t xml:space="preserve"> Description</t>
  </si>
  <si>
    <t>CONFERENCES</t>
  </si>
  <si>
    <t>EDUCATION/ TRAINING</t>
  </si>
  <si>
    <t>01-01-090-001</t>
  </si>
  <si>
    <t>DEPRECIATION EXPENSE</t>
  </si>
  <si>
    <t>01-01-090-002</t>
  </si>
  <si>
    <t>PRIOR PERIOD DEPRECIATION EXP</t>
  </si>
  <si>
    <t>01-01-090-010</t>
  </si>
  <si>
    <t>2006 BOND FEES - AMORTIZATION</t>
  </si>
  <si>
    <t>01-01-090-020</t>
  </si>
  <si>
    <t>2010 BOND FEES - AMORTIZATION</t>
  </si>
  <si>
    <t>BOOKS &amp; REF MATERIALS</t>
  </si>
  <si>
    <t>01-02-038-111</t>
  </si>
  <si>
    <t>GENERAL O&amp;M MAINT/ EQUIP</t>
  </si>
  <si>
    <t>01-02-058-120</t>
  </si>
  <si>
    <t>DESAL SUPPLIES</t>
  </si>
  <si>
    <t>01-02-058-121</t>
  </si>
  <si>
    <t>DESAL MAINT &amp; EQUIP</t>
  </si>
  <si>
    <t>01-02-058-124</t>
  </si>
  <si>
    <t>DESAL PERMIT FEE</t>
  </si>
  <si>
    <t>REAL PROPERTY MAINT</t>
  </si>
  <si>
    <t>01-02-060-000</t>
  </si>
  <si>
    <t>BACKFLOW EXPENSE</t>
  </si>
  <si>
    <t>01-03-058-123</t>
  </si>
  <si>
    <t>LAB MAINT &amp; REPAIR</t>
  </si>
  <si>
    <t>01-05-040-026</t>
  </si>
  <si>
    <t>MAPPING SERVICES</t>
  </si>
  <si>
    <t>DEVELOPER EXPENSES (NOT MCWD)</t>
  </si>
  <si>
    <t>02-01-090-001</t>
  </si>
  <si>
    <t>02-01-090-002</t>
  </si>
  <si>
    <t>02-01-090-010</t>
  </si>
  <si>
    <t>02-01-090-020</t>
  </si>
  <si>
    <t>02-02-038-111</t>
  </si>
  <si>
    <t>02-02-063-121</t>
  </si>
  <si>
    <t>L/S 4 MAINT &amp; EQUIP</t>
  </si>
  <si>
    <t>02-02-063-122</t>
  </si>
  <si>
    <t>L/S 4 POWER</t>
  </si>
  <si>
    <t>02-05-040-026</t>
  </si>
  <si>
    <t>03-01-090-001</t>
  </si>
  <si>
    <t>03-01-090-002</t>
  </si>
  <si>
    <t>03-01-090-010</t>
  </si>
  <si>
    <t>03-01-090-020</t>
  </si>
  <si>
    <t>FORA ADMIN/ LIAISON FEES</t>
  </si>
  <si>
    <t>MEMBERSHIP - FORA BOARD</t>
  </si>
  <si>
    <t>03-02-038-111</t>
  </si>
  <si>
    <t>03-05-040-026</t>
  </si>
  <si>
    <t>04-01-090-001</t>
  </si>
  <si>
    <t>04-01-090-002</t>
  </si>
  <si>
    <t>04-01-090-010</t>
  </si>
  <si>
    <t>04-01-090-020</t>
  </si>
  <si>
    <t>04-02-038-111</t>
  </si>
  <si>
    <t>04-02-103-122</t>
  </si>
  <si>
    <t>L/S 703 ARMY RSV POWER</t>
  </si>
  <si>
    <t>04-02-104-121</t>
  </si>
  <si>
    <t>L/S EG 96 MAINT &amp; EQUIP</t>
  </si>
  <si>
    <t>04-02-104-122</t>
  </si>
  <si>
    <t>L/S EG 96 POWER</t>
  </si>
  <si>
    <t>04-02-105-121</t>
  </si>
  <si>
    <t>L/S 4900 MAINT &amp; EQUIP</t>
  </si>
  <si>
    <t>04-02-105-122</t>
  </si>
  <si>
    <t>L/S 4900 POWER</t>
  </si>
  <si>
    <t>04-02-106-121</t>
  </si>
  <si>
    <t>L/S 4906 MAINT &amp; EQUIP</t>
  </si>
  <si>
    <t>04-02-113-121</t>
  </si>
  <si>
    <t>L/S 6130 JEFFERSON MAINT &amp; EQU</t>
  </si>
  <si>
    <t>04-02-113-122</t>
  </si>
  <si>
    <t>L/S 6130 JEFFERSON POWER</t>
  </si>
  <si>
    <t>04-02-115-121</t>
  </si>
  <si>
    <t>L/S 6225 S/PABLO MAINT &amp; EQUIP</t>
  </si>
  <si>
    <t>04-02-115-122</t>
  </si>
  <si>
    <t>L/S 6225 S/PABLO POWER</t>
  </si>
  <si>
    <t>04-02-119-121</t>
  </si>
  <si>
    <t>L/S 1492 MAINT &amp; EQUIP</t>
  </si>
  <si>
    <t>04-02-119-122</t>
  </si>
  <si>
    <t>L/S 1492 POWER</t>
  </si>
  <si>
    <t>04-02-120-121</t>
  </si>
  <si>
    <t>L/S EG D/TANKS MAINT &amp; EQUIP</t>
  </si>
  <si>
    <t>04-02-120-122</t>
  </si>
  <si>
    <t>L/S EG D/TANKS POWER</t>
  </si>
  <si>
    <t>04-02-121-121</t>
  </si>
  <si>
    <t>L/S EG 31 MAINT &amp; EQUIP</t>
  </si>
  <si>
    <t>04-02-121-122</t>
  </si>
  <si>
    <t>L/S EG 31 POWER</t>
  </si>
  <si>
    <t>04-05-040-026</t>
  </si>
  <si>
    <t>05-01-090-001</t>
  </si>
  <si>
    <t>05-01-090-002</t>
  </si>
  <si>
    <t>05-01-090-010</t>
  </si>
  <si>
    <t>05-05-085-000</t>
  </si>
  <si>
    <t>06-01-090-001</t>
  </si>
  <si>
    <t>06-01-090-002</t>
  </si>
  <si>
    <t>Cost Center</t>
  </si>
  <si>
    <t>Dept.</t>
  </si>
  <si>
    <t>Totals by Department and Cost Center:</t>
  </si>
  <si>
    <t>Admin</t>
  </si>
  <si>
    <t>Opm</t>
  </si>
  <si>
    <t>Lab</t>
  </si>
  <si>
    <t>Conservation</t>
  </si>
  <si>
    <t>Engineering</t>
  </si>
  <si>
    <t>LIFE INSURANCE</t>
  </si>
  <si>
    <t>WAGES</t>
  </si>
  <si>
    <t>0x</t>
  </si>
  <si>
    <t>POWER/GAS-01</t>
  </si>
  <si>
    <t>MAINT &amp; EQUIP-01</t>
  </si>
  <si>
    <t>POWER/GAS-02</t>
  </si>
  <si>
    <t>MAINT &amp; EQUIP-02</t>
  </si>
  <si>
    <t>POWER/GAS-03</t>
  </si>
  <si>
    <t>MAINT &amp; EQUIP-03</t>
  </si>
  <si>
    <t>POWER/GAS-04</t>
  </si>
  <si>
    <t>MAINT &amp; EQUIP-04</t>
  </si>
  <si>
    <t>BUDGET ANALYSIS - ALL DEPARTMENTS</t>
  </si>
  <si>
    <t>01-0x-010-000</t>
  </si>
  <si>
    <t>02-0x-010-000</t>
  </si>
  <si>
    <t>03-0x-010-000</t>
  </si>
  <si>
    <t>04-0x-010-000</t>
  </si>
  <si>
    <t>01-0x-010-005</t>
  </si>
  <si>
    <t>02-0x-010-005</t>
  </si>
  <si>
    <t>03-0x-010-005</t>
  </si>
  <si>
    <t>04-0x-010-005</t>
  </si>
  <si>
    <t>01-0x-015-000</t>
  </si>
  <si>
    <t>02-0x-015-000</t>
  </si>
  <si>
    <t>03-0x-015-000</t>
  </si>
  <si>
    <t>04-0x-015-000</t>
  </si>
  <si>
    <t>01-0x-016-000</t>
  </si>
  <si>
    <t>02-0x-016-000</t>
  </si>
  <si>
    <t>03-0x-016-000</t>
  </si>
  <si>
    <t>04-0x-016-000</t>
  </si>
  <si>
    <t>01-0x-020-202</t>
  </si>
  <si>
    <t>02-0x-020-202</t>
  </si>
  <si>
    <t>03-0x-020-202</t>
  </si>
  <si>
    <t>04-0x-020-202</t>
  </si>
  <si>
    <t>01-0x-020-203</t>
  </si>
  <si>
    <t>02-0x-020-203</t>
  </si>
  <si>
    <t>03-0x-020-203</t>
  </si>
  <si>
    <t>04-0x-020-203</t>
  </si>
  <si>
    <t>01-0x-020-204</t>
  </si>
  <si>
    <t>02-0x-020-204</t>
  </si>
  <si>
    <t>03-0x-020-204</t>
  </si>
  <si>
    <t>04-0x-020-204</t>
  </si>
  <si>
    <t>01-0x-020-205</t>
  </si>
  <si>
    <t>02-0x-020-205</t>
  </si>
  <si>
    <t>03-0x-020-205</t>
  </si>
  <si>
    <t>04-0x-020-205</t>
  </si>
  <si>
    <t>01-0x-020-206</t>
  </si>
  <si>
    <t>02-0x-020-206</t>
  </si>
  <si>
    <t>03-0x-020-206</t>
  </si>
  <si>
    <t>04-0x-020-206</t>
  </si>
  <si>
    <t>01-0x-020-208</t>
  </si>
  <si>
    <t>02-0x-020-208</t>
  </si>
  <si>
    <t>03-0x-020-208</t>
  </si>
  <si>
    <t>04-0x-020-208</t>
  </si>
  <si>
    <t>01-0x-020-209</t>
  </si>
  <si>
    <t>02-0x-020-209</t>
  </si>
  <si>
    <t>03-0x-020-209</t>
  </si>
  <si>
    <t>04-0x-020-209</t>
  </si>
  <si>
    <t>01-0x-020-210</t>
  </si>
  <si>
    <t>02-0x-020-210</t>
  </si>
  <si>
    <t>03-0x-020-210</t>
  </si>
  <si>
    <t>04-0x-020-210</t>
  </si>
  <si>
    <t>01-0x-020-211</t>
  </si>
  <si>
    <t>02-0x-020-211</t>
  </si>
  <si>
    <t>03-0x-020-211</t>
  </si>
  <si>
    <t>04-0x-020-211</t>
  </si>
  <si>
    <t>01-0x-020-212</t>
  </si>
  <si>
    <t>02-0x-020-212</t>
  </si>
  <si>
    <t>03-0x-020-212</t>
  </si>
  <si>
    <t>04-0x-020-212</t>
  </si>
  <si>
    <t>01-0x-020-213</t>
  </si>
  <si>
    <t>02-0x-020-213</t>
  </si>
  <si>
    <t>03-0x-020-213</t>
  </si>
  <si>
    <t>04-0x-020-213</t>
  </si>
  <si>
    <t>01-0x-020-214</t>
  </si>
  <si>
    <t>02-0x-020-214</t>
  </si>
  <si>
    <t>03-0x-020-214</t>
  </si>
  <si>
    <t>04-0x-020-214</t>
  </si>
  <si>
    <t>01-0x-020-215</t>
  </si>
  <si>
    <t>02-0x-020-215</t>
  </si>
  <si>
    <t>03-0x-020-215</t>
  </si>
  <si>
    <t>04-0x-020-215</t>
  </si>
  <si>
    <t>01-0x-020-225</t>
  </si>
  <si>
    <t>02-0x-020-225</t>
  </si>
  <si>
    <t>03-0x-020-225</t>
  </si>
  <si>
    <t>04-0x-020-225</t>
  </si>
  <si>
    <t>01-0x-020-220</t>
  </si>
  <si>
    <t>02-0x-020-220</t>
  </si>
  <si>
    <t>03-0x-020-220</t>
  </si>
  <si>
    <t>04-0x-020-220</t>
  </si>
  <si>
    <t>03-0x-030-015</t>
  </si>
  <si>
    <t>04-0x-030-015</t>
  </si>
  <si>
    <t>01-0x-030-050</t>
  </si>
  <si>
    <t>02-0x-030-050</t>
  </si>
  <si>
    <t>03-0x-030-050</t>
  </si>
  <si>
    <t>04-0x-030-050</t>
  </si>
  <si>
    <t>POWER/GAS</t>
  </si>
  <si>
    <t>01-0x-031-128</t>
  </si>
  <si>
    <t>02-0x-031-128</t>
  </si>
  <si>
    <t>03-0x-031-128</t>
  </si>
  <si>
    <t>04-0x-031-128</t>
  </si>
  <si>
    <t>01-0x-035-001</t>
  </si>
  <si>
    <t>02-0x-035-001</t>
  </si>
  <si>
    <t>03-0x-035-001</t>
  </si>
  <si>
    <t>04-0x-035-001</t>
  </si>
  <si>
    <t>01-0x-035-002</t>
  </si>
  <si>
    <t>02-0x-035-002</t>
  </si>
  <si>
    <t>03-0x-035-002</t>
  </si>
  <si>
    <t>04-0x-035-002</t>
  </si>
  <si>
    <t>01-0x-035-007</t>
  </si>
  <si>
    <t>02-0x-035-007</t>
  </si>
  <si>
    <t>03-0x-035-007</t>
  </si>
  <si>
    <t>04-0x-035-007</t>
  </si>
  <si>
    <t>01-0x-035-008</t>
  </si>
  <si>
    <t>02-0x-035-008</t>
  </si>
  <si>
    <t>03-0x-035-008</t>
  </si>
  <si>
    <t>04-0x-035-008</t>
  </si>
  <si>
    <t>01-0x-035-009</t>
  </si>
  <si>
    <t>02-0x-035-009</t>
  </si>
  <si>
    <t>03-0x-035-009</t>
  </si>
  <si>
    <t>04-0x-035-009</t>
  </si>
  <si>
    <t>01-0x-035-010</t>
  </si>
  <si>
    <t>02-0x-035-010</t>
  </si>
  <si>
    <t>03-0x-035-010</t>
  </si>
  <si>
    <t>04-0x-035-010</t>
  </si>
  <si>
    <t>01-0x-038-110</t>
  </si>
  <si>
    <t>02-0x-038-110</t>
  </si>
  <si>
    <t>03-0x-038-110</t>
  </si>
  <si>
    <t>04-0x-038-110</t>
  </si>
  <si>
    <t>01-0x-038-111</t>
  </si>
  <si>
    <t>02-0x-038-111</t>
  </si>
  <si>
    <t>03-0x-038-111</t>
  </si>
  <si>
    <t>04-0x-038-111</t>
  </si>
  <si>
    <t>01-0x-038-113</t>
  </si>
  <si>
    <t>02-0x-038-113</t>
  </si>
  <si>
    <t>03-0x-038-113</t>
  </si>
  <si>
    <t>04-0x-038-113</t>
  </si>
  <si>
    <t>05-0x-038-113</t>
  </si>
  <si>
    <t>01-0x-040-022</t>
  </si>
  <si>
    <t>02-0x-040-022</t>
  </si>
  <si>
    <t>03-0x-040-022</t>
  </si>
  <si>
    <t>04-0x-040-022</t>
  </si>
  <si>
    <t>01-0x-040-024</t>
  </si>
  <si>
    <t>02-0x-040-024</t>
  </si>
  <si>
    <t>03-0x-040-024</t>
  </si>
  <si>
    <t>04-0x-040-024</t>
  </si>
  <si>
    <t>01-0x-040-025</t>
  </si>
  <si>
    <t>02-0x-040-025</t>
  </si>
  <si>
    <t>03-0x-040-025</t>
  </si>
  <si>
    <t>04-0x-040-025</t>
  </si>
  <si>
    <t>01-0x-040-026</t>
  </si>
  <si>
    <t>02-0x-040-026</t>
  </si>
  <si>
    <t>03-0x-040-026</t>
  </si>
  <si>
    <t>04-0x-040-026</t>
  </si>
  <si>
    <t>01-0x-075-000</t>
  </si>
  <si>
    <t>02-0x-075-000</t>
  </si>
  <si>
    <t>03-0x-075-000</t>
  </si>
  <si>
    <t>04-0x-075-000</t>
  </si>
  <si>
    <t>01-0x-080-025</t>
  </si>
  <si>
    <t>02-0x-080-025</t>
  </si>
  <si>
    <t>03-0x-080-025</t>
  </si>
  <si>
    <t>04-0x-080-025</t>
  </si>
  <si>
    <t>03-0x-091-003</t>
  </si>
  <si>
    <t>03-0x-091-004</t>
  </si>
  <si>
    <t>03-0x-091-006</t>
  </si>
  <si>
    <t>01-0x-095-000</t>
  </si>
  <si>
    <t>02-0x-095-000</t>
  </si>
  <si>
    <t>03-0x-095-000</t>
  </si>
  <si>
    <t>04-0x-095-000</t>
  </si>
  <si>
    <t>DEVELOPER EXPENSES (REIMBURSABLE)</t>
  </si>
  <si>
    <t>04-0x-091-003</t>
  </si>
  <si>
    <t>ADMIN BUDGET ANALYSIS</t>
  </si>
  <si>
    <t>Rebates-01</t>
  </si>
  <si>
    <t>Rebates-03</t>
  </si>
  <si>
    <t>REBATE PROGRAMS</t>
  </si>
  <si>
    <t>ConsEd-01</t>
  </si>
  <si>
    <t>ConsEd-03</t>
  </si>
  <si>
    <t>CONTRACT TESTING/ QUALITY CONTROL</t>
  </si>
  <si>
    <t>LabQC-01</t>
  </si>
  <si>
    <t>LabQC-03</t>
  </si>
  <si>
    <t>Int - 01</t>
  </si>
  <si>
    <t>Int - 02</t>
  </si>
  <si>
    <t>Int - 03</t>
  </si>
  <si>
    <t>Int - 04</t>
  </si>
  <si>
    <t>Int - 05</t>
  </si>
  <si>
    <t>BANK &amp; ADMINISTRATION FEES</t>
  </si>
  <si>
    <t>BkFees - 01</t>
  </si>
  <si>
    <t>BkFees - 02</t>
  </si>
  <si>
    <t>BkFees - 03</t>
  </si>
  <si>
    <t>BkFees - 04</t>
  </si>
  <si>
    <t>MAINTENANCE &amp; EQUIPMENT</t>
  </si>
  <si>
    <t>Ins - 01</t>
  </si>
  <si>
    <t>Ins - 02</t>
  </si>
  <si>
    <t>Ins - 03</t>
  </si>
  <si>
    <t>Ins - 04</t>
  </si>
  <si>
    <t>PHONE/ANSWERING SERVICE</t>
  </si>
  <si>
    <t>Phone - 01</t>
  </si>
  <si>
    <t>Phone - 02</t>
  </si>
  <si>
    <t>Phone - 03</t>
  </si>
  <si>
    <t>Phone - 04</t>
  </si>
  <si>
    <t>Bldg - 01</t>
  </si>
  <si>
    <t>Bldg - 02</t>
  </si>
  <si>
    <t>Bldg - 03</t>
  </si>
  <si>
    <t>Bldg - 04</t>
  </si>
  <si>
    <t>PROPERTY &amp; LIABILITY INSURANCE</t>
  </si>
  <si>
    <t>BUILDING SECURITY &amp; OTHER SERVICES</t>
  </si>
  <si>
    <t>OFFICE &amp; GENERAL SUPPLY</t>
  </si>
  <si>
    <t>Supply - 01</t>
  </si>
  <si>
    <t>Supply - 02</t>
  </si>
  <si>
    <t>Supply - 03</t>
  </si>
  <si>
    <t>Supply - 04</t>
  </si>
  <si>
    <t>COMPUTER &amp; SOFTWARE EXPENSES</t>
  </si>
  <si>
    <t>Comp - 01</t>
  </si>
  <si>
    <t>Comp - 02</t>
  </si>
  <si>
    <t>Comp - 03</t>
  </si>
  <si>
    <t>Comp - 04</t>
  </si>
  <si>
    <t>CONFERENCES/EDUCATION</t>
  </si>
  <si>
    <t>Edu - 01</t>
  </si>
  <si>
    <t>Edu - 02</t>
  </si>
  <si>
    <t>Edu - 03</t>
  </si>
  <si>
    <t>Edu - 04</t>
  </si>
  <si>
    <t>01-00-140-000</t>
  </si>
  <si>
    <t>LAND</t>
  </si>
  <si>
    <t>01-00-140-005</t>
  </si>
  <si>
    <t>LAND 12TH STREET (FORA)</t>
  </si>
  <si>
    <t>01-00-140-010</t>
  </si>
  <si>
    <t>LAND 12TH STREET (AMBAG)</t>
  </si>
  <si>
    <t>01-00-142-000</t>
  </si>
  <si>
    <t>WATER RIGHTS</t>
  </si>
  <si>
    <t>01-00-143-000</t>
  </si>
  <si>
    <t>PROPERTY EASEMENT ACCESS</t>
  </si>
  <si>
    <t>01-00-144-010</t>
  </si>
  <si>
    <t>LAND - ARMSTRONG RANCH</t>
  </si>
  <si>
    <t>01-00-145-000</t>
  </si>
  <si>
    <t>SOURCE OF SUPPLY</t>
  </si>
  <si>
    <t>01-00-146-000</t>
  </si>
  <si>
    <t>INFRASTRUCTURE</t>
  </si>
  <si>
    <t>01-00-148-001</t>
  </si>
  <si>
    <t>LABORATORY EQUIPMENT</t>
  </si>
  <si>
    <t>01-00-150-001</t>
  </si>
  <si>
    <t>NETWORK COMPUTER SYSTEM</t>
  </si>
  <si>
    <t>01-00-150-003</t>
  </si>
  <si>
    <t>OFFICE EQUIPMENT</t>
  </si>
  <si>
    <t>01-00-152-000</t>
  </si>
  <si>
    <t>01-00-155-000</t>
  </si>
  <si>
    <t>GENERAL PLANT</t>
  </si>
  <si>
    <t>01-00-155-001</t>
  </si>
  <si>
    <t>VEHICLES</t>
  </si>
  <si>
    <t>01-00-156-000</t>
  </si>
  <si>
    <t>PUMPING PLANT</t>
  </si>
  <si>
    <t>01-00-157-000</t>
  </si>
  <si>
    <t>O&amp;M EQUIPMENT</t>
  </si>
  <si>
    <t>01-00-159-000</t>
  </si>
  <si>
    <t>CAPITAL - CONST IN PROGRESS</t>
  </si>
  <si>
    <t>01-00-160-010</t>
  </si>
  <si>
    <t>DEEP AQUIFER STUDY</t>
  </si>
  <si>
    <t>01-00-160-020</t>
  </si>
  <si>
    <t>RESERVATION RD PIPELINE</t>
  </si>
  <si>
    <t>01-00-160-030</t>
  </si>
  <si>
    <t>MW - 0109 LAKE CT WATERLINE EX</t>
  </si>
  <si>
    <t>01-00-160-032</t>
  </si>
  <si>
    <t>MW - 0111 BEACH RD PIPELINE</t>
  </si>
  <si>
    <t>01-00-160-034</t>
  </si>
  <si>
    <t>MW - 0113 REINDOLLAR PRV</t>
  </si>
  <si>
    <t>01-00-160-036</t>
  </si>
  <si>
    <t>MW - 0114 BAYER TANK</t>
  </si>
  <si>
    <t>01-00-160-038</t>
  </si>
  <si>
    <t>MW - 0200 WHARF HYDRANT PROJ</t>
  </si>
  <si>
    <t>01-00-160-039</t>
  </si>
  <si>
    <t>MW - 0203 WELL 11 PUMP/CASING</t>
  </si>
  <si>
    <t>01-00-160-040</t>
  </si>
  <si>
    <t>MW - 0204 EDNA CT WATER MAIN</t>
  </si>
  <si>
    <t>01-00-160-050</t>
  </si>
  <si>
    <t>MW - 0160 WELL 10 REHAB</t>
  </si>
  <si>
    <t>01-00-160-105</t>
  </si>
  <si>
    <t>URBAN WATER CONSERVATION STUDY</t>
  </si>
  <si>
    <t>01-00-160-302</t>
  </si>
  <si>
    <t>CA ST EXTENTION INTERTIE</t>
  </si>
  <si>
    <t>01-00-160-323</t>
  </si>
  <si>
    <t>GW - 0123 CONST B2 ZONE TANK</t>
  </si>
  <si>
    <t>01-00-160-327</t>
  </si>
  <si>
    <t>GW - 0112 A1/A2 TANK  B/C BSTR</t>
  </si>
  <si>
    <t>01-00-160-401</t>
  </si>
  <si>
    <t>MARINA WATER MASTER PLAN</t>
  </si>
  <si>
    <t>01-00-160-402</t>
  </si>
  <si>
    <t>WD - 0115 SCADA SYSTEM</t>
  </si>
  <si>
    <t>01-00-160-403</t>
  </si>
  <si>
    <t>MW SYSTEM IMPROVEMENTS</t>
  </si>
  <si>
    <t>01-00-160-405</t>
  </si>
  <si>
    <t>GW - 0201 URBAN WATER MGMT</t>
  </si>
  <si>
    <t>01-00-160-410</t>
  </si>
  <si>
    <t>WD - 0110 ASSET MGMT PROGRAM</t>
  </si>
  <si>
    <t>01-00-160-415</t>
  </si>
  <si>
    <t>WD - 0203 ORD OFFICE LANDSCAPE</t>
  </si>
  <si>
    <t>01-00-160-505</t>
  </si>
  <si>
    <t>RW - 0155 PROG MGMT PRELIM DES</t>
  </si>
  <si>
    <t>01-00-160-810</t>
  </si>
  <si>
    <t>WD - 0161 FENCE REPAIR &amp; REHAB</t>
  </si>
  <si>
    <t>01-00-163-000</t>
  </si>
  <si>
    <t>CORPORATION YARD</t>
  </si>
  <si>
    <t>01-00-163-050</t>
  </si>
  <si>
    <t>BUILDINGS - 920 2ND AVE, STE A</t>
  </si>
  <si>
    <t>01-00-163-060</t>
  </si>
  <si>
    <t>01-00-165-000</t>
  </si>
  <si>
    <t>SOURCE WELL #12</t>
  </si>
  <si>
    <t>01-00-175-000</t>
  </si>
  <si>
    <t>STORAGE BOOSTER</t>
  </si>
  <si>
    <t>01-00-180-000</t>
  </si>
  <si>
    <t>DESALINATION</t>
  </si>
  <si>
    <t>01-00-181-000</t>
  </si>
  <si>
    <t>RECLAMATION PROJECT</t>
  </si>
  <si>
    <t>01-00-185-000</t>
  </si>
  <si>
    <t>SALT WATER INTRUSION PRJ</t>
  </si>
  <si>
    <t>01-00-195-000</t>
  </si>
  <si>
    <t>TRANS/DISTRIBUTION PLANT</t>
  </si>
  <si>
    <t>01-00-196-000</t>
  </si>
  <si>
    <t>02-00-140-000</t>
  </si>
  <si>
    <t>02-00-140-005</t>
  </si>
  <si>
    <t>02-00-140-010</t>
  </si>
  <si>
    <t>02-00-141-000</t>
  </si>
  <si>
    <t>OTHER LAND</t>
  </si>
  <si>
    <t>02-00-142-000</t>
  </si>
  <si>
    <t>SEWER RIGHTS</t>
  </si>
  <si>
    <t>02-00-143-000</t>
  </si>
  <si>
    <t>02-00-144-010</t>
  </si>
  <si>
    <t>02-00-146-000</t>
  </si>
  <si>
    <t>02-00-148-001</t>
  </si>
  <si>
    <t>02-00-150-001</t>
  </si>
  <si>
    <t>02-00-150-003</t>
  </si>
  <si>
    <t>02-00-155-000</t>
  </si>
  <si>
    <t>02-00-155-001</t>
  </si>
  <si>
    <t>02-00-156-000</t>
  </si>
  <si>
    <t>02-00-157-000</t>
  </si>
  <si>
    <t>02-00-159-000</t>
  </si>
  <si>
    <t>02-00-160-009</t>
  </si>
  <si>
    <t>MS - 0133 COSKY LS #5 IMPROV</t>
  </si>
  <si>
    <t>02-00-160-010</t>
  </si>
  <si>
    <t>MS - 0136 LAKE DR SEWER MAIN</t>
  </si>
  <si>
    <t>02-00-160-015</t>
  </si>
  <si>
    <t>MS - 0137 DEL MONTE/RES RD SEW</t>
  </si>
  <si>
    <t>02-00-160-020</t>
  </si>
  <si>
    <t>MS - 0138 HILLCREST/SUNSET SWR</t>
  </si>
  <si>
    <t>02-00-160-025</t>
  </si>
  <si>
    <t>MS - 0139 ZANETTA/ REINDOLLAR</t>
  </si>
  <si>
    <t>02-00-160-030</t>
  </si>
  <si>
    <t>MS - 0140 CARMEL AVE SEWER PRJ</t>
  </si>
  <si>
    <t>02-00-160-401</t>
  </si>
  <si>
    <t>MARINA SEWER MASTER PLAN</t>
  </si>
  <si>
    <t>02-00-160-402</t>
  </si>
  <si>
    <t>02-00-160-403</t>
  </si>
  <si>
    <t>MS SYSTEM IMPROVEMENTS</t>
  </si>
  <si>
    <t>02-00-160-404</t>
  </si>
  <si>
    <t>RESERVATION RD SIPHON PROJECT</t>
  </si>
  <si>
    <t>02-00-160-410</t>
  </si>
  <si>
    <t>02-00-160-415</t>
  </si>
  <si>
    <t>02-00-160-810</t>
  </si>
  <si>
    <t>02-00-163-000</t>
  </si>
  <si>
    <t>02-00-163-050</t>
  </si>
  <si>
    <t>02-00-163-060</t>
  </si>
  <si>
    <t>02-00-170-000</t>
  </si>
  <si>
    <t>PUMPING STATION</t>
  </si>
  <si>
    <t>02-00-186-000</t>
  </si>
  <si>
    <t>02-00-189-000</t>
  </si>
  <si>
    <t>TREATMENT FACILITY</t>
  </si>
  <si>
    <t>02-00-191-000</t>
  </si>
  <si>
    <t>COLLECTION SYSTEM</t>
  </si>
  <si>
    <t>02-00-195-000</t>
  </si>
  <si>
    <t>02-00-196-000</t>
  </si>
  <si>
    <t>03-00-140-000</t>
  </si>
  <si>
    <t>03-00-140-005</t>
  </si>
  <si>
    <t>03-00-140-010</t>
  </si>
  <si>
    <t>03-00-142-000</t>
  </si>
  <si>
    <t>03-00-143-000</t>
  </si>
  <si>
    <t>03-00-144-010</t>
  </si>
  <si>
    <t>03-00-146-000</t>
  </si>
  <si>
    <t>03-00-148-001</t>
  </si>
  <si>
    <t>03-00-150-001</t>
  </si>
  <si>
    <t>03-00-150-003</t>
  </si>
  <si>
    <t>03-00-151-000</t>
  </si>
  <si>
    <t>ADT SECURITY SYSTEM</t>
  </si>
  <si>
    <t>03-00-152-000</t>
  </si>
  <si>
    <t>03-00-155-000</t>
  </si>
  <si>
    <t>03-00-155-001</t>
  </si>
  <si>
    <t>03-00-156-000</t>
  </si>
  <si>
    <t>03-00-157-000</t>
  </si>
  <si>
    <t>03-00-159-000</t>
  </si>
  <si>
    <t>03-00-160-105</t>
  </si>
  <si>
    <t>03-00-160-301</t>
  </si>
  <si>
    <t>OW - 0117 18" LINE TO MBEST</t>
  </si>
  <si>
    <t>03-00-160-302</t>
  </si>
  <si>
    <t>03-00-160-303</t>
  </si>
  <si>
    <t>MARINA AIRPORT RESERVOIR BYPAS</t>
  </si>
  <si>
    <t>03-00-160-305</t>
  </si>
  <si>
    <t>IMJIN STAGE I</t>
  </si>
  <si>
    <t>03-00-160-307</t>
  </si>
  <si>
    <t>12TH ST PROJECT</t>
  </si>
  <si>
    <t>03-00-160-309</t>
  </si>
  <si>
    <t>2ND AVE PROJECT</t>
  </si>
  <si>
    <t>03-00-160-310</t>
  </si>
  <si>
    <t>SEASIDE LAND TRANSFER</t>
  </si>
  <si>
    <t>03-00-160-312</t>
  </si>
  <si>
    <t>WELL/RESERVOIR REHABILITATION</t>
  </si>
  <si>
    <t>03-00-160-315</t>
  </si>
  <si>
    <t>REPLACE PRV &amp; VALVES</t>
  </si>
  <si>
    <t>03-00-160-320</t>
  </si>
  <si>
    <t>OW - 0116 WELL 33/ FIELD RESV</t>
  </si>
  <si>
    <t>03-00-160-323</t>
  </si>
  <si>
    <t>03-00-160-325</t>
  </si>
  <si>
    <t>OW - 0124 GJM BLVD PIPELINE</t>
  </si>
  <si>
    <t>03-00-160-327</t>
  </si>
  <si>
    <t>03-00-160-330</t>
  </si>
  <si>
    <t>OW - 0119 D/E RESERVOIR PROJ</t>
  </si>
  <si>
    <t>03-00-160-334</t>
  </si>
  <si>
    <t>OW - 0118 B4 ZONE TANK</t>
  </si>
  <si>
    <t>03-00-160-338</t>
  </si>
  <si>
    <t>OW - 0127 FIRE FLOW IMPROV</t>
  </si>
  <si>
    <t>03-00-160-342</t>
  </si>
  <si>
    <t>OW - 0128 LFIGHTER B ZONE PIPE</t>
  </si>
  <si>
    <t>03-00-160-346</t>
  </si>
  <si>
    <t>OW - 0131 ABRAMS RD PIPELINE</t>
  </si>
  <si>
    <t>03-00-160-375</t>
  </si>
  <si>
    <t>OW - 0169 EG VALVE STATION</t>
  </si>
  <si>
    <t>03-00-160-376</t>
  </si>
  <si>
    <t>OW - 0170 WELL 34</t>
  </si>
  <si>
    <t>03-00-160-378</t>
  </si>
  <si>
    <t>OW - 0202 S/BOUNDARY RD PIPE</t>
  </si>
  <si>
    <t>03-00-160-380</t>
  </si>
  <si>
    <t>OW - 0207 FIRE FLOW 3RD AVE</t>
  </si>
  <si>
    <t>03-00-160-381</t>
  </si>
  <si>
    <t>GW - 0211 DESAL INTEGRATION</t>
  </si>
  <si>
    <t>03-00-160-401</t>
  </si>
  <si>
    <t>ORD WATER MASTER PLAN</t>
  </si>
  <si>
    <t>03-00-160-402</t>
  </si>
  <si>
    <t>03-00-160-403</t>
  </si>
  <si>
    <t>OW SYSTEM IMPROVEMENTS</t>
  </si>
  <si>
    <t>03-00-160-405</t>
  </si>
  <si>
    <t>03-00-160-410</t>
  </si>
  <si>
    <t>03-00-160-415</t>
  </si>
  <si>
    <t>03-00-160-502</t>
  </si>
  <si>
    <t>REGIONAL WATER AUGMENTATION</t>
  </si>
  <si>
    <t>03-00-160-810</t>
  </si>
  <si>
    <t>03-00-163-000</t>
  </si>
  <si>
    <t>03-00-163-050</t>
  </si>
  <si>
    <t>03-00-163-060</t>
  </si>
  <si>
    <t>03-00-165-000</t>
  </si>
  <si>
    <t>03-00-175-000</t>
  </si>
  <si>
    <t>03-00-181-000</t>
  </si>
  <si>
    <t>03-00-184-000</t>
  </si>
  <si>
    <t>CAPITAL LEASE - SCADA</t>
  </si>
  <si>
    <t>03-00-185-000</t>
  </si>
  <si>
    <t>03-00-195-000</t>
  </si>
  <si>
    <t>03-00-196-000</t>
  </si>
  <si>
    <t>04-00-140-000</t>
  </si>
  <si>
    <t>04-00-140-005</t>
  </si>
  <si>
    <t>04-00-140-010</t>
  </si>
  <si>
    <t>04-00-142-000</t>
  </si>
  <si>
    <t>04-00-143-000</t>
  </si>
  <si>
    <t>04-00-144-010</t>
  </si>
  <si>
    <t>04-00-146-000</t>
  </si>
  <si>
    <t>04-00-148-001</t>
  </si>
  <si>
    <t>04-00-150-001</t>
  </si>
  <si>
    <t>04-00-150-003</t>
  </si>
  <si>
    <t>04-00-155-000</t>
  </si>
  <si>
    <t>04-00-155-001</t>
  </si>
  <si>
    <t>04-00-156-000</t>
  </si>
  <si>
    <t>04-00-157-000</t>
  </si>
  <si>
    <t>04-00-159-000</t>
  </si>
  <si>
    <t>04-00-160-005</t>
  </si>
  <si>
    <t>OS - 0145 WWTP FLUME PROJECT</t>
  </si>
  <si>
    <t>04-00-160-010</t>
  </si>
  <si>
    <t>OS - 0148 MH SEWER PIPELINE</t>
  </si>
  <si>
    <t>04-00-160-015</t>
  </si>
  <si>
    <t>OS - 0146 SAN PABLO L/S IMPROV</t>
  </si>
  <si>
    <t>04-00-160-020</t>
  </si>
  <si>
    <t>OS - 0149 UV SEWER PIPELINE</t>
  </si>
  <si>
    <t>04-00-160-025</t>
  </si>
  <si>
    <t>OS - 0150 EG LS/FORCE MAIN PRJ</t>
  </si>
  <si>
    <t>04-00-160-026</t>
  </si>
  <si>
    <t>OS - 0150 EG LIFT STATION</t>
  </si>
  <si>
    <t>04-00-160-027</t>
  </si>
  <si>
    <t>OS - 0200 CLARK LS IMPROV</t>
  </si>
  <si>
    <t>04-00-160-030</t>
  </si>
  <si>
    <t>OS - 0202 DRO LS SEWER MAIN/GJ</t>
  </si>
  <si>
    <t>04-00-160-045</t>
  </si>
  <si>
    <t>04-00-160-307</t>
  </si>
  <si>
    <t>04-00-160-309</t>
  </si>
  <si>
    <t>04-00-160-401</t>
  </si>
  <si>
    <t>ORD SEWER MASTER PLAN</t>
  </si>
  <si>
    <t>04-00-160-402</t>
  </si>
  <si>
    <t>04-00-160-403</t>
  </si>
  <si>
    <t>OS SYSTEM IMPROVEMENTS</t>
  </si>
  <si>
    <t>04-00-160-410</t>
  </si>
  <si>
    <t>04-00-160-415</t>
  </si>
  <si>
    <t>04-00-160-810</t>
  </si>
  <si>
    <t>04-00-163-000</t>
  </si>
  <si>
    <t>04-00-163-050</t>
  </si>
  <si>
    <t>04-00-163-060</t>
  </si>
  <si>
    <t>04-00-170-000</t>
  </si>
  <si>
    <t>04-00-191-000</t>
  </si>
  <si>
    <t>04-00-195-000</t>
  </si>
  <si>
    <t>04-00-196-000</t>
  </si>
  <si>
    <t>05-00-155-001</t>
  </si>
  <si>
    <t>05-00-159-000</t>
  </si>
  <si>
    <t>05-00-160-501</t>
  </si>
  <si>
    <t>MARINA RECYCLE WATER PROJECT</t>
  </si>
  <si>
    <t>05-00-160-502</t>
  </si>
  <si>
    <t>REGIONAL RECYCLE WATER PROJECT</t>
  </si>
  <si>
    <t>05-00-160-505</t>
  </si>
  <si>
    <t>05-00-160-510</t>
  </si>
  <si>
    <t>RW - 0156 CONST RECYCLE WATER</t>
  </si>
  <si>
    <t>05-00-160-515</t>
  </si>
  <si>
    <t>GW - 0157 DESAL DESIGN/CONST</t>
  </si>
  <si>
    <t>05-00-160-520</t>
  </si>
  <si>
    <t>REGIONAL PROJECT (PUC)</t>
  </si>
  <si>
    <t>05-00-160-530</t>
  </si>
  <si>
    <t>MCWD REGIONAL DESAL PROJECT</t>
  </si>
  <si>
    <t>06-00-159-000</t>
  </si>
  <si>
    <t>06-00-160-505</t>
  </si>
  <si>
    <t>06-00-160-515</t>
  </si>
  <si>
    <t>06-00-160-520</t>
  </si>
  <si>
    <t>06-00-160-525</t>
  </si>
  <si>
    <t>REGIONAL PROJECT(PTL FUND CST)</t>
  </si>
  <si>
    <t>AC Core</t>
  </si>
  <si>
    <t xml:space="preserve">CIP Reversal </t>
  </si>
  <si>
    <t>July-Dec Activity</t>
  </si>
  <si>
    <t>SCHEDULE OF INVESTMENTS SUMMARY</t>
  </si>
  <si>
    <t>(UNAUDITED)</t>
  </si>
  <si>
    <t>PURCHASE</t>
  </si>
  <si>
    <t>MATURITY</t>
  </si>
  <si>
    <t>ACCT</t>
  </si>
  <si>
    <t>YIELD</t>
  </si>
  <si>
    <t>QUARTERLY ACTIVITIES</t>
  </si>
  <si>
    <t>DATE</t>
  </si>
  <si>
    <t>TYPE</t>
  </si>
  <si>
    <t>APR</t>
  </si>
  <si>
    <t>BALANCE</t>
  </si>
  <si>
    <t>TRANSACTION TYPE</t>
  </si>
  <si>
    <t>AMOUNT</t>
  </si>
  <si>
    <t>LAIF ACCOUNT</t>
  </si>
  <si>
    <t>Statement Balance</t>
  </si>
  <si>
    <t>TRANSFER TO CHECKING A/C</t>
  </si>
  <si>
    <t>Unreconciled Variance</t>
  </si>
  <si>
    <t>SAVINGS ACCOUNT</t>
  </si>
  <si>
    <t>MM</t>
  </si>
  <si>
    <t>XFR TO CHECKING A/C</t>
  </si>
  <si>
    <t>XFR FM CHECKING A/C</t>
  </si>
  <si>
    <t>CPFCA DEPOSIT ACCOUNT</t>
  </si>
  <si>
    <t>CD ACCOUNT</t>
  </si>
  <si>
    <t>CD #1</t>
  </si>
  <si>
    <t>CD IOP</t>
  </si>
  <si>
    <t>CHECKING ACCOUNT</t>
  </si>
  <si>
    <t>CK</t>
  </si>
  <si>
    <t>QUARTERLY DEPOSITS &amp; CREDITS</t>
  </si>
  <si>
    <t>Adjusted Balance from Reconciliation</t>
  </si>
  <si>
    <t>QUARTERLY CHECKS &amp; DEBITS</t>
  </si>
  <si>
    <t>XFR FM LAIF A/C</t>
  </si>
  <si>
    <t>XFR FM SAVINGS A/C</t>
  </si>
  <si>
    <t>Liquid Investments</t>
  </si>
  <si>
    <t>XFR TO SAVINGS A/C</t>
  </si>
  <si>
    <t>PRINCIPAL</t>
  </si>
  <si>
    <t>SUMMARY</t>
  </si>
  <si>
    <t>RESERVES DETAIL (LAIF ACCOUNT)</t>
  </si>
  <si>
    <t>MW GEN OP RESERVE</t>
  </si>
  <si>
    <t>01-00-120-000</t>
  </si>
  <si>
    <t>MW CAPACITY REVENUE FUND</t>
  </si>
  <si>
    <t>01-00-120-010</t>
  </si>
  <si>
    <t>MW CAP REPL RESERVE FUND</t>
  </si>
  <si>
    <t>01-00-120-050</t>
  </si>
  <si>
    <t>CD #1 ACCOUNT</t>
  </si>
  <si>
    <t>MS GEN OP RESERVE</t>
  </si>
  <si>
    <t>02-00-120-000</t>
  </si>
  <si>
    <t>MS CAPACITY REVENUE FUND</t>
  </si>
  <si>
    <t>02-00-120-010</t>
  </si>
  <si>
    <t>MS CAP REPL RESERVE FUND</t>
  </si>
  <si>
    <t>02-00-120-050</t>
  </si>
  <si>
    <t>TOTAL INVESTMENT</t>
  </si>
  <si>
    <t>OW GEN OP RESERVE</t>
  </si>
  <si>
    <t>03-00-120-000</t>
  </si>
  <si>
    <t>OW CAPITAL/CAPACITY REVENUE FUND</t>
  </si>
  <si>
    <t>03-00-120-010</t>
  </si>
  <si>
    <t>OW CAP REPL RESERVE FUND</t>
  </si>
  <si>
    <t>03-00-120-050</t>
  </si>
  <si>
    <t>OS GEN OP RESERVE</t>
  </si>
  <si>
    <t>04-00-120-000</t>
  </si>
  <si>
    <t>OS CAPITAL/CAPACITY REVENUE FUND</t>
  </si>
  <si>
    <t>04-00-120-010</t>
  </si>
  <si>
    <t>OS CAP REPL RESERVE FUND</t>
  </si>
  <si>
    <t>04-00-120-050</t>
  </si>
  <si>
    <t>As of December 31,</t>
  </si>
  <si>
    <t>GENERAL CIP BUDGET ANALYSIS</t>
  </si>
  <si>
    <t>CAPITAL IMPROVEMENT PROJECT BUDGET ANALYSIS</t>
  </si>
  <si>
    <t>WD - 0203 MCWD FT ORD OFFICE LANDSCAPE PROJECT</t>
  </si>
  <si>
    <t>GW - 0211 REGIONAL DESALINATION (RD) INTEGRATION</t>
  </si>
  <si>
    <t>MW - 0200 WHARF HYDRANT REPLACEMENT</t>
  </si>
  <si>
    <t>MS - 0133 REPLACE LIFT STATION NO. 5 (COSKY)</t>
  </si>
  <si>
    <t>MS - 0206 RESERVATION RD SIPHON PROJECT</t>
  </si>
  <si>
    <t>OW - 0222 EASTERN DISTRIBUTION SYSTEM - PHASE II</t>
  </si>
  <si>
    <t>WD - 0115 SCADA SYSTEM IMPROVEMENTS - PHASE I</t>
  </si>
  <si>
    <t>OS - 0200 CLARK LS IMPROVEMENT</t>
  </si>
  <si>
    <t>OS - 0150 EAST GARRISON LIFT STATION IMPROVEMENTS</t>
  </si>
  <si>
    <t>RW - 0156 RECYCLED TRUNK MAIN &amp; BOOSTER</t>
  </si>
  <si>
    <t>RESERVE DETAIL</t>
  </si>
  <si>
    <t>MW</t>
  </si>
  <si>
    <t>MS</t>
  </si>
  <si>
    <t>OW</t>
  </si>
  <si>
    <t>OS</t>
  </si>
  <si>
    <t>RW</t>
  </si>
  <si>
    <t>RP</t>
  </si>
  <si>
    <t>Debt Reserve Fund (2006 Bond)*</t>
  </si>
  <si>
    <t>Debt Reserve Fund (2010 Bond)*</t>
  </si>
  <si>
    <t>IOP CD Account*</t>
  </si>
  <si>
    <t>CPCFA*</t>
  </si>
  <si>
    <t xml:space="preserve">Sub-total </t>
  </si>
  <si>
    <t>Capital Reserves</t>
  </si>
  <si>
    <t xml:space="preserve">  Bond Series 2006 Construction Funds**</t>
  </si>
  <si>
    <t xml:space="preserve">  Capacity Charge/Capital Surcharge**</t>
  </si>
  <si>
    <t xml:space="preserve">  Capital Replacement**</t>
  </si>
  <si>
    <t>Sub-total</t>
  </si>
  <si>
    <t>* Held by external Agencies</t>
  </si>
  <si>
    <t>***Per Board Policy</t>
  </si>
  <si>
    <t>OW - 0119 DEMOLISH D-ZONE RESERVOIR</t>
  </si>
  <si>
    <t>Marina Coast Water District</t>
  </si>
  <si>
    <t>Ln</t>
  </si>
  <si>
    <t>MARINA</t>
  </si>
  <si>
    <t>ORD COMMUNITY</t>
  </si>
  <si>
    <t>RECYCLED</t>
  </si>
  <si>
    <t>REGIONAL</t>
  </si>
  <si>
    <t>#</t>
  </si>
  <si>
    <t>REVENUE</t>
  </si>
  <si>
    <t>WATER</t>
  </si>
  <si>
    <t>SEWER</t>
  </si>
  <si>
    <t>PROJECT</t>
  </si>
  <si>
    <t>BACKFLOW PREVENTION</t>
  </si>
  <si>
    <t xml:space="preserve">LATE CHARGES </t>
  </si>
  <si>
    <t>PERMITS/PLAN CHECK</t>
  </si>
  <si>
    <t>CAPACITY FEES/CAPITAL SURCHARGE</t>
  </si>
  <si>
    <r>
      <t>FUNDING SOURCE TO BE OBTAINED</t>
    </r>
    <r>
      <rPr>
        <vertAlign val="superscript"/>
        <sz val="12"/>
        <rFont val="Arial Narrow"/>
        <family val="2"/>
      </rPr>
      <t>1</t>
    </r>
  </si>
  <si>
    <t>EXPENSES</t>
  </si>
  <si>
    <t>SALARIES &amp; BENEFITS</t>
  </si>
  <si>
    <t>DEPT. EXPENSE</t>
  </si>
  <si>
    <t>FRANCHISE &amp; ADMIN FEES</t>
  </si>
  <si>
    <t>TOTAL C I P/CAPITALIZED EQUIPMENT</t>
  </si>
  <si>
    <t>TOTAL EXPENSES</t>
  </si>
  <si>
    <t xml:space="preserve">Mid-Year Summary </t>
  </si>
  <si>
    <r>
      <t>PRINCIPAL DEBT SERVICE</t>
    </r>
    <r>
      <rPr>
        <vertAlign val="superscript"/>
        <sz val="12"/>
        <rFont val="Arial Narrow"/>
        <family val="2"/>
      </rPr>
      <t>2</t>
    </r>
  </si>
  <si>
    <r>
      <t>TRANSFER (FROM)/TO RESERVES</t>
    </r>
    <r>
      <rPr>
        <vertAlign val="superscript"/>
        <sz val="12"/>
        <rFont val="Arial Narrow"/>
        <family val="2"/>
      </rPr>
      <t>3</t>
    </r>
  </si>
  <si>
    <r>
      <t>TRANSFER TO CAP REPLACEMENT FUND</t>
    </r>
    <r>
      <rPr>
        <vertAlign val="superscript"/>
        <sz val="12"/>
        <rFont val="Arial Narrow"/>
        <family val="2"/>
      </rPr>
      <t>3</t>
    </r>
  </si>
  <si>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>Principal debt service payments are made in 4th quarter of the fiscal year.</t>
    </r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</si>
  <si>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>Includes proceeds from Contruction Loan to be obtained for the 940 2nd Ave Building for the Marina &amp; Ord Cost Centers.</t>
    </r>
  </si>
  <si>
    <r>
      <rPr>
        <vertAlign val="superscript"/>
        <sz val="12"/>
        <rFont val="Arial Narrow"/>
        <family val="2"/>
      </rPr>
      <t>3</t>
    </r>
    <r>
      <rPr>
        <sz val="12"/>
        <rFont val="Arial Narrow"/>
        <family val="2"/>
      </rPr>
      <t>Transfers are made in 4th quarter of the fiscal year.</t>
    </r>
  </si>
  <si>
    <t>SCHEDULE OF DEBT SUMMARY</t>
  </si>
  <si>
    <t>FIRST</t>
  </si>
  <si>
    <t>FINAL</t>
  </si>
  <si>
    <t>PAYMENT</t>
  </si>
  <si>
    <t>RATE</t>
  </si>
  <si>
    <t>RABO BANK - IOP CONSTRUCTION LOAN</t>
  </si>
  <si>
    <t xml:space="preserve">PAYMENT </t>
  </si>
  <si>
    <t>INTEREST ONLY PAYMENT</t>
  </si>
  <si>
    <t>SERIES 2006 BOND - CLOSING DATE 08/23/2006</t>
  </si>
  <si>
    <t>PAYMENT - PRINCIPAL</t>
  </si>
  <si>
    <t>PAYMENT - INTEREST ONLY</t>
  </si>
  <si>
    <t>2010 REFUNDING BOND - CLOSING DATE 12/23/2010</t>
  </si>
  <si>
    <t>RABOBANK - IOP CONSTRUCTION LOAN</t>
  </si>
  <si>
    <t>SERIES 2006 BOND</t>
  </si>
  <si>
    <t>2010 REFUNDING BOND</t>
  </si>
  <si>
    <t>TOTAL DEBT</t>
  </si>
  <si>
    <t>** Restricted to capital spending</t>
  </si>
  <si>
    <t>SCHEDULE OF INVESTMENTS SUMMARY - BOND PROCEEDS</t>
  </si>
  <si>
    <t>RESERVE FUND</t>
  </si>
  <si>
    <t>GIC</t>
  </si>
  <si>
    <t>INTEREST</t>
  </si>
  <si>
    <t xml:space="preserve">APPLIED TO DEBT SERVICE </t>
  </si>
  <si>
    <t>2006 BOND</t>
  </si>
  <si>
    <t>SWEEP FEES</t>
  </si>
  <si>
    <t>TFUND</t>
  </si>
  <si>
    <t>FUND REPLENISHMENT</t>
  </si>
  <si>
    <t>CONSTRUCTION FUND</t>
  </si>
  <si>
    <t>Minimum balance required by Board***</t>
  </si>
  <si>
    <t>6 mos. Avg operating expenses required by Board***</t>
  </si>
  <si>
    <t>JULY - DECEMBER 2014</t>
  </si>
  <si>
    <t>AS OF DECEMBER 31, 2014</t>
  </si>
  <si>
    <t>PROJECTED AS OF DECEMBER 31, 2014</t>
  </si>
  <si>
    <t>INTEREST 07/15/2014</t>
  </si>
  <si>
    <t>INTEREST 10/15/2014</t>
  </si>
  <si>
    <t>INTEREST 07/01/14 - 12/31/14</t>
  </si>
  <si>
    <t>General LedgerSummary</t>
  </si>
  <si>
    <t>01-00-000-088</t>
  </si>
  <si>
    <t>DUE FROM OTHER FUNDS</t>
  </si>
  <si>
    <t>01-00-000-089</t>
  </si>
  <si>
    <t>DUE TO OTHER FUNDS</t>
  </si>
  <si>
    <t>01-00-000-090</t>
  </si>
  <si>
    <t>VOUCHERS PAYABLE</t>
  </si>
  <si>
    <t>01-00-000-091</t>
  </si>
  <si>
    <t>ENCUMBRANCE CONTROL</t>
  </si>
  <si>
    <t>01-00-000-092</t>
  </si>
  <si>
    <t>RESERVE FOR ENC CY</t>
  </si>
  <si>
    <t>01-00-000-093</t>
  </si>
  <si>
    <t>RESERVE FOR ENC PY</t>
  </si>
  <si>
    <t>01-00-000-094</t>
  </si>
  <si>
    <t>FUND BALANCE</t>
  </si>
  <si>
    <t>01-00-000-095</t>
  </si>
  <si>
    <t>REVENUE CONTROL</t>
  </si>
  <si>
    <t>01-00-000-096</t>
  </si>
  <si>
    <t>EXPENDITURE CONTROL</t>
  </si>
  <si>
    <t>01-00-000-097</t>
  </si>
  <si>
    <t>FUND BALANCE - CONTRIB</t>
  </si>
  <si>
    <t>01-00-100-000</t>
  </si>
  <si>
    <t>GENERAL BUSINESS CHECKING</t>
  </si>
  <si>
    <t>01-00-100-001</t>
  </si>
  <si>
    <t>UNAPPLIED CASH</t>
  </si>
  <si>
    <t>01-00-100-005</t>
  </si>
  <si>
    <t>UB CASH RECEIPTS OFFSET A/C</t>
  </si>
  <si>
    <t>01-00-100-006</t>
  </si>
  <si>
    <t>AFLAC - DISTRICT FUNDS</t>
  </si>
  <si>
    <t>01-00-100-008</t>
  </si>
  <si>
    <t>CAPACITY FEE RESTRICTED FUNDS</t>
  </si>
  <si>
    <t>01-00-101-000</t>
  </si>
  <si>
    <t>CYPRESS COAST MONEY MKT</t>
  </si>
  <si>
    <t>01-00-105-000</t>
  </si>
  <si>
    <t>RABOBANK SAVINGS</t>
  </si>
  <si>
    <t>01-00-105-001</t>
  </si>
  <si>
    <t>RABOBANK - CD #1</t>
  </si>
  <si>
    <t>01-00-105-002</t>
  </si>
  <si>
    <t>COMMUNITY BANK - CD #2</t>
  </si>
  <si>
    <t>01-00-105-003</t>
  </si>
  <si>
    <t>RABOBANK - CD (IOP GUARANTEE)</t>
  </si>
  <si>
    <t>01-00-105-005</t>
  </si>
  <si>
    <t>RABOBANK - MM CPFCA DEPOSIT</t>
  </si>
  <si>
    <t>01-00-106-005</t>
  </si>
  <si>
    <t>2006 SERIES CONSTRUCTION FUND</t>
  </si>
  <si>
    <t>01-00-106-010</t>
  </si>
  <si>
    <t>2006 SERIES CAP INT FUND</t>
  </si>
  <si>
    <t>01-00-106-015</t>
  </si>
  <si>
    <t>2006 SERIES DEBT RESERVE FUND</t>
  </si>
  <si>
    <t>01-00-106-020</t>
  </si>
  <si>
    <t>2006 SERIES COST OF ISSUE FUND</t>
  </si>
  <si>
    <t>01-00-106-025</t>
  </si>
  <si>
    <t>2006 SERIES GENERAL FUND</t>
  </si>
  <si>
    <t>01-00-106-030</t>
  </si>
  <si>
    <t>2006 SERIES INSTALL PMT FUND</t>
  </si>
  <si>
    <t>01-00-106-035</t>
  </si>
  <si>
    <t>2006 SERIES 96 ESCROW FUND</t>
  </si>
  <si>
    <t>01-00-106-040</t>
  </si>
  <si>
    <t>2006 SERIES 97 ESCROW FUND</t>
  </si>
  <si>
    <t>01-00-106-045</t>
  </si>
  <si>
    <t>2006 SERIES 03 ESCROW FUND</t>
  </si>
  <si>
    <t>01-00-107-005</t>
  </si>
  <si>
    <t>2010 REFUNDING BONDS-BOND FUND</t>
  </si>
  <si>
    <t>01-00-107-015</t>
  </si>
  <si>
    <t>2010 BOND - DEBT RESERVE FUND</t>
  </si>
  <si>
    <t>01-00-107-020</t>
  </si>
  <si>
    <t>2010 BONDS-COST OF ISSUE FUND</t>
  </si>
  <si>
    <t>01-00-107-025</t>
  </si>
  <si>
    <t>2010 BONDS - PROCEEDS FUND</t>
  </si>
  <si>
    <t>01-00-115-000</t>
  </si>
  <si>
    <t>CASH DRAWER/PETTY CASH</t>
  </si>
  <si>
    <t>01-00-116-000</t>
  </si>
  <si>
    <t>UNEARNED REVENUE</t>
  </si>
  <si>
    <t>LOCAL AGENCY INVESTMENT FUND</t>
  </si>
  <si>
    <t>LAIF - CAPACITY FEE</t>
  </si>
  <si>
    <t>LAIF - CAPITAL REPL RESERVE</t>
  </si>
  <si>
    <t>01-00-122-000</t>
  </si>
  <si>
    <t>UNALLOCATED CAPITALIZED INT</t>
  </si>
  <si>
    <t>01-00-126-000</t>
  </si>
  <si>
    <t>WORKERS COMP DEPOSIT</t>
  </si>
  <si>
    <t>01-00-126-010</t>
  </si>
  <si>
    <t>DEPOSITS</t>
  </si>
  <si>
    <t>01-00-126-020</t>
  </si>
  <si>
    <t>AFLAC - DEPOSIT ON ACCOUNT</t>
  </si>
  <si>
    <t>01-00-130-000</t>
  </si>
  <si>
    <t>INVENTORY MATERIALS</t>
  </si>
  <si>
    <t>01-00-134-000</t>
  </si>
  <si>
    <t>INTEREST RECEIVABLE</t>
  </si>
  <si>
    <t>01-00-135-000</t>
  </si>
  <si>
    <t>PREPAID INSURANCE</t>
  </si>
  <si>
    <t>01-00-135-001</t>
  </si>
  <si>
    <t>PREPAID LIABILITY INS</t>
  </si>
  <si>
    <t>01-00-135-005</t>
  </si>
  <si>
    <t>PREPAID PROPERTY INS</t>
  </si>
  <si>
    <t>01-00-135-006</t>
  </si>
  <si>
    <t>PREPAID AUTO INS</t>
  </si>
  <si>
    <t>01-00-135-007</t>
  </si>
  <si>
    <t>PREPAID FIDUCIARY INS</t>
  </si>
  <si>
    <t>01-00-135-008</t>
  </si>
  <si>
    <t>PREPAID ENVIRONMENTAL INS</t>
  </si>
  <si>
    <t>01-00-135-020</t>
  </si>
  <si>
    <t>PREPAID EXPENSES</t>
  </si>
  <si>
    <t>01-00-136-000</t>
  </si>
  <si>
    <t>ACCOUNTS RECEIVABLE</t>
  </si>
  <si>
    <t>01-00-136-001</t>
  </si>
  <si>
    <t>ALLOWANCE FOR DOUBTFUL ACCTS</t>
  </si>
  <si>
    <t>01-00-137-000</t>
  </si>
  <si>
    <t>CITY TAX RECEIVABLE</t>
  </si>
  <si>
    <t>01-00-138-001</t>
  </si>
  <si>
    <t>RECEIVABLE - MISC</t>
  </si>
  <si>
    <t>01-00-138-005</t>
  </si>
  <si>
    <t>RECEIVABLE - GRANTS</t>
  </si>
  <si>
    <t>01-00-138-020</t>
  </si>
  <si>
    <t>EMPLOYEE CALPERS LOAN</t>
  </si>
  <si>
    <t>01-00-138-030</t>
  </si>
  <si>
    <t>INTERNAL LOAN</t>
  </si>
  <si>
    <t>01-00-138-035</t>
  </si>
  <si>
    <t>LOAN TO FORA</t>
  </si>
  <si>
    <t>01-00-139-000</t>
  </si>
  <si>
    <t>FA CLEARING</t>
  </si>
  <si>
    <t>01-00-150-000</t>
  </si>
  <si>
    <t>LABORATORY</t>
  </si>
  <si>
    <t>01-00-160-000</t>
  </si>
  <si>
    <t>LONG TERM PROJECTS</t>
  </si>
  <si>
    <t>01-00-160-001</t>
  </si>
  <si>
    <t>01-00-160-003</t>
  </si>
  <si>
    <t>PATTON SCHOOL INTERTIE</t>
  </si>
  <si>
    <t>01-00-161-000</t>
  </si>
  <si>
    <t>ZONE 2&amp;2A ANNEX</t>
  </si>
  <si>
    <t>WD-0202/ 940 2ND AVE BLM BLDG</t>
  </si>
  <si>
    <t>01-00-180-001</t>
  </si>
  <si>
    <t>DESAL -  CONST IN PROGRESS</t>
  </si>
  <si>
    <t>01-00-180-002</t>
  </si>
  <si>
    <t>DESAL - CONST FUNDS AVAIL</t>
  </si>
  <si>
    <t>01-00-190-000</t>
  </si>
  <si>
    <t>LOAN FEES DWR</t>
  </si>
  <si>
    <t>01-00-190-001</t>
  </si>
  <si>
    <t>ACCUM AMORTIZATION</t>
  </si>
  <si>
    <t>01-00-190-010</t>
  </si>
  <si>
    <t>2006 SERIES BOND FEES</t>
  </si>
  <si>
    <t>01-00-190-011</t>
  </si>
  <si>
    <t>2006 SERIES FEES - ACCUM AMORT</t>
  </si>
  <si>
    <t>01-00-190-020</t>
  </si>
  <si>
    <t>2010 BONDS - BOND FEES</t>
  </si>
  <si>
    <t>01-00-192-000</t>
  </si>
  <si>
    <t>ENGINEERING</t>
  </si>
  <si>
    <t>01-00-193-000</t>
  </si>
  <si>
    <t>DUNES RESTORATION</t>
  </si>
  <si>
    <t>01-00-199-000</t>
  </si>
  <si>
    <t>ACCUMULATED DEPRECIATION</t>
  </si>
  <si>
    <t>01-00-200-000</t>
  </si>
  <si>
    <t>ACCOUNTS PAYABLE</t>
  </si>
  <si>
    <t>01-00-201-000</t>
  </si>
  <si>
    <t>AP ACCRUAL</t>
  </si>
  <si>
    <t>01-00-202-000</t>
  </si>
  <si>
    <t>PAYABLES/DEPOSIT CLEARING ACCT</t>
  </si>
  <si>
    <t>01-00-203-000</t>
  </si>
  <si>
    <t>AFLAC - MCWD AVAILABLE FUNDS</t>
  </si>
  <si>
    <t>01-00-205-000</t>
  </si>
  <si>
    <t>UTILITY BILLING REFUND ACCOUNT</t>
  </si>
  <si>
    <t>01-00-210-000</t>
  </si>
  <si>
    <t>FIRE HYDRANT DEPOSITS</t>
  </si>
  <si>
    <t>01-00-212-000</t>
  </si>
  <si>
    <t>UNAPPLIED CREDIT CASH</t>
  </si>
  <si>
    <t>01-00-213-000</t>
  </si>
  <si>
    <t>CITY TAX PAYABLE</t>
  </si>
  <si>
    <t>01-00-215-000</t>
  </si>
  <si>
    <t>INTEREST PAYABLE</t>
  </si>
  <si>
    <t>01-00-215-002</t>
  </si>
  <si>
    <t>1993 DWR LASALLE INT PAYABLE</t>
  </si>
  <si>
    <t>01-00-215-005</t>
  </si>
  <si>
    <t>1996 DESAL LASALLE INT PAYABLE</t>
  </si>
  <si>
    <t>01-00-215-006</t>
  </si>
  <si>
    <t>1997 ZONE 2&amp;2A INT PAYABLE</t>
  </si>
  <si>
    <t>01-00-215-015</t>
  </si>
  <si>
    <t>CALPERS COMM BNK INT PAYABLE</t>
  </si>
  <si>
    <t>01-00-215-020</t>
  </si>
  <si>
    <t>2006 SERIES BOND INT PAYABLE</t>
  </si>
  <si>
    <t>01-00-215-030</t>
  </si>
  <si>
    <t>2010 BOND INTEREST PAYABLE</t>
  </si>
  <si>
    <t>01-00-216-000</t>
  </si>
  <si>
    <t>SECURITY DEPOSITS PAYABLE</t>
  </si>
  <si>
    <t>01-00-217-000</t>
  </si>
  <si>
    <t>DEPOSIT ESCROW CASH</t>
  </si>
  <si>
    <t>01-00-218-001</t>
  </si>
  <si>
    <t>DEVELOPER DEPOSITS</t>
  </si>
  <si>
    <t>01-00-218-010</t>
  </si>
  <si>
    <t>DEV CONT - MARINA STATION</t>
  </si>
  <si>
    <t>01-00-218-100</t>
  </si>
  <si>
    <t>DEV CONT - MARINA COTTAGES</t>
  </si>
  <si>
    <t>01-00-220-000</t>
  </si>
  <si>
    <t>01-00-223-000</t>
  </si>
  <si>
    <t>REBATE ARBITRAGE LIABILITY</t>
  </si>
  <si>
    <t>01-00-247-000</t>
  </si>
  <si>
    <t>ARMSTRONG PROMISSORY NOTE</t>
  </si>
  <si>
    <t>01-00-247-010</t>
  </si>
  <si>
    <t>2010 REFUNDING BONDS</t>
  </si>
  <si>
    <t>01-00-247-015</t>
  </si>
  <si>
    <t>2010 REFUNDING BONDS BOND PREM</t>
  </si>
  <si>
    <t>01-00-248-000</t>
  </si>
  <si>
    <t>FORA NOTE PAYABLE (IOP)</t>
  </si>
  <si>
    <t>01-00-248-010</t>
  </si>
  <si>
    <t>IOP CONSTRUCTION LOC</t>
  </si>
  <si>
    <t>01-00-248-020</t>
  </si>
  <si>
    <t>FORA NOTE - LAND AGREEMENT</t>
  </si>
  <si>
    <t>01-00-249-000</t>
  </si>
  <si>
    <t>2006 SERIES BOND</t>
  </si>
  <si>
    <t>01-00-249-005</t>
  </si>
  <si>
    <t>2006 SERIES BOND PREMIUM</t>
  </si>
  <si>
    <t>01-00-250-000</t>
  </si>
  <si>
    <t>1966 W-BOND FIRST TRUST</t>
  </si>
  <si>
    <t>01-00-251-000</t>
  </si>
  <si>
    <t>1966 W-BOND LOAN FEES</t>
  </si>
  <si>
    <t>01-00-252-000</t>
  </si>
  <si>
    <t>1997 ZONE 2&amp;2A ANNEX NOTE</t>
  </si>
  <si>
    <t>01-00-254-015</t>
  </si>
  <si>
    <t>CALPERS LOAN COMMUNITY BANK</t>
  </si>
  <si>
    <t>01-00-255-000</t>
  </si>
  <si>
    <t>1993 DWR LASALLE NAT BANK</t>
  </si>
  <si>
    <t>01-00-256-000</t>
  </si>
  <si>
    <t>TELEMETRY SYS BANK ONE</t>
  </si>
  <si>
    <t>01-00-256-010</t>
  </si>
  <si>
    <t>KANSAS BANK EQUIPMENT LEASE</t>
  </si>
  <si>
    <t>01-00-256-015</t>
  </si>
  <si>
    <t>BANK OF WEST EQUIPMENT LEASE</t>
  </si>
  <si>
    <t>01-00-257-000</t>
  </si>
  <si>
    <t>96 DESAL LASALLE NAT BANK</t>
  </si>
  <si>
    <t>01-00-258-000</t>
  </si>
  <si>
    <t>CURRENT PORTION LT DEBT</t>
  </si>
  <si>
    <t>01-00-258-001</t>
  </si>
  <si>
    <t>CURRENT PORTION OFFSET</t>
  </si>
  <si>
    <t>01-00-258-010</t>
  </si>
  <si>
    <t>CURRENT PORTION LT DEBT-LOANS</t>
  </si>
  <si>
    <t>01-00-258-015</t>
  </si>
  <si>
    <t>CURRENT PORTION LT DEBT-CAP LS</t>
  </si>
  <si>
    <t>01-00-260-000</t>
  </si>
  <si>
    <t>WELL#12 LOAN FIRST INTER</t>
  </si>
  <si>
    <t>01-00-265-000</t>
  </si>
  <si>
    <t>ACCRUED COMP ABSENCES</t>
  </si>
  <si>
    <t>01-00-270-000</t>
  </si>
  <si>
    <t>PENSION PLAN PAYABLE</t>
  </si>
  <si>
    <t>01-00-270-210</t>
  </si>
  <si>
    <t>FIT PAYABLE</t>
  </si>
  <si>
    <t>01-00-270-211</t>
  </si>
  <si>
    <t>SIT PAYABLE</t>
  </si>
  <si>
    <t>01-00-270-212</t>
  </si>
  <si>
    <t>SDI PAYABLE</t>
  </si>
  <si>
    <t>01-00-270-213</t>
  </si>
  <si>
    <t>FICA PAYABLE</t>
  </si>
  <si>
    <t>01-00-270-214</t>
  </si>
  <si>
    <t>MEDI PAYABLE</t>
  </si>
  <si>
    <t>01-00-270-215</t>
  </si>
  <si>
    <t>DEFERRED COMP PAYABLE</t>
  </si>
  <si>
    <t>01-00-270-216</t>
  </si>
  <si>
    <t>UNION DUES PAYABLE</t>
  </si>
  <si>
    <t>01-00-270-217</t>
  </si>
  <si>
    <t>IRS/FTB - CA GARNISHMENT</t>
  </si>
  <si>
    <t>01-00-270-218</t>
  </si>
  <si>
    <t>WAGE GARNISHMENT</t>
  </si>
  <si>
    <t>01-00-270-219</t>
  </si>
  <si>
    <t>AFLAC PAYABLE</t>
  </si>
  <si>
    <t>01-00-270-220</t>
  </si>
  <si>
    <t>01-00-270-221</t>
  </si>
  <si>
    <t>HEALTH INS PAYABLE</t>
  </si>
  <si>
    <t>01-00-270-222</t>
  </si>
  <si>
    <t>LIFE INSURANCE PAYABLE</t>
  </si>
  <si>
    <t>01-00-270-223</t>
  </si>
  <si>
    <t>DENTAL INS PAYABLE</t>
  </si>
  <si>
    <t>01-00-270-224</t>
  </si>
  <si>
    <t>VISION INS PAYABLE</t>
  </si>
  <si>
    <t>01-00-270-225</t>
  </si>
  <si>
    <t>SUI PAYABLE</t>
  </si>
  <si>
    <t>01-00-270-226</t>
  </si>
  <si>
    <t>PENSION PAYOUT PAYABLE</t>
  </si>
  <si>
    <t>01-00-270-227</t>
  </si>
  <si>
    <t>PAYROLL PAYABLE</t>
  </si>
  <si>
    <t>01-00-270-228</t>
  </si>
  <si>
    <t>COBRA - SUSPENSE ACCT</t>
  </si>
  <si>
    <t>01-00-270-229</t>
  </si>
  <si>
    <t>WORKERS COMP PAYABLE</t>
  </si>
  <si>
    <t>01-00-270-230</t>
  </si>
  <si>
    <t>ETT PAYABLE</t>
  </si>
  <si>
    <t>01-00-270-231</t>
  </si>
  <si>
    <t>CAR ALLOWANCE PAYABLE</t>
  </si>
  <si>
    <t>01-00-270-232</t>
  </si>
  <si>
    <t>LEGAL SERVICES PAYABLE</t>
  </si>
  <si>
    <t>01-00-270-233</t>
  </si>
  <si>
    <t>OPEB LIABILITY</t>
  </si>
  <si>
    <t>01-00-270-234</t>
  </si>
  <si>
    <t>FSA PAYABLE</t>
  </si>
  <si>
    <t>01-00-270-235</t>
  </si>
  <si>
    <t>DIRECT DEPOSIT PAYABLE</t>
  </si>
  <si>
    <t>01-00-270-237</t>
  </si>
  <si>
    <t>CALPERS RETIREMENT PAYABLE</t>
  </si>
  <si>
    <t>01-00-270-238</t>
  </si>
  <si>
    <t>CALPERS-62 RETIREMENT PAYABLE</t>
  </si>
  <si>
    <t>01-00-275-000</t>
  </si>
  <si>
    <t>DEFERRED REVENUE - FORA IOP</t>
  </si>
  <si>
    <t>01-00-411-001</t>
  </si>
  <si>
    <t>GAIN ON SALE SECURITIES</t>
  </si>
  <si>
    <t>01-00-415-002</t>
  </si>
  <si>
    <t>PROPERTY TAX INCOME</t>
  </si>
  <si>
    <t>01-00-415-005</t>
  </si>
  <si>
    <t>MAINTENANCE REVENUE</t>
  </si>
  <si>
    <t>01-00-415-010</t>
  </si>
  <si>
    <t>WEB CAM REVENUE (SURFLINE)</t>
  </si>
  <si>
    <t>01-00-415-020</t>
  </si>
  <si>
    <t>CALPERS REIMBURSEMENT</t>
  </si>
  <si>
    <t>01-00-415-050</t>
  </si>
  <si>
    <t>DESAL AGREEMENT FEE</t>
  </si>
  <si>
    <t>01-00-420-005</t>
  </si>
  <si>
    <t>PRIOR PERIOD DEVELOPER FEES</t>
  </si>
  <si>
    <t>01-00-480-000</t>
  </si>
  <si>
    <t>FINANCING REVENUE</t>
  </si>
  <si>
    <t>01-00-489-000</t>
  </si>
  <si>
    <t>DONATIONS FROM OTHER AGENCIES</t>
  </si>
  <si>
    <t>01-00-490-020</t>
  </si>
  <si>
    <t>GAIN/LOSS ON LOAN REFUNDING</t>
  </si>
  <si>
    <t>LIFE INSURANCE/ AD&amp;D</t>
  </si>
  <si>
    <t>01-01-020-210</t>
  </si>
  <si>
    <t>01-01-020-211</t>
  </si>
  <si>
    <t>CALPERS RETIREMENT (ER)</t>
  </si>
  <si>
    <t>01-01-020-222</t>
  </si>
  <si>
    <t>CALPERS-62 RETIREMENT (ER)</t>
  </si>
  <si>
    <t>01-01-020-223</t>
  </si>
  <si>
    <t>CALPERS-62 RETIREMENT (EE)</t>
  </si>
  <si>
    <t>01-01-030-008</t>
  </si>
  <si>
    <t>FIDUCIARY INSURANCE</t>
  </si>
  <si>
    <t>01-01-030-010</t>
  </si>
  <si>
    <t>BOILER/EQUIPMENT INS</t>
  </si>
  <si>
    <t>01-01-030-015</t>
  </si>
  <si>
    <t>01-01-031-000</t>
  </si>
  <si>
    <t>UTILITIES</t>
  </si>
  <si>
    <t>01-01-031-130</t>
  </si>
  <si>
    <t>LANDSCAPING</t>
  </si>
  <si>
    <t>01-01-038-115</t>
  </si>
  <si>
    <t>WATER AUGMENTATION EXPENSE</t>
  </si>
  <si>
    <t>01-01-040-000</t>
  </si>
  <si>
    <t>TRAINING &amp; EDUCATION EXPENSE</t>
  </si>
  <si>
    <t>01-01-040-028</t>
  </si>
  <si>
    <t>SUBSCRIPTIONS</t>
  </si>
  <si>
    <t>INTEREST/PENALTY FEES</t>
  </si>
  <si>
    <t>01-01-045-002</t>
  </si>
  <si>
    <t>1993 DWR LASALLE INTEREST</t>
  </si>
  <si>
    <t>01-01-045-005</t>
  </si>
  <si>
    <t>96 DESAL LASALLE INTEREST</t>
  </si>
  <si>
    <t>01-01-045-006</t>
  </si>
  <si>
    <t>ZONE 2&amp;2A ANNEX INTEREST</t>
  </si>
  <si>
    <t>01-01-045-015</t>
  </si>
  <si>
    <t>CALPERS INTEREST</t>
  </si>
  <si>
    <t>01-01-045-020</t>
  </si>
  <si>
    <t>INTEREST ON ARMSTRONG NOTE</t>
  </si>
  <si>
    <t>01-01-046-002</t>
  </si>
  <si>
    <t>AMORTIZATION EXPENSE</t>
  </si>
  <si>
    <t>01-01-068-000</t>
  </si>
  <si>
    <t>01-01-080-032</t>
  </si>
  <si>
    <t>JANITORIAL MAINTENANCE</t>
  </si>
  <si>
    <t>01-01-085-000</t>
  </si>
  <si>
    <t>01-01-089-005</t>
  </si>
  <si>
    <t>LOSS ON LOAN REFUNDING</t>
  </si>
  <si>
    <t>01-02-020-207</t>
  </si>
  <si>
    <t>PENSION EXPENSE</t>
  </si>
  <si>
    <t>01-02-020-222</t>
  </si>
  <si>
    <t>01-02-020-223</t>
  </si>
  <si>
    <t>01-02-040-000</t>
  </si>
  <si>
    <t>01-02-040-018</t>
  </si>
  <si>
    <t>01-02-040-020</t>
  </si>
  <si>
    <t>01-02-040-022</t>
  </si>
  <si>
    <t>01-02-040-025</t>
  </si>
  <si>
    <t>01-02-040-026</t>
  </si>
  <si>
    <t>TRAINING &amp; EQUIPMENT</t>
  </si>
  <si>
    <t>01-02-052-120</t>
  </si>
  <si>
    <t>WELL #10 SUPPLIES</t>
  </si>
  <si>
    <t>01-02-085-000</t>
  </si>
  <si>
    <t>01-03-020-207</t>
  </si>
  <si>
    <t>01-03-020-222</t>
  </si>
  <si>
    <t>01-03-020-223</t>
  </si>
  <si>
    <t>01-03-040-018</t>
  </si>
  <si>
    <t>01-03-040-020</t>
  </si>
  <si>
    <t>01-03-040-022</t>
  </si>
  <si>
    <t>01-03-040-024</t>
  </si>
  <si>
    <t>01-03-085-000</t>
  </si>
  <si>
    <t>01-04-020-222</t>
  </si>
  <si>
    <t>01-04-020-223</t>
  </si>
  <si>
    <t>01-04-035-003</t>
  </si>
  <si>
    <t>01-04-040-018</t>
  </si>
  <si>
    <t>01-04-040-020</t>
  </si>
  <si>
    <t>01-04-040-022</t>
  </si>
  <si>
    <t>01-04-068-000</t>
  </si>
  <si>
    <t>HOT WATER RECIRCULATION REBATE</t>
  </si>
  <si>
    <t>01-04-085-000</t>
  </si>
  <si>
    <t>01-05-020-207</t>
  </si>
  <si>
    <t>01-05-020-222</t>
  </si>
  <si>
    <t>01-05-020-223</t>
  </si>
  <si>
    <t>01-05-033-106</t>
  </si>
  <si>
    <t>01-05-035-002</t>
  </si>
  <si>
    <t>01-05-035-004</t>
  </si>
  <si>
    <t>01-05-035-005</t>
  </si>
  <si>
    <t>01-05-035-007</t>
  </si>
  <si>
    <t>01-05-040-018</t>
  </si>
  <si>
    <t>01-05-040-020</t>
  </si>
  <si>
    <t>01-05-040-022</t>
  </si>
  <si>
    <t>01-05-040-035</t>
  </si>
  <si>
    <t>DEVELOPER EXPENSES - METERS</t>
  </si>
  <si>
    <t>01-05-068-000</t>
  </si>
  <si>
    <t>01-05-085-000</t>
  </si>
  <si>
    <t>02-00-000-088</t>
  </si>
  <si>
    <t>02-00-000-089</t>
  </si>
  <si>
    <t>02-00-000-090</t>
  </si>
  <si>
    <t>02-00-000-091</t>
  </si>
  <si>
    <t>02-00-000-092</t>
  </si>
  <si>
    <t>02-00-000-093</t>
  </si>
  <si>
    <t>02-00-000-094</t>
  </si>
  <si>
    <t>02-00-000-095</t>
  </si>
  <si>
    <t>02-00-000-096</t>
  </si>
  <si>
    <t>02-00-000-097</t>
  </si>
  <si>
    <t>02-00-045-020</t>
  </si>
  <si>
    <t>02-00-100-000</t>
  </si>
  <si>
    <t>02-00-100-001</t>
  </si>
  <si>
    <t>02-00-100-008</t>
  </si>
  <si>
    <t>02-00-101-000</t>
  </si>
  <si>
    <t>02-00-105-000</t>
  </si>
  <si>
    <t>02-00-105-001</t>
  </si>
  <si>
    <t>02-00-105-002</t>
  </si>
  <si>
    <t>02-00-105-003</t>
  </si>
  <si>
    <t>02-00-105-005</t>
  </si>
  <si>
    <t>02-00-106-005</t>
  </si>
  <si>
    <t>02-00-106-010</t>
  </si>
  <si>
    <t>02-00-106-015</t>
  </si>
  <si>
    <t>02-00-106-020</t>
  </si>
  <si>
    <t>02-00-106-025</t>
  </si>
  <si>
    <t>02-00-106-030</t>
  </si>
  <si>
    <t>02-00-106-035</t>
  </si>
  <si>
    <t>02-00-106-040</t>
  </si>
  <si>
    <t>02-00-106-045</t>
  </si>
  <si>
    <t>02-00-107-005</t>
  </si>
  <si>
    <t>02-00-107-015</t>
  </si>
  <si>
    <t>02-00-107-020</t>
  </si>
  <si>
    <t>02-00-107-025</t>
  </si>
  <si>
    <t>02-00-115-000</t>
  </si>
  <si>
    <t>PETTY CASH FUNDS</t>
  </si>
  <si>
    <t>02-00-116-000</t>
  </si>
  <si>
    <t>02-00-122-000</t>
  </si>
  <si>
    <t>02-00-126-000</t>
  </si>
  <si>
    <t>02-00-126-010</t>
  </si>
  <si>
    <t>02-00-130-000</t>
  </si>
  <si>
    <t>02-00-134-000</t>
  </si>
  <si>
    <t>02-00-135-000</t>
  </si>
  <si>
    <t>02-00-135-001</t>
  </si>
  <si>
    <t>02-00-135-005</t>
  </si>
  <si>
    <t>02-00-135-006</t>
  </si>
  <si>
    <t>02-00-135-007</t>
  </si>
  <si>
    <t>02-00-135-008</t>
  </si>
  <si>
    <t>02-00-135-020</t>
  </si>
  <si>
    <t>02-00-136-000</t>
  </si>
  <si>
    <t>02-00-136-001</t>
  </si>
  <si>
    <t>02-00-137-000</t>
  </si>
  <si>
    <t>02-00-138-000</t>
  </si>
  <si>
    <t>LOAN RECEIVABLE - FOS</t>
  </si>
  <si>
    <t>02-00-138-001</t>
  </si>
  <si>
    <t>02-00-138-005</t>
  </si>
  <si>
    <t>02-00-138-035</t>
  </si>
  <si>
    <t>02-00-139-000</t>
  </si>
  <si>
    <t>02-00-150-000</t>
  </si>
  <si>
    <t>02-00-160-000</t>
  </si>
  <si>
    <t>02-00-160-001</t>
  </si>
  <si>
    <t>02-00-176-000</t>
  </si>
  <si>
    <t>OCEANOGRAPHIC STUDY</t>
  </si>
  <si>
    <t>02-00-190-000</t>
  </si>
  <si>
    <t>02-00-190-001</t>
  </si>
  <si>
    <t>02-00-190-010</t>
  </si>
  <si>
    <t>02-00-190-011</t>
  </si>
  <si>
    <t>02-00-190-020</t>
  </si>
  <si>
    <t>02-00-199-000</t>
  </si>
  <si>
    <t>02-00-200-000</t>
  </si>
  <si>
    <t>02-00-201-000</t>
  </si>
  <si>
    <t>02-00-205-000</t>
  </si>
  <si>
    <t>02-00-210-000</t>
  </si>
  <si>
    <t>02-00-212-000</t>
  </si>
  <si>
    <t>02-00-212-001</t>
  </si>
  <si>
    <t>OVERPAYMENT REVENUE</t>
  </si>
  <si>
    <t>02-00-213-000</t>
  </si>
  <si>
    <t>02-00-215-000</t>
  </si>
  <si>
    <t>02-00-215-001</t>
  </si>
  <si>
    <t>UNPAID INTEREST</t>
  </si>
  <si>
    <t>02-00-215-015</t>
  </si>
  <si>
    <t>02-00-215-020</t>
  </si>
  <si>
    <t>02-00-215-030</t>
  </si>
  <si>
    <t>02-00-216-000</t>
  </si>
  <si>
    <t>02-00-217-000</t>
  </si>
  <si>
    <t>02-00-218-001</t>
  </si>
  <si>
    <t>02-00-218-010</t>
  </si>
  <si>
    <t>02-00-220-000</t>
  </si>
  <si>
    <t>02-00-223-000</t>
  </si>
  <si>
    <t>02-00-247-000</t>
  </si>
  <si>
    <t>02-00-247-010</t>
  </si>
  <si>
    <t>02-00-247-015</t>
  </si>
  <si>
    <t>02-00-248-000</t>
  </si>
  <si>
    <t>02-00-248-010</t>
  </si>
  <si>
    <t>02-00-248-020</t>
  </si>
  <si>
    <t>02-00-249-000</t>
  </si>
  <si>
    <t>02-00-249-005</t>
  </si>
  <si>
    <t>02-00-252-000</t>
  </si>
  <si>
    <t>1968 S-BOND FIRST TRUST</t>
  </si>
  <si>
    <t>02-00-254-015</t>
  </si>
  <si>
    <t>02-00-256-010</t>
  </si>
  <si>
    <t>02-00-256-015</t>
  </si>
  <si>
    <t>02-00-258-000</t>
  </si>
  <si>
    <t>02-00-258-010</t>
  </si>
  <si>
    <t>02-00-258-015</t>
  </si>
  <si>
    <t>02-00-265-000</t>
  </si>
  <si>
    <t>02-00-270-000</t>
  </si>
  <si>
    <t>02-00-270-210</t>
  </si>
  <si>
    <t>02-00-270-211</t>
  </si>
  <si>
    <t>02-00-270-212</t>
  </si>
  <si>
    <t>02-00-270-213</t>
  </si>
  <si>
    <t>02-00-270-214</t>
  </si>
  <si>
    <t>02-00-270-215</t>
  </si>
  <si>
    <t>02-00-270-216</t>
  </si>
  <si>
    <t>02-00-270-217</t>
  </si>
  <si>
    <t>02-00-270-218</t>
  </si>
  <si>
    <t>02-00-270-219</t>
  </si>
  <si>
    <t>02-00-270-220</t>
  </si>
  <si>
    <t>02-00-270-221</t>
  </si>
  <si>
    <t>02-00-270-222</t>
  </si>
  <si>
    <t>02-00-270-223</t>
  </si>
  <si>
    <t>02-00-270-224</t>
  </si>
  <si>
    <t>02-00-270-225</t>
  </si>
  <si>
    <t>02-00-270-226</t>
  </si>
  <si>
    <t>02-00-270-227</t>
  </si>
  <si>
    <t>02-00-270-228</t>
  </si>
  <si>
    <t>02-00-270-229</t>
  </si>
  <si>
    <t>02-00-270-230</t>
  </si>
  <si>
    <t>02-00-270-231</t>
  </si>
  <si>
    <t>02-00-270-232</t>
  </si>
  <si>
    <t>02-00-270-233</t>
  </si>
  <si>
    <t>02-00-270-235</t>
  </si>
  <si>
    <t>02-00-270-237</t>
  </si>
  <si>
    <t>02-00-275-000</t>
  </si>
  <si>
    <t>02-00-411-001</t>
  </si>
  <si>
    <t>02-00-415-002</t>
  </si>
  <si>
    <t>02-00-415-005</t>
  </si>
  <si>
    <t>02-00-415-020</t>
  </si>
  <si>
    <t>02-00-420-005</t>
  </si>
  <si>
    <t>02-00-425-000</t>
  </si>
  <si>
    <t>FOS DEBT REPAYMENT</t>
  </si>
  <si>
    <t>02-00-450-010</t>
  </si>
  <si>
    <t>02-00-480-000</t>
  </si>
  <si>
    <t>02-00-489-000</t>
  </si>
  <si>
    <t>02-00-490-020</t>
  </si>
  <si>
    <t>02-00-500-000</t>
  </si>
  <si>
    <t>OTHER INCOME-FORA</t>
  </si>
  <si>
    <t>02-00-500-001</t>
  </si>
  <si>
    <t>INTERNAL LOAN RECOVERY</t>
  </si>
  <si>
    <t>02-01-020-210</t>
  </si>
  <si>
    <t>02-01-020-211</t>
  </si>
  <si>
    <t>02-01-020-222</t>
  </si>
  <si>
    <t>02-01-020-223</t>
  </si>
  <si>
    <t>02-01-030-008</t>
  </si>
  <si>
    <t>02-01-030-010</t>
  </si>
  <si>
    <t>02-01-030-015</t>
  </si>
  <si>
    <t>02-01-031-000</t>
  </si>
  <si>
    <t>02-01-031-130</t>
  </si>
  <si>
    <t>02-01-040-000</t>
  </si>
  <si>
    <t>02-01-040-028</t>
  </si>
  <si>
    <t>02-01-045-015</t>
  </si>
  <si>
    <t>02-01-045-020</t>
  </si>
  <si>
    <t>02-01-068-000</t>
  </si>
  <si>
    <t>02-01-080-032</t>
  </si>
  <si>
    <t>02-01-085-000</t>
  </si>
  <si>
    <t>02-01-089-005</t>
  </si>
  <si>
    <t>02-02-020-207</t>
  </si>
  <si>
    <t>02-02-020-222</t>
  </si>
  <si>
    <t>02-02-020-223</t>
  </si>
  <si>
    <t>02-02-040-000</t>
  </si>
  <si>
    <t>02-02-040-018</t>
  </si>
  <si>
    <t>02-02-040-020</t>
  </si>
  <si>
    <t>02-02-040-022</t>
  </si>
  <si>
    <t>02-02-040-025</t>
  </si>
  <si>
    <t>02-02-040-026</t>
  </si>
  <si>
    <t>02-02-050-128</t>
  </si>
  <si>
    <t>02-02-085-000</t>
  </si>
  <si>
    <t>02-05-020-207</t>
  </si>
  <si>
    <t>02-05-020-222</t>
  </si>
  <si>
    <t>02-05-020-223</t>
  </si>
  <si>
    <t>02-05-033-106</t>
  </si>
  <si>
    <t>02-05-035-002</t>
  </si>
  <si>
    <t>02-05-035-004</t>
  </si>
  <si>
    <t>02-05-035-005</t>
  </si>
  <si>
    <t>02-05-035-007</t>
  </si>
  <si>
    <t>02-05-040-018</t>
  </si>
  <si>
    <t>02-05-040-020</t>
  </si>
  <si>
    <t>02-05-040-022</t>
  </si>
  <si>
    <t>02-05-068-000</t>
  </si>
  <si>
    <t>02-05-085-000</t>
  </si>
  <si>
    <t>03-00-000-088</t>
  </si>
  <si>
    <t>03-00-000-089</t>
  </si>
  <si>
    <t>03-00-000-090</t>
  </si>
  <si>
    <t>03-00-000-091</t>
  </si>
  <si>
    <t>03-00-000-092</t>
  </si>
  <si>
    <t>03-00-000-093</t>
  </si>
  <si>
    <t>03-00-000-094</t>
  </si>
  <si>
    <t>03-00-000-095</t>
  </si>
  <si>
    <t>03-00-000-096</t>
  </si>
  <si>
    <t>03-00-000-097</t>
  </si>
  <si>
    <t>03-00-045-020</t>
  </si>
  <si>
    <t>03-00-100-000</t>
  </si>
  <si>
    <t>03-00-100-001</t>
  </si>
  <si>
    <t>03-00-100-003</t>
  </si>
  <si>
    <t>RABOBANK - CAPITAL COMP</t>
  </si>
  <si>
    <t>03-00-100-008</t>
  </si>
  <si>
    <t>03-00-100-015</t>
  </si>
  <si>
    <t>RABOBANK CAPITAL SURCHARGE</t>
  </si>
  <si>
    <t>03-00-100-050</t>
  </si>
  <si>
    <t>RABOBANK - CAPITAL REPL RESERV</t>
  </si>
  <si>
    <t>03-00-101-000</t>
  </si>
  <si>
    <t>03-00-105-000</t>
  </si>
  <si>
    <t>03-00-105-001</t>
  </si>
  <si>
    <t>03-00-105-002</t>
  </si>
  <si>
    <t>03-00-105-003</t>
  </si>
  <si>
    <t>03-00-105-005</t>
  </si>
  <si>
    <t>03-00-106-005</t>
  </si>
  <si>
    <t>03-00-106-010</t>
  </si>
  <si>
    <t>03-00-106-015</t>
  </si>
  <si>
    <t>03-00-106-020</t>
  </si>
  <si>
    <t>03-00-106-025</t>
  </si>
  <si>
    <t>03-00-106-030</t>
  </si>
  <si>
    <t>03-00-106-035</t>
  </si>
  <si>
    <t>03-00-106-040</t>
  </si>
  <si>
    <t>03-00-106-045</t>
  </si>
  <si>
    <t>03-00-107-005</t>
  </si>
  <si>
    <t>03-00-107-015</t>
  </si>
  <si>
    <t>03-00-107-020</t>
  </si>
  <si>
    <t>03-00-107-025</t>
  </si>
  <si>
    <t>03-00-115-000</t>
  </si>
  <si>
    <t>03-00-116-000</t>
  </si>
  <si>
    <t>03-00-122-000</t>
  </si>
  <si>
    <t>03-00-126-000</t>
  </si>
  <si>
    <t>03-00-126-010</t>
  </si>
  <si>
    <t>03-00-130-000</t>
  </si>
  <si>
    <t>03-00-134-000</t>
  </si>
  <si>
    <t>03-00-135-000</t>
  </si>
  <si>
    <t>03-00-135-001</t>
  </si>
  <si>
    <t>03-00-135-005</t>
  </si>
  <si>
    <t>03-00-135-006</t>
  </si>
  <si>
    <t>03-00-135-007</t>
  </si>
  <si>
    <t>03-00-135-008</t>
  </si>
  <si>
    <t>03-00-135-020</t>
  </si>
  <si>
    <t>03-00-136-000</t>
  </si>
  <si>
    <t>03-00-136-001</t>
  </si>
  <si>
    <t>03-00-137-000</t>
  </si>
  <si>
    <t>03-00-138-001</t>
  </si>
  <si>
    <t>03-00-138-005</t>
  </si>
  <si>
    <t>03-00-138-035</t>
  </si>
  <si>
    <t>03-00-139-000</t>
  </si>
  <si>
    <t>03-00-150-000</t>
  </si>
  <si>
    <t>03-00-160-000</t>
  </si>
  <si>
    <t>03-00-160-001</t>
  </si>
  <si>
    <t>03-00-160-003</t>
  </si>
  <si>
    <t>03-00-160-382</t>
  </si>
  <si>
    <t>OW-0223 WELL 30/ REPLACE PUMP</t>
  </si>
  <si>
    <t>03-00-190-000</t>
  </si>
  <si>
    <t>03-00-190-001</t>
  </si>
  <si>
    <t>03-00-190-010</t>
  </si>
  <si>
    <t>03-00-190-011</t>
  </si>
  <si>
    <t>03-00-190-020</t>
  </si>
  <si>
    <t>03-00-199-000</t>
  </si>
  <si>
    <t>03-00-200-000</t>
  </si>
  <si>
    <t>03-00-201-000</t>
  </si>
  <si>
    <t>03-00-205-000</t>
  </si>
  <si>
    <t>03-00-210-000</t>
  </si>
  <si>
    <t>03-00-212-000</t>
  </si>
  <si>
    <t>03-00-213-000</t>
  </si>
  <si>
    <t>03-00-215-000</t>
  </si>
  <si>
    <t>03-00-215-010</t>
  </si>
  <si>
    <t>INT PAYABLE - $8M LOC CNB</t>
  </si>
  <si>
    <t>03-00-215-015</t>
  </si>
  <si>
    <t>03-00-215-020</t>
  </si>
  <si>
    <t>03-00-215-030</t>
  </si>
  <si>
    <t>03-00-216-000</t>
  </si>
  <si>
    <t>03-00-217-000</t>
  </si>
  <si>
    <t>03-00-218-001</t>
  </si>
  <si>
    <t>03-00-218-010</t>
  </si>
  <si>
    <t>03-00-218-020</t>
  </si>
  <si>
    <t>DEV CONT - SEASIDE RESORT</t>
  </si>
  <si>
    <t>03-00-218-030</t>
  </si>
  <si>
    <t>DEV CONT - MARINA HEIGHTS</t>
  </si>
  <si>
    <t>03-00-218-040</t>
  </si>
  <si>
    <t>DEV CONT - CYPRESS KNOLLS</t>
  </si>
  <si>
    <t>03-00-218-050</t>
  </si>
  <si>
    <t>DEV CONT - DRO/FEDERAL</t>
  </si>
  <si>
    <t>03-00-218-060</t>
  </si>
  <si>
    <t>DEV CONT - DUNES</t>
  </si>
  <si>
    <t>03-00-218-070</t>
  </si>
  <si>
    <t>DEV CONT - RCI</t>
  </si>
  <si>
    <t>03-00-218-080</t>
  </si>
  <si>
    <t>DEV CONT - CSUMB</t>
  </si>
  <si>
    <t>03-00-218-090</t>
  </si>
  <si>
    <t>DEV CONT - EAST GARRISON</t>
  </si>
  <si>
    <t>03-00-218-100</t>
  </si>
  <si>
    <t>DEV CONT - IOP/FORA</t>
  </si>
  <si>
    <t>03-00-218-110</t>
  </si>
  <si>
    <t>DEV CONT - MONTEREY DOWNS</t>
  </si>
  <si>
    <t>03-00-218-120</t>
  </si>
  <si>
    <t>DEV CONT - PROMONTORY PROJECT</t>
  </si>
  <si>
    <t>03-00-220-000</t>
  </si>
  <si>
    <t>03-00-223-000</t>
  </si>
  <si>
    <t>03-00-225-000</t>
  </si>
  <si>
    <t>FRANCHISE FEE LIABILITY</t>
  </si>
  <si>
    <t>03-00-247-000</t>
  </si>
  <si>
    <t>03-00-247-010</t>
  </si>
  <si>
    <t>03-00-247-015</t>
  </si>
  <si>
    <t>03-00-248-000</t>
  </si>
  <si>
    <t>03-00-248-010</t>
  </si>
  <si>
    <t>03-00-248-020</t>
  </si>
  <si>
    <t>03-00-249-000</t>
  </si>
  <si>
    <t>03-00-249-005</t>
  </si>
  <si>
    <t>03-00-250-000</t>
  </si>
  <si>
    <t>03-00-251-000</t>
  </si>
  <si>
    <t>03-00-254-010</t>
  </si>
  <si>
    <t>2003 CITY NATIONAL BANK</t>
  </si>
  <si>
    <t>03-00-254-015</t>
  </si>
  <si>
    <t>03-00-254-030</t>
  </si>
  <si>
    <t>INTERNAL LOAN PAYABLE</t>
  </si>
  <si>
    <t>03-00-255-000</t>
  </si>
  <si>
    <t>03-00-256-000</t>
  </si>
  <si>
    <t>03-00-256-010</t>
  </si>
  <si>
    <t>03-00-256-015</t>
  </si>
  <si>
    <t>03-00-257-000</t>
  </si>
  <si>
    <t>03-00-258-000</t>
  </si>
  <si>
    <t>03-00-258-010</t>
  </si>
  <si>
    <t>03-00-258-015</t>
  </si>
  <si>
    <t>03-00-260-000</t>
  </si>
  <si>
    <t>03-00-265-000</t>
  </si>
  <si>
    <t>03-00-270-000</t>
  </si>
  <si>
    <t>03-00-270-210</t>
  </si>
  <si>
    <t>03-00-270-211</t>
  </si>
  <si>
    <t>03-00-270-212</t>
  </si>
  <si>
    <t>03-00-270-213</t>
  </si>
  <si>
    <t>03-00-270-214</t>
  </si>
  <si>
    <t>03-00-270-215</t>
  </si>
  <si>
    <t>03-00-270-216</t>
  </si>
  <si>
    <t>03-00-270-217</t>
  </si>
  <si>
    <t>03-00-270-218</t>
  </si>
  <si>
    <t>03-00-270-219</t>
  </si>
  <si>
    <t>03-00-270-220</t>
  </si>
  <si>
    <t>03-00-270-221</t>
  </si>
  <si>
    <t>03-00-270-222</t>
  </si>
  <si>
    <t>03-00-270-223</t>
  </si>
  <si>
    <t>03-00-270-224</t>
  </si>
  <si>
    <t>03-00-270-225</t>
  </si>
  <si>
    <t>03-00-270-226</t>
  </si>
  <si>
    <t>03-00-270-227</t>
  </si>
  <si>
    <t>03-00-270-228</t>
  </si>
  <si>
    <t>03-00-270-229</t>
  </si>
  <si>
    <t>03-00-270-230</t>
  </si>
  <si>
    <t>03-00-270-231</t>
  </si>
  <si>
    <t>03-00-270-232</t>
  </si>
  <si>
    <t>03-00-270-233</t>
  </si>
  <si>
    <t>03-00-270-235</t>
  </si>
  <si>
    <t>03-00-270-237</t>
  </si>
  <si>
    <t>03-00-275-000</t>
  </si>
  <si>
    <t>03-00-400-009</t>
  </si>
  <si>
    <t>CITY TAXES</t>
  </si>
  <si>
    <t>03-00-400-015</t>
  </si>
  <si>
    <t>GOVT GRANT</t>
  </si>
  <si>
    <t>03-00-400-016</t>
  </si>
  <si>
    <t>GOVT REIMB CORP ENG BCKFL</t>
  </si>
  <si>
    <t>03-00-400-018</t>
  </si>
  <si>
    <t>METERED ACCOUNTS</t>
  </si>
  <si>
    <t>03-00-405-001</t>
  </si>
  <si>
    <t>FLAT RATE WATER SERVICES</t>
  </si>
  <si>
    <t>03-00-405-002</t>
  </si>
  <si>
    <t>METERED WATER SERVICES</t>
  </si>
  <si>
    <t>03-00-405-003</t>
  </si>
  <si>
    <t>CAPITAL CHARGE COMPONENTS</t>
  </si>
  <si>
    <t>03-00-405-005</t>
  </si>
  <si>
    <t>METER RECOVERY - POMA</t>
  </si>
  <si>
    <t>03-00-405-010</t>
  </si>
  <si>
    <t>EQUALIZATION FEE</t>
  </si>
  <si>
    <t>03-00-411-001</t>
  </si>
  <si>
    <t>03-00-415-002</t>
  </si>
  <si>
    <t>03-00-415-005</t>
  </si>
  <si>
    <t>03-00-415-020</t>
  </si>
  <si>
    <t>03-00-420-005</t>
  </si>
  <si>
    <t>03-00-480-000</t>
  </si>
  <si>
    <t>03-00-489-000</t>
  </si>
  <si>
    <t>03-00-490-020</t>
  </si>
  <si>
    <t>03-01-020-210</t>
  </si>
  <si>
    <t>03-01-020-211</t>
  </si>
  <si>
    <t>03-01-020-222</t>
  </si>
  <si>
    <t>03-01-020-223</t>
  </si>
  <si>
    <t>03-01-030-008</t>
  </si>
  <si>
    <t>03-01-030-010</t>
  </si>
  <si>
    <t>03-01-031-000</t>
  </si>
  <si>
    <t>03-01-031-130</t>
  </si>
  <si>
    <t>03-01-038-115</t>
  </si>
  <si>
    <t>03-01-040-000</t>
  </si>
  <si>
    <t>03-01-040-028</t>
  </si>
  <si>
    <t>03-01-045-010</t>
  </si>
  <si>
    <t>CNB LINE OF CREDIT</t>
  </si>
  <si>
    <t>03-01-045-015</t>
  </si>
  <si>
    <t>03-01-068-000</t>
  </si>
  <si>
    <t>03-01-080-032</t>
  </si>
  <si>
    <t>03-01-085-000</t>
  </si>
  <si>
    <t>03-01-089-005</t>
  </si>
  <si>
    <t>03-02-020-207</t>
  </si>
  <si>
    <t>03-02-020-222</t>
  </si>
  <si>
    <t>03-02-020-223</t>
  </si>
  <si>
    <t>03-02-040-000</t>
  </si>
  <si>
    <t>03-02-040-018</t>
  </si>
  <si>
    <t>03-02-040-020</t>
  </si>
  <si>
    <t>03-02-040-022</t>
  </si>
  <si>
    <t>03-02-040-025</t>
  </si>
  <si>
    <t>03-02-040-026</t>
  </si>
  <si>
    <t>03-02-050-000</t>
  </si>
  <si>
    <t>SYSTEM O&amp;M</t>
  </si>
  <si>
    <t>03-02-050-128</t>
  </si>
  <si>
    <t>03-02-079-000</t>
  </si>
  <si>
    <t>REAL PROPERTY REHAB/DEMO</t>
  </si>
  <si>
    <t>03-02-085-000</t>
  </si>
  <si>
    <t>03-02-087-121</t>
  </si>
  <si>
    <t>WELL 34 MAINT &amp; EQUIP</t>
  </si>
  <si>
    <t>03-02-087-122</t>
  </si>
  <si>
    <t>WELL 34 POWER</t>
  </si>
  <si>
    <t>03-03-020-207</t>
  </si>
  <si>
    <t>03-03-020-222</t>
  </si>
  <si>
    <t>03-03-020-223</t>
  </si>
  <si>
    <t>03-03-040-018</t>
  </si>
  <si>
    <t>03-03-040-020</t>
  </si>
  <si>
    <t>03-03-040-022</t>
  </si>
  <si>
    <t>03-03-040-024</t>
  </si>
  <si>
    <t>03-03-085-000</t>
  </si>
  <si>
    <t>03-04-020-222</t>
  </si>
  <si>
    <t>03-04-020-223</t>
  </si>
  <si>
    <t>03-04-035-003</t>
  </si>
  <si>
    <t>03-04-040-018</t>
  </si>
  <si>
    <t>03-04-040-020</t>
  </si>
  <si>
    <t>03-04-040-022</t>
  </si>
  <si>
    <t>03-04-068-000</t>
  </si>
  <si>
    <t>03-04-085-000</t>
  </si>
  <si>
    <t>03-05-020-207</t>
  </si>
  <si>
    <t>03-05-020-222</t>
  </si>
  <si>
    <t>03-05-020-223</t>
  </si>
  <si>
    <t>03-05-033-106</t>
  </si>
  <si>
    <t>03-05-035-002</t>
  </si>
  <si>
    <t>03-05-035-004</t>
  </si>
  <si>
    <t>03-05-035-005</t>
  </si>
  <si>
    <t>03-05-035-007</t>
  </si>
  <si>
    <t>03-05-040-018</t>
  </si>
  <si>
    <t>03-05-040-020</t>
  </si>
  <si>
    <t>03-05-040-022</t>
  </si>
  <si>
    <t>03-05-040-035</t>
  </si>
  <si>
    <t>03-05-068-000</t>
  </si>
  <si>
    <t>03-05-085-000</t>
  </si>
  <si>
    <t>04-00-000-088</t>
  </si>
  <si>
    <t>04-00-000-089</t>
  </si>
  <si>
    <t>04-00-000-090</t>
  </si>
  <si>
    <t>04-00-000-091</t>
  </si>
  <si>
    <t>04-00-000-092</t>
  </si>
  <si>
    <t>04-00-000-093</t>
  </si>
  <si>
    <t>04-00-000-094</t>
  </si>
  <si>
    <t>04-00-000-095</t>
  </si>
  <si>
    <t>04-00-000-096</t>
  </si>
  <si>
    <t>04-00-000-097</t>
  </si>
  <si>
    <t>04-00-100-000</t>
  </si>
  <si>
    <t>04-00-100-001</t>
  </si>
  <si>
    <t>04-00-100-003</t>
  </si>
  <si>
    <t>04-00-100-008</t>
  </si>
  <si>
    <t>04-00-100-015</t>
  </si>
  <si>
    <t>04-00-101-000</t>
  </si>
  <si>
    <t>04-00-105-000</t>
  </si>
  <si>
    <t>04-00-105-001</t>
  </si>
  <si>
    <t>04-00-105-002</t>
  </si>
  <si>
    <t>04-00-105-003</t>
  </si>
  <si>
    <t>04-00-105-005</t>
  </si>
  <si>
    <t>04-00-106-005</t>
  </si>
  <si>
    <t>04-00-106-010</t>
  </si>
  <si>
    <t>04-00-106-015</t>
  </si>
  <si>
    <t>04-00-106-020</t>
  </si>
  <si>
    <t>04-00-106-025</t>
  </si>
  <si>
    <t>04-00-106-030</t>
  </si>
  <si>
    <t>04-00-106-035</t>
  </si>
  <si>
    <t>04-00-106-040</t>
  </si>
  <si>
    <t>04-00-106-045</t>
  </si>
  <si>
    <t>04-00-107-005</t>
  </si>
  <si>
    <t>04-00-107-015</t>
  </si>
  <si>
    <t>04-00-107-020</t>
  </si>
  <si>
    <t>04-00-107-025</t>
  </si>
  <si>
    <t>04-00-115-000</t>
  </si>
  <si>
    <t>04-00-116-000</t>
  </si>
  <si>
    <t>04-00-122-000</t>
  </si>
  <si>
    <t>04-00-126-000</t>
  </si>
  <si>
    <t>04-00-126-010</t>
  </si>
  <si>
    <t>04-00-130-000</t>
  </si>
  <si>
    <t>04-00-134-000</t>
  </si>
  <si>
    <t>04-00-135-000</t>
  </si>
  <si>
    <t>04-00-135-001</t>
  </si>
  <si>
    <t>04-00-135-005</t>
  </si>
  <si>
    <t>04-00-135-006</t>
  </si>
  <si>
    <t>04-00-135-007</t>
  </si>
  <si>
    <t>04-00-135-008</t>
  </si>
  <si>
    <t>04-00-135-020</t>
  </si>
  <si>
    <t>04-00-136-000</t>
  </si>
  <si>
    <t>ACCOUNTS RECEIVALBE</t>
  </si>
  <si>
    <t>04-00-136-001</t>
  </si>
  <si>
    <t>04-00-137-000</t>
  </si>
  <si>
    <t>04-00-138-001</t>
  </si>
  <si>
    <t>04-00-138-005</t>
  </si>
  <si>
    <t>04-00-138-020</t>
  </si>
  <si>
    <t>04-00-139-000</t>
  </si>
  <si>
    <t>04-00-150-000</t>
  </si>
  <si>
    <t>04-00-160-000</t>
  </si>
  <si>
    <t>04-00-160-001</t>
  </si>
  <si>
    <t>OS - 0218 GIGLING FORCE MAIN</t>
  </si>
  <si>
    <t>04-00-176-000</t>
  </si>
  <si>
    <t>04-00-186-000</t>
  </si>
  <si>
    <t>04-00-189-000</t>
  </si>
  <si>
    <t>04-00-190-000</t>
  </si>
  <si>
    <t>04-00-190-001</t>
  </si>
  <si>
    <t>04-00-190-010</t>
  </si>
  <si>
    <t>04-00-190-011</t>
  </si>
  <si>
    <t>04-00-190-020</t>
  </si>
  <si>
    <t>04-00-199-000</t>
  </si>
  <si>
    <t>04-00-200-000</t>
  </si>
  <si>
    <t>04-00-201-000</t>
  </si>
  <si>
    <t>04-00-205-000</t>
  </si>
  <si>
    <t>04-00-210-000</t>
  </si>
  <si>
    <t>04-00-212-000</t>
  </si>
  <si>
    <t>04-00-212-001</t>
  </si>
  <si>
    <t>04-00-213-000</t>
  </si>
  <si>
    <t>04-00-215-000</t>
  </si>
  <si>
    <t>04-00-215-010</t>
  </si>
  <si>
    <t>04-00-215-015</t>
  </si>
  <si>
    <t>04-00-215-020</t>
  </si>
  <si>
    <t>04-00-215-030</t>
  </si>
  <si>
    <t>04-00-216-000</t>
  </si>
  <si>
    <t>04-00-217-000</t>
  </si>
  <si>
    <t>04-00-218-001</t>
  </si>
  <si>
    <t>04-00-218-010</t>
  </si>
  <si>
    <t>04-00-218-030</t>
  </si>
  <si>
    <t>DEV CONT - MARINA HGHTS</t>
  </si>
  <si>
    <t>04-00-218-040</t>
  </si>
  <si>
    <t>04-00-218-050</t>
  </si>
  <si>
    <t>04-00-218-060</t>
  </si>
  <si>
    <t>04-00-218-070</t>
  </si>
  <si>
    <t>04-00-218-080</t>
  </si>
  <si>
    <t>04-00-218-090</t>
  </si>
  <si>
    <t>04-00-218-110</t>
  </si>
  <si>
    <t>04-00-218-120</t>
  </si>
  <si>
    <t>04-00-220-000</t>
  </si>
  <si>
    <t>04-00-223-000</t>
  </si>
  <si>
    <t>04-00-225-000</t>
  </si>
  <si>
    <t>04-00-247-000</t>
  </si>
  <si>
    <t>04-00-247-010</t>
  </si>
  <si>
    <t>04-00-247-015</t>
  </si>
  <si>
    <t>04-00-248-000</t>
  </si>
  <si>
    <t>04-00-248-010</t>
  </si>
  <si>
    <t>04-00-248-020</t>
  </si>
  <si>
    <t>04-00-249-000</t>
  </si>
  <si>
    <t>04-00-249-005</t>
  </si>
  <si>
    <t>04-00-252-000</t>
  </si>
  <si>
    <t>04-00-254-010</t>
  </si>
  <si>
    <t>04-00-254-015</t>
  </si>
  <si>
    <t>04-00-254-030</t>
  </si>
  <si>
    <t>04-00-256-000</t>
  </si>
  <si>
    <t>04-00-256-010</t>
  </si>
  <si>
    <t>04-00-256-015</t>
  </si>
  <si>
    <t>04-00-258-000</t>
  </si>
  <si>
    <t>04-00-258-010</t>
  </si>
  <si>
    <t>04-00-258-015</t>
  </si>
  <si>
    <t>04-00-265-000</t>
  </si>
  <si>
    <t>04-00-270-000</t>
  </si>
  <si>
    <t>04-00-270-210</t>
  </si>
  <si>
    <t>04-00-270-211</t>
  </si>
  <si>
    <t>04-00-270-212</t>
  </si>
  <si>
    <t>04-00-270-213</t>
  </si>
  <si>
    <t>04-00-270-214</t>
  </si>
  <si>
    <t>04-00-270-215</t>
  </si>
  <si>
    <t>04-00-270-216</t>
  </si>
  <si>
    <t>04-00-270-217</t>
  </si>
  <si>
    <t>04-00-270-218</t>
  </si>
  <si>
    <t>04-00-270-219</t>
  </si>
  <si>
    <t>04-00-270-220</t>
  </si>
  <si>
    <t>04-00-270-221</t>
  </si>
  <si>
    <t>04-00-270-222</t>
  </si>
  <si>
    <t>04-00-270-223</t>
  </si>
  <si>
    <t>04-00-270-224</t>
  </si>
  <si>
    <t>04-00-270-225</t>
  </si>
  <si>
    <t>04-00-270-226</t>
  </si>
  <si>
    <t>04-00-270-227</t>
  </si>
  <si>
    <t>04-00-270-228</t>
  </si>
  <si>
    <t>04-00-270-229</t>
  </si>
  <si>
    <t>04-00-270-230</t>
  </si>
  <si>
    <t>04-00-270-231</t>
  </si>
  <si>
    <t>04-00-270-232</t>
  </si>
  <si>
    <t>04-00-270-233</t>
  </si>
  <si>
    <t>04-00-270-235</t>
  </si>
  <si>
    <t>04-00-270-237</t>
  </si>
  <si>
    <t>04-00-275-000</t>
  </si>
  <si>
    <t>04-00-400-001</t>
  </si>
  <si>
    <t>FORT ORD CARETAKER CONT</t>
  </si>
  <si>
    <t>04-00-400-015</t>
  </si>
  <si>
    <t>04-00-405-001</t>
  </si>
  <si>
    <t>FLAT RATE SEWER REVENUE</t>
  </si>
  <si>
    <t>04-00-405-003</t>
  </si>
  <si>
    <t>04-00-405-010</t>
  </si>
  <si>
    <t>04-00-415-002</t>
  </si>
  <si>
    <t>04-00-415-005</t>
  </si>
  <si>
    <t>04-00-415-020</t>
  </si>
  <si>
    <t>04-00-420-005</t>
  </si>
  <si>
    <t>04-00-450-005</t>
  </si>
  <si>
    <t>SEWER SALES - GOVT</t>
  </si>
  <si>
    <t>04-00-450-010</t>
  </si>
  <si>
    <t>04-00-480-000</t>
  </si>
  <si>
    <t>04-00-489-000</t>
  </si>
  <si>
    <t>04-00-490-020</t>
  </si>
  <si>
    <t>04-01-020-210</t>
  </si>
  <si>
    <t>04-01-020-211</t>
  </si>
  <si>
    <t>04-01-020-222</t>
  </si>
  <si>
    <t>04-01-020-223</t>
  </si>
  <si>
    <t>04-01-030-008</t>
  </si>
  <si>
    <t>04-01-030-010</t>
  </si>
  <si>
    <t>04-01-031-000</t>
  </si>
  <si>
    <t>04-01-031-130</t>
  </si>
  <si>
    <t>04-01-040-000</t>
  </si>
  <si>
    <t>04-01-040-028</t>
  </si>
  <si>
    <t>04-01-045-010</t>
  </si>
  <si>
    <t>04-01-045-015</t>
  </si>
  <si>
    <t>04-01-068-000</t>
  </si>
  <si>
    <t>04-01-080-032</t>
  </si>
  <si>
    <t>04-01-085-000</t>
  </si>
  <si>
    <t>04-01-089-005</t>
  </si>
  <si>
    <t>04-02-020-207</t>
  </si>
  <si>
    <t>04-02-020-222</t>
  </si>
  <si>
    <t>04-02-020-223</t>
  </si>
  <si>
    <t>04-02-040-000</t>
  </si>
  <si>
    <t>04-02-040-018</t>
  </si>
  <si>
    <t>04-02-040-020</t>
  </si>
  <si>
    <t>04-02-040-022</t>
  </si>
  <si>
    <t>04-02-040-025</t>
  </si>
  <si>
    <t>04-02-040-026</t>
  </si>
  <si>
    <t>04-02-050-128</t>
  </si>
  <si>
    <t>04-02-060-000</t>
  </si>
  <si>
    <t>WASTEWATER TRANSP PROJ</t>
  </si>
  <si>
    <t>04-02-080-121</t>
  </si>
  <si>
    <t>MAINT &amp; EQUIPT</t>
  </si>
  <si>
    <t>04-02-085-000</t>
  </si>
  <si>
    <t>04-05-020-207</t>
  </si>
  <si>
    <t>04-05-020-222</t>
  </si>
  <si>
    <t>04-05-020-223</t>
  </si>
  <si>
    <t>04-05-033-106</t>
  </si>
  <si>
    <t>04-05-035-002</t>
  </si>
  <si>
    <t>04-05-035-004</t>
  </si>
  <si>
    <t>04-05-035-005</t>
  </si>
  <si>
    <t>04-05-035-007</t>
  </si>
  <si>
    <t>04-05-040-018</t>
  </si>
  <si>
    <t>04-05-040-020</t>
  </si>
  <si>
    <t>04-05-040-022</t>
  </si>
  <si>
    <t>04-05-068-000</t>
  </si>
  <si>
    <t>04-05-085-000</t>
  </si>
  <si>
    <t>05-00-000-088</t>
  </si>
  <si>
    <t>05-00-000-089</t>
  </si>
  <si>
    <t>05-00-000-090</t>
  </si>
  <si>
    <t>05-00-000-091</t>
  </si>
  <si>
    <t>05-00-000-092</t>
  </si>
  <si>
    <t>05-00-000-093</t>
  </si>
  <si>
    <t>05-00-000-094</t>
  </si>
  <si>
    <t>05-00-000-095</t>
  </si>
  <si>
    <t>05-00-000-096</t>
  </si>
  <si>
    <t>05-00-000-097</t>
  </si>
  <si>
    <t>05-00-100-000</t>
  </si>
  <si>
    <t>05-00-100-001</t>
  </si>
  <si>
    <t>05-00-101-000</t>
  </si>
  <si>
    <t>05-00-105-000</t>
  </si>
  <si>
    <t>05-00-105-001</t>
  </si>
  <si>
    <t>05-00-105-002</t>
  </si>
  <si>
    <t>05-00-105-003</t>
  </si>
  <si>
    <t>05-00-105-005</t>
  </si>
  <si>
    <t>05-00-106-005</t>
  </si>
  <si>
    <t>05-00-106-010</t>
  </si>
  <si>
    <t>05-00-106-015</t>
  </si>
  <si>
    <t>05-00-106-020</t>
  </si>
  <si>
    <t>05-00-106-025</t>
  </si>
  <si>
    <t>05-00-106-030</t>
  </si>
  <si>
    <t>05-00-106-035</t>
  </si>
  <si>
    <t>05-00-106-040</t>
  </si>
  <si>
    <t>05-00-106-045</t>
  </si>
  <si>
    <t>05-00-115-000</t>
  </si>
  <si>
    <t>05-00-116-000</t>
  </si>
  <si>
    <t>05-00-120-000</t>
  </si>
  <si>
    <t>05-00-122-000</t>
  </si>
  <si>
    <t>05-00-126-000</t>
  </si>
  <si>
    <t>05-00-130-000</t>
  </si>
  <si>
    <t>05-00-134-000</t>
  </si>
  <si>
    <t>05-00-135-000</t>
  </si>
  <si>
    <t>05-00-135-001</t>
  </si>
  <si>
    <t>05-00-135-005</t>
  </si>
  <si>
    <t>05-00-135-006</t>
  </si>
  <si>
    <t>05-00-135-007</t>
  </si>
  <si>
    <t>05-00-135-020</t>
  </si>
  <si>
    <t>05-00-136-000</t>
  </si>
  <si>
    <t>05-00-136-001</t>
  </si>
  <si>
    <t>05-00-137-000</t>
  </si>
  <si>
    <t>05-00-138-001</t>
  </si>
  <si>
    <t>05-00-138-005</t>
  </si>
  <si>
    <t>05-00-139-000</t>
  </si>
  <si>
    <t>05-00-140-000</t>
  </si>
  <si>
    <t>05-00-140-010</t>
  </si>
  <si>
    <t>05-00-145-000</t>
  </si>
  <si>
    <t>05-00-146-000</t>
  </si>
  <si>
    <t>05-00-148-001</t>
  </si>
  <si>
    <t>05-00-150-000</t>
  </si>
  <si>
    <t>05-00-150-001</t>
  </si>
  <si>
    <t>05-00-150-003</t>
  </si>
  <si>
    <t>05-00-155-000</t>
  </si>
  <si>
    <t>05-00-156-000</t>
  </si>
  <si>
    <t>05-00-160-000</t>
  </si>
  <si>
    <t>05-00-161-000</t>
  </si>
  <si>
    <t>05-00-163-000</t>
  </si>
  <si>
    <t>05-00-165-000</t>
  </si>
  <si>
    <t>05-00-175-000</t>
  </si>
  <si>
    <t>05-00-181-000</t>
  </si>
  <si>
    <t>05-00-185-000</t>
  </si>
  <si>
    <t>05-00-190-000</t>
  </si>
  <si>
    <t>05-00-190-001</t>
  </si>
  <si>
    <t>05-00-190-010</t>
  </si>
  <si>
    <t>05-00-190-011</t>
  </si>
  <si>
    <t>05-00-192-000</t>
  </si>
  <si>
    <t>05-00-193-000</t>
  </si>
  <si>
    <t>05-00-195-000</t>
  </si>
  <si>
    <t>05-00-196-000</t>
  </si>
  <si>
    <t>05-00-199-000</t>
  </si>
  <si>
    <t>05-00-200-000</t>
  </si>
  <si>
    <t>05-00-201-000</t>
  </si>
  <si>
    <t>05-00-210-000</t>
  </si>
  <si>
    <t>05-00-212-000</t>
  </si>
  <si>
    <t>05-00-213-000</t>
  </si>
  <si>
    <t>05-00-215-000</t>
  </si>
  <si>
    <t>05-00-215-020</t>
  </si>
  <si>
    <t>05-00-216-000</t>
  </si>
  <si>
    <t>05-00-217-000</t>
  </si>
  <si>
    <t>05-00-218-001</t>
  </si>
  <si>
    <t>05-00-220-000</t>
  </si>
  <si>
    <t>05-00-223-000</t>
  </si>
  <si>
    <t>05-00-249-000</t>
  </si>
  <si>
    <t>05-00-249-005</t>
  </si>
  <si>
    <t>05-00-250-000</t>
  </si>
  <si>
    <t>05-00-251-000</t>
  </si>
  <si>
    <t>05-00-252-000</t>
  </si>
  <si>
    <t>05-00-255-000</t>
  </si>
  <si>
    <t>05-00-256-000</t>
  </si>
  <si>
    <t>05-00-257-000</t>
  </si>
  <si>
    <t>05-00-258-000</t>
  </si>
  <si>
    <t>05-00-258-001</t>
  </si>
  <si>
    <t>05-00-258-010</t>
  </si>
  <si>
    <t>05-00-258-015</t>
  </si>
  <si>
    <t>05-00-260-000</t>
  </si>
  <si>
    <t>05-00-265-000</t>
  </si>
  <si>
    <t>05-00-270-227</t>
  </si>
  <si>
    <t>05-00-270-233</t>
  </si>
  <si>
    <t>05-00-400-001</t>
  </si>
  <si>
    <t>05-00-400-002</t>
  </si>
  <si>
    <t>05-00-400-003</t>
  </si>
  <si>
    <t>05-00-400-004</t>
  </si>
  <si>
    <t>05-00-400-005</t>
  </si>
  <si>
    <t>05-00-400-006</t>
  </si>
  <si>
    <t>05-00-400-007</t>
  </si>
  <si>
    <t>05-00-400-008</t>
  </si>
  <si>
    <t>05-00-400-009</t>
  </si>
  <si>
    <t>05-00-400-010</t>
  </si>
  <si>
    <t>05-00-400-011</t>
  </si>
  <si>
    <t>05-00-400-020</t>
  </si>
  <si>
    <t>05-00-410-001</t>
  </si>
  <si>
    <t>05-00-411-000</t>
  </si>
  <si>
    <t>05-00-411-001</t>
  </si>
  <si>
    <t>05-00-415-001</t>
  </si>
  <si>
    <t>05-00-415-002</t>
  </si>
  <si>
    <t>05-00-415-004</t>
  </si>
  <si>
    <t>05-00-415-030</t>
  </si>
  <si>
    <t>FORA RUWAP REIMBURSEMENT</t>
  </si>
  <si>
    <t>05-00-415-035</t>
  </si>
  <si>
    <t>05-00-420-005</t>
  </si>
  <si>
    <t>05-00-480-000</t>
  </si>
  <si>
    <t>05-00-485-001</t>
  </si>
  <si>
    <t>05-00-485-002</t>
  </si>
  <si>
    <t>GRANT REVENUE (CDAM #C00-0286)</t>
  </si>
  <si>
    <t>05-00-490-010</t>
  </si>
  <si>
    <t>05-00-490-020</t>
  </si>
  <si>
    <t>05-01-010-000</t>
  </si>
  <si>
    <t>05-01-010-005</t>
  </si>
  <si>
    <t>05-01-015-000</t>
  </si>
  <si>
    <t>05-01-020-202</t>
  </si>
  <si>
    <t>05-01-020-203</t>
  </si>
  <si>
    <t>05-01-020-204</t>
  </si>
  <si>
    <t>05-01-020-205</t>
  </si>
  <si>
    <t>05-01-020-206</t>
  </si>
  <si>
    <t>05-01-020-208</t>
  </si>
  <si>
    <t>05-01-020-209</t>
  </si>
  <si>
    <t>05-01-020-210</t>
  </si>
  <si>
    <t>05-01-020-212</t>
  </si>
  <si>
    <t>05-01-020-213</t>
  </si>
  <si>
    <t>05-01-020-214</t>
  </si>
  <si>
    <t>05-01-020-215</t>
  </si>
  <si>
    <t>05-01-020-217</t>
  </si>
  <si>
    <t>05-01-020-218</t>
  </si>
  <si>
    <t>05-01-030-006</t>
  </si>
  <si>
    <t>05-01-030-008</t>
  </si>
  <si>
    <t>05-01-030-010</t>
  </si>
  <si>
    <t>05-01-030-011</t>
  </si>
  <si>
    <t>05-01-031-000</t>
  </si>
  <si>
    <t>05-01-031-123</t>
  </si>
  <si>
    <t>05-01-031-124</t>
  </si>
  <si>
    <t>05-01-031-125</t>
  </si>
  <si>
    <t>05-01-031-126</t>
  </si>
  <si>
    <t>05-01-031-127</t>
  </si>
  <si>
    <t>05-01-031-128</t>
  </si>
  <si>
    <t>05-01-031-130</t>
  </si>
  <si>
    <t>05-01-035-001</t>
  </si>
  <si>
    <t>05-01-035-002</t>
  </si>
  <si>
    <t>05-01-035-003</t>
  </si>
  <si>
    <t>05-01-035-004</t>
  </si>
  <si>
    <t>05-01-035-005</t>
  </si>
  <si>
    <t>05-01-035-007</t>
  </si>
  <si>
    <t>05-01-035-008</t>
  </si>
  <si>
    <t>05-01-035-009</t>
  </si>
  <si>
    <t>05-01-038-110</t>
  </si>
  <si>
    <t>05-01-038-111</t>
  </si>
  <si>
    <t>05-01-040-000</t>
  </si>
  <si>
    <t>05-01-040-018</t>
  </si>
  <si>
    <t>05-01-040-019</t>
  </si>
  <si>
    <t>05-01-040-020</t>
  </si>
  <si>
    <t>05-01-040-022</t>
  </si>
  <si>
    <t>05-01-040-024</t>
  </si>
  <si>
    <t>05-01-040-025</t>
  </si>
  <si>
    <t>05-01-040-026</t>
  </si>
  <si>
    <t>05-01-040-027</t>
  </si>
  <si>
    <t>05-01-040-028</t>
  </si>
  <si>
    <t>05-01-040-030</t>
  </si>
  <si>
    <t>05-01-045-000</t>
  </si>
  <si>
    <t>05-01-046-002</t>
  </si>
  <si>
    <t>05-01-075-000</t>
  </si>
  <si>
    <t>05-01-080-032</t>
  </si>
  <si>
    <t>05-01-089-005</t>
  </si>
  <si>
    <t>05-01-095-000</t>
  </si>
  <si>
    <t>05-05-010-000</t>
  </si>
  <si>
    <t>05-05-015-000</t>
  </si>
  <si>
    <t>05-05-020-202</t>
  </si>
  <si>
    <t>05-05-020-203</t>
  </si>
  <si>
    <t>05-05-020-204</t>
  </si>
  <si>
    <t>05-05-020-205</t>
  </si>
  <si>
    <t>05-05-020-206</t>
  </si>
  <si>
    <t>05-05-020-207</t>
  </si>
  <si>
    <t>05-05-020-208</t>
  </si>
  <si>
    <t>05-05-020-209</t>
  </si>
  <si>
    <t>05-05-020-210</t>
  </si>
  <si>
    <t>05-05-020-211</t>
  </si>
  <si>
    <t>05-05-020-212</t>
  </si>
  <si>
    <t>05-05-020-213</t>
  </si>
  <si>
    <t>05-05-020-215</t>
  </si>
  <si>
    <t>05-05-020-217</t>
  </si>
  <si>
    <t>05-05-020-218</t>
  </si>
  <si>
    <t>05-05-033-106</t>
  </si>
  <si>
    <t>05-05-035-001</t>
  </si>
  <si>
    <t>05-05-035-002</t>
  </si>
  <si>
    <t>05-05-035-003</t>
  </si>
  <si>
    <t>05-05-035-004</t>
  </si>
  <si>
    <t>05-05-035-005</t>
  </si>
  <si>
    <t>05-05-035-007</t>
  </si>
  <si>
    <t>05-05-040-018</t>
  </si>
  <si>
    <t>05-05-040-020</t>
  </si>
  <si>
    <t>05-05-040-022</t>
  </si>
  <si>
    <t>05-05-040-025</t>
  </si>
  <si>
    <t>05-05-040-026</t>
  </si>
  <si>
    <t>05-05-040-027</t>
  </si>
  <si>
    <t>05-05-040-030</t>
  </si>
  <si>
    <t>05-05-068-000</t>
  </si>
  <si>
    <t>06-00-000-088</t>
  </si>
  <si>
    <t>06-00-000-089</t>
  </si>
  <si>
    <t>06-00-000-090</t>
  </si>
  <si>
    <t>06-00-000-091</t>
  </si>
  <si>
    <t>06-00-000-092</t>
  </si>
  <si>
    <t>06-00-000-093</t>
  </si>
  <si>
    <t>06-00-000-094</t>
  </si>
  <si>
    <t>06-00-000-095</t>
  </si>
  <si>
    <t>06-00-000-096</t>
  </si>
  <si>
    <t>06-00-000-097</t>
  </si>
  <si>
    <t>06-00-100-000</t>
  </si>
  <si>
    <t>06-00-100-001</t>
  </si>
  <si>
    <t>06-00-101-000</t>
  </si>
  <si>
    <t>06-00-105-000</t>
  </si>
  <si>
    <t>06-00-105-001</t>
  </si>
  <si>
    <t>06-00-105-002</t>
  </si>
  <si>
    <t>06-00-105-003</t>
  </si>
  <si>
    <t>06-00-105-005</t>
  </si>
  <si>
    <t>06-00-106-005</t>
  </si>
  <si>
    <t>06-00-106-010</t>
  </si>
  <si>
    <t>06-00-106-015</t>
  </si>
  <si>
    <t>06-00-106-020</t>
  </si>
  <si>
    <t>06-00-106-025</t>
  </si>
  <si>
    <t>06-00-106-030</t>
  </si>
  <si>
    <t>06-00-106-035</t>
  </si>
  <si>
    <t>06-00-106-040</t>
  </si>
  <si>
    <t>06-00-106-045</t>
  </si>
  <si>
    <t>06-00-115-000</t>
  </si>
  <si>
    <t>06-00-116-000</t>
  </si>
  <si>
    <t>06-00-120-000</t>
  </si>
  <si>
    <t>06-00-122-000</t>
  </si>
  <si>
    <t>06-00-126-000</t>
  </si>
  <si>
    <t>06-00-130-000</t>
  </si>
  <si>
    <t>06-00-134-000</t>
  </si>
  <si>
    <t>06-00-135-000</t>
  </si>
  <si>
    <t>06-00-135-001</t>
  </si>
  <si>
    <t>06-00-135-005</t>
  </si>
  <si>
    <t>06-00-135-006</t>
  </si>
  <si>
    <t>06-00-135-007</t>
  </si>
  <si>
    <t>06-00-135-020</t>
  </si>
  <si>
    <t>06-00-136-000</t>
  </si>
  <si>
    <t>06-00-136-001</t>
  </si>
  <si>
    <t>06-00-137-000</t>
  </si>
  <si>
    <t>06-00-138-001</t>
  </si>
  <si>
    <t>06-00-138-005</t>
  </si>
  <si>
    <t>06-00-139-000</t>
  </si>
  <si>
    <t>06-00-140-000</t>
  </si>
  <si>
    <t>06-00-140-010</t>
  </si>
  <si>
    <t>06-00-145-000</t>
  </si>
  <si>
    <t>06-00-148-001</t>
  </si>
  <si>
    <t>06-00-150-000</t>
  </si>
  <si>
    <t>06-00-150-001</t>
  </si>
  <si>
    <t>06-00-150-003</t>
  </si>
  <si>
    <t>06-00-155-000</t>
  </si>
  <si>
    <t>06-00-155-001</t>
  </si>
  <si>
    <t>06-00-156-000</t>
  </si>
  <si>
    <t>06-00-160-000</t>
  </si>
  <si>
    <t>06-00-160-530</t>
  </si>
  <si>
    <t>REGIONAL PROJECT CAP INTEREST</t>
  </si>
  <si>
    <t>06-00-160-535</t>
  </si>
  <si>
    <t>REGIONAL PROJECT LOC FEES</t>
  </si>
  <si>
    <t>06-00-161-000</t>
  </si>
  <si>
    <t>06-00-163-000</t>
  </si>
  <si>
    <t>06-00-165-000</t>
  </si>
  <si>
    <t>06-00-175-000</t>
  </si>
  <si>
    <t>06-00-181-000</t>
  </si>
  <si>
    <t>06-00-185-000</t>
  </si>
  <si>
    <t>06-00-190-000</t>
  </si>
  <si>
    <t>06-00-190-001</t>
  </si>
  <si>
    <t>06-00-190-010</t>
  </si>
  <si>
    <t>06-00-190-011</t>
  </si>
  <si>
    <t>06-00-192-000</t>
  </si>
  <si>
    <t>06-00-193-000</t>
  </si>
  <si>
    <t>06-00-195-000</t>
  </si>
  <si>
    <t>06-00-196-000</t>
  </si>
  <si>
    <t>06-00-199-000</t>
  </si>
  <si>
    <t>06-00-200-000</t>
  </si>
  <si>
    <t>06-00-201-000</t>
  </si>
  <si>
    <t>06-00-210-000</t>
  </si>
  <si>
    <t>06-00-212-000</t>
  </si>
  <si>
    <t>06-00-213-000</t>
  </si>
  <si>
    <t>06-00-215-000</t>
  </si>
  <si>
    <t>06-00-215-020</t>
  </si>
  <si>
    <t>06-00-216-000</t>
  </si>
  <si>
    <t>06-00-217-000</t>
  </si>
  <si>
    <t>06-00-218-001</t>
  </si>
  <si>
    <t>06-00-220-000</t>
  </si>
  <si>
    <t>06-00-223-000</t>
  </si>
  <si>
    <t>06-00-249-000</t>
  </si>
  <si>
    <t>06-00-249-005</t>
  </si>
  <si>
    <t>06-00-250-000</t>
  </si>
  <si>
    <t>06-00-251-000</t>
  </si>
  <si>
    <t>06-00-252-000</t>
  </si>
  <si>
    <t>06-00-255-000</t>
  </si>
  <si>
    <t>06-00-256-000</t>
  </si>
  <si>
    <t>06-00-257-000</t>
  </si>
  <si>
    <t>06-00-258-000</t>
  </si>
  <si>
    <t>06-00-258-001</t>
  </si>
  <si>
    <t>06-00-258-010</t>
  </si>
  <si>
    <t>06-00-258-015</t>
  </si>
  <si>
    <t>06-00-260-000</t>
  </si>
  <si>
    <t>06-00-265-000</t>
  </si>
  <si>
    <t>06-00-270-227</t>
  </si>
  <si>
    <t>06-00-400-001</t>
  </si>
  <si>
    <t>06-00-400-002</t>
  </si>
  <si>
    <t>06-00-400-003</t>
  </si>
  <si>
    <t>06-00-400-004</t>
  </si>
  <si>
    <t>06-00-400-005</t>
  </si>
  <si>
    <t>06-00-400-006</t>
  </si>
  <si>
    <t>06-00-400-007</t>
  </si>
  <si>
    <t>06-00-400-008</t>
  </si>
  <si>
    <t>06-00-400-009</t>
  </si>
  <si>
    <t>06-00-400-010</t>
  </si>
  <si>
    <t>06-00-400-011</t>
  </si>
  <si>
    <t>06-00-400-020</t>
  </si>
  <si>
    <t>06-00-410-001</t>
  </si>
  <si>
    <t>06-00-411-000</t>
  </si>
  <si>
    <t>06-00-411-001</t>
  </si>
  <si>
    <t>06-00-411-030</t>
  </si>
  <si>
    <t>06-00-415-001</t>
  </si>
  <si>
    <t>06-00-415-002</t>
  </si>
  <si>
    <t>06-00-415-003</t>
  </si>
  <si>
    <t>06-00-415-004</t>
  </si>
  <si>
    <t>06-00-415-025</t>
  </si>
  <si>
    <t>06-00-415-030</t>
  </si>
  <si>
    <t>06-00-415-035</t>
  </si>
  <si>
    <t>06-00-420-001</t>
  </si>
  <si>
    <t>06-00-480-000</t>
  </si>
  <si>
    <t>06-00-485-001</t>
  </si>
  <si>
    <t>06-00-485-002</t>
  </si>
  <si>
    <t>06-00-490-010</t>
  </si>
  <si>
    <t>06-00-490-020</t>
  </si>
  <si>
    <t>06-01-010-000</t>
  </si>
  <si>
    <t>06-01-010-005</t>
  </si>
  <si>
    <t>06-01-015-000</t>
  </si>
  <si>
    <t>06-01-020-202</t>
  </si>
  <si>
    <t>06-01-020-203</t>
  </si>
  <si>
    <t>06-01-020-204</t>
  </si>
  <si>
    <t>06-01-020-205</t>
  </si>
  <si>
    <t>06-01-020-206</t>
  </si>
  <si>
    <t>06-01-020-208</t>
  </si>
  <si>
    <t>06-01-020-209</t>
  </si>
  <si>
    <t>06-01-020-210</t>
  </si>
  <si>
    <t>06-01-020-212</t>
  </si>
  <si>
    <t>06-01-020-213</t>
  </si>
  <si>
    <t>06-01-020-214</t>
  </si>
  <si>
    <t>06-01-020-215</t>
  </si>
  <si>
    <t>06-01-020-217</t>
  </si>
  <si>
    <t>06-01-020-218</t>
  </si>
  <si>
    <t>06-01-030-006</t>
  </si>
  <si>
    <t>06-01-030-008</t>
  </si>
  <si>
    <t>06-01-030-010</t>
  </si>
  <si>
    <t>06-01-030-011</t>
  </si>
  <si>
    <t>06-01-031-123</t>
  </si>
  <si>
    <t>06-01-031-124</t>
  </si>
  <si>
    <t>06-01-031-125</t>
  </si>
  <si>
    <t>06-01-031-126</t>
  </si>
  <si>
    <t>06-01-031-127</t>
  </si>
  <si>
    <t>06-01-031-128</t>
  </si>
  <si>
    <t>06-01-031-130</t>
  </si>
  <si>
    <t>06-01-035-001</t>
  </si>
  <si>
    <t>06-01-035-002</t>
  </si>
  <si>
    <t>06-01-035-003</t>
  </si>
  <si>
    <t>06-01-035-004</t>
  </si>
  <si>
    <t>06-01-035-005</t>
  </si>
  <si>
    <t>06-01-035-007</t>
  </si>
  <si>
    <t>06-01-035-008</t>
  </si>
  <si>
    <t>06-01-035-009</t>
  </si>
  <si>
    <t>06-01-038-110</t>
  </si>
  <si>
    <t>06-01-038-111</t>
  </si>
  <si>
    <t>06-01-038-113</t>
  </si>
  <si>
    <t>06-01-040-018</t>
  </si>
  <si>
    <t>06-01-040-019</t>
  </si>
  <si>
    <t>06-01-040-020</t>
  </si>
  <si>
    <t>06-01-040-022</t>
  </si>
  <si>
    <t>06-01-040-024</t>
  </si>
  <si>
    <t>06-01-040-025</t>
  </si>
  <si>
    <t>06-01-040-026</t>
  </si>
  <si>
    <t>06-01-040-027</t>
  </si>
  <si>
    <t>06-01-040-030</t>
  </si>
  <si>
    <t>06-01-045-000</t>
  </si>
  <si>
    <t>06-01-045-025</t>
  </si>
  <si>
    <t>06-01-046-002</t>
  </si>
  <si>
    <t>06-01-075-000</t>
  </si>
  <si>
    <t>06-01-080-032</t>
  </si>
  <si>
    <t>06-01-089-005</t>
  </si>
  <si>
    <t>06-01-090-010</t>
  </si>
  <si>
    <t>06-01-095-000</t>
  </si>
  <si>
    <t>06-05-010-000</t>
  </si>
  <si>
    <t>06-05-015-000</t>
  </si>
  <si>
    <t>06-05-020-202</t>
  </si>
  <si>
    <t>06-05-020-203</t>
  </si>
  <si>
    <t>06-05-020-204</t>
  </si>
  <si>
    <t>06-05-020-205</t>
  </si>
  <si>
    <t>06-05-020-206</t>
  </si>
  <si>
    <t>06-05-020-207</t>
  </si>
  <si>
    <t>06-05-020-208</t>
  </si>
  <si>
    <t>06-05-020-209</t>
  </si>
  <si>
    <t>06-05-020-210</t>
  </si>
  <si>
    <t>06-05-020-211</t>
  </si>
  <si>
    <t>06-05-020-212</t>
  </si>
  <si>
    <t>06-05-020-213</t>
  </si>
  <si>
    <t>06-05-020-215</t>
  </si>
  <si>
    <t>06-05-020-217</t>
  </si>
  <si>
    <t>06-05-020-218</t>
  </si>
  <si>
    <t>06-05-033-106</t>
  </si>
  <si>
    <t>06-05-035-001</t>
  </si>
  <si>
    <t>06-05-035-002</t>
  </si>
  <si>
    <t>06-05-035-003</t>
  </si>
  <si>
    <t>06-05-035-004</t>
  </si>
  <si>
    <t>06-05-035-005</t>
  </si>
  <si>
    <t>06-05-035-007</t>
  </si>
  <si>
    <t>06-05-040-018</t>
  </si>
  <si>
    <t>06-05-040-020</t>
  </si>
  <si>
    <t>06-05-040-022</t>
  </si>
  <si>
    <t>06-05-040-025</t>
  </si>
  <si>
    <t>06-05-040-026</t>
  </si>
  <si>
    <t>06-05-040-027</t>
  </si>
  <si>
    <t>06-05-040-030</t>
  </si>
  <si>
    <t>06-05-068-000</t>
  </si>
  <si>
    <t>check</t>
  </si>
  <si>
    <t>This tab is used in formulas throughout the workbook.</t>
  </si>
  <si>
    <t>Grand Total:</t>
  </si>
  <si>
    <t>Check - ties to tabs</t>
  </si>
  <si>
    <t>DEVELOPER EXPENSES</t>
  </si>
  <si>
    <t>CalPERS ER - 01</t>
  </si>
  <si>
    <t>CalPERS EE - 01</t>
  </si>
  <si>
    <t>CalPERS ER - 02</t>
  </si>
  <si>
    <t>CalPERS EE - 02</t>
  </si>
  <si>
    <t>CalPERS ER - 03</t>
  </si>
  <si>
    <t>CalPERS EE - 03</t>
  </si>
  <si>
    <t>CalPERS ER - 04</t>
  </si>
  <si>
    <t>CalPERS EE - 04</t>
  </si>
  <si>
    <t>CALPERS RETIREMENT (ER) - Classic Plan</t>
  </si>
  <si>
    <t>CALPERS RETIREMENT (EE) - Classic Plan</t>
  </si>
  <si>
    <t>01-0x-038-115</t>
  </si>
  <si>
    <t>03-0x-038-115</t>
  </si>
  <si>
    <t>01-0x-033-106</t>
  </si>
  <si>
    <t>04-0x-033-106</t>
  </si>
  <si>
    <t>03-0x-033-106</t>
  </si>
  <si>
    <t>02-0x-033-106</t>
  </si>
  <si>
    <t>ties to purple tabs</t>
  </si>
  <si>
    <t>WD - 0202 BUILDINGS - 940 2ND AVENUE</t>
  </si>
  <si>
    <t>01-00-160-500</t>
  </si>
  <si>
    <t>03-00-160-500</t>
  </si>
  <si>
    <t>Trial BalanceUser: thatfieldPrinted: 02/03/2015</t>
  </si>
  <si>
    <t>- 10:18 AMPeriod 1 to 6, 2015</t>
  </si>
  <si>
    <t>GW - 0212 WTR TANK COMPLIANCE</t>
  </si>
  <si>
    <t>03-00-160-377</t>
  </si>
  <si>
    <t>OW - 0201 GIGLING PIPELINE</t>
  </si>
  <si>
    <t>04-00-160-033</t>
  </si>
  <si>
    <t>OS - 0205 IMJIN LS/ FORCE MAIN</t>
  </si>
  <si>
    <t>06-00-160-300</t>
  </si>
  <si>
    <t>RD - 0101 REGIONAL DESAL PROJ</t>
  </si>
  <si>
    <t>OW - 0223 WELL 30/ REPLACE PUMP</t>
  </si>
  <si>
    <t>NEXT PMT DUE 06/01/2015  $1,861,781</t>
  </si>
  <si>
    <t>NEXT PMT DUE 06/01/2015  $855,425</t>
  </si>
  <si>
    <t>Total Reserves as of 12-31-2014</t>
  </si>
  <si>
    <t>Available Capital Reserve as of 12-31-2014</t>
  </si>
  <si>
    <t>Operating Expenses plus Interest &amp; Bond Amortization</t>
  </si>
  <si>
    <t>Data autofills with formulas.</t>
  </si>
  <si>
    <t>Used in formulas above. DO NOT DELETE.</t>
  </si>
  <si>
    <t>General Operating Reserve</t>
  </si>
  <si>
    <t>Capital Reserves as of 12-31-2014</t>
  </si>
  <si>
    <t>General Operating Reserve Breakdown</t>
  </si>
  <si>
    <t>0x-00-100-000</t>
  </si>
  <si>
    <t>0x-00-120-000</t>
  </si>
  <si>
    <t>0x-00-105-001</t>
  </si>
  <si>
    <t>0x-00-105-000</t>
  </si>
  <si>
    <t>0x-00-100-003</t>
  </si>
  <si>
    <t>Bank Rec</t>
  </si>
  <si>
    <t>Bank Reconciliation Accounts</t>
  </si>
  <si>
    <t>0x-00-100-006</t>
  </si>
  <si>
    <t>0x-00-100-008</t>
  </si>
  <si>
    <t>0x-00-100-015</t>
  </si>
  <si>
    <t>General Operating Reserves as of 12-31-2014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</si>
</sst>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yy"/>
    <numFmt numFmtId="167" formatCode="0.000%"/>
  </numFmts>
  <fonts count="6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8"/>
      <name val="Arial Narrow"/>
      <family val="2"/>
    </font>
    <font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8"/>
      <name val="Calibri"/>
      <family val="2"/>
    </font>
    <font>
      <sz val="12"/>
      <color indexed="8"/>
      <name val="Calibri"/>
      <family val="2"/>
    </font>
    <font>
      <b/>
      <sz val="12"/>
      <color indexed="1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18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b/>
      <i/>
      <sz val="16"/>
      <color indexed="8"/>
      <name val="Baskerville Old Face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vertAlign val="superscript"/>
      <sz val="12"/>
      <name val="Arial Narrow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0"/>
      <color indexed="8"/>
      <name val="Calibri"/>
      <family val="2"/>
    </font>
    <font>
      <sz val="12"/>
      <color indexed="8"/>
      <name val="Arial Narrow"/>
      <family val="2"/>
    </font>
    <font>
      <b/>
      <i/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0"/>
      <color indexed="10"/>
      <name val="Arial Narrow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7">
    <xf numFmtId="0" fontId="0" fillId="0" borderId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2" borderId="0" applyNumberFormat="0" applyBorder="0" applyAlignment="0" applyProtection="0"/>
    <xf numFmtId="0" fontId="48" fillId="12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13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4" borderId="0" applyNumberFormat="0" applyBorder="0" applyAlignment="0" applyProtection="0"/>
    <xf numFmtId="0" fontId="48" fillId="14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6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6" borderId="0" applyNumberFormat="0" applyBorder="0" applyAlignment="0" applyProtection="0"/>
    <xf numFmtId="0" fontId="49" fillId="26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7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1" fillId="37" borderId="28" applyNumberFormat="0" applyAlignment="0" applyProtection="0"/>
    <xf numFmtId="0" fontId="52" fillId="38" borderId="29" applyNumberForma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8" fillId="40" borderId="28" applyNumberFormat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59" fillId="0" borderId="33" applyNumberFormat="0" applyFill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8" fillId="0" borderId="0"/>
    <xf numFmtId="0" fontId="6" fillId="0" borderId="0"/>
    <xf numFmtId="0" fontId="2" fillId="0" borderId="0"/>
    <xf numFmtId="0" fontId="2" fillId="0" borderId="0"/>
    <xf numFmtId="0" fontId="48" fillId="0" borderId="0"/>
    <xf numFmtId="0" fontId="7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5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1" fillId="42" borderId="34" applyNumberFormat="0" applyFont="0" applyAlignment="0" applyProtection="0"/>
    <xf numFmtId="0" fontId="21" fillId="42" borderId="34" applyNumberFormat="0" applyFont="0" applyAlignment="0" applyProtection="0"/>
    <xf numFmtId="0" fontId="1" fillId="42" borderId="34" applyNumberFormat="0" applyFont="0" applyAlignment="0" applyProtection="0"/>
    <xf numFmtId="0" fontId="48" fillId="42" borderId="34" applyNumberFormat="0" applyFon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0" fontId="61" fillId="37" borderId="35" applyNumberFormat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4" fillId="0" borderId="0" applyNumberFormat="0" applyFill="0" applyBorder="0" applyAlignment="0" applyProtection="0"/>
  </cellStyleXfs>
  <cellXfs count="578">
    <xf numFmtId="0" fontId="0" fillId="0" borderId="0" xfId="0"/>
    <xf numFmtId="0" fontId="23" fillId="0" borderId="0" xfId="0" applyFont="1"/>
    <xf numFmtId="0" fontId="24" fillId="0" borderId="1" xfId="0" applyFont="1" applyBorder="1" applyAlignment="1">
      <alignment horizontal="left"/>
    </xf>
    <xf numFmtId="0" fontId="25" fillId="0" borderId="0" xfId="0" applyFont="1"/>
    <xf numFmtId="0" fontId="26" fillId="0" borderId="2" xfId="0" applyFont="1" applyBorder="1" applyAlignment="1">
      <alignment horizontal="left"/>
    </xf>
    <xf numFmtId="0" fontId="25" fillId="0" borderId="3" xfId="0" applyFont="1" applyBorder="1"/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1" xfId="0" applyFont="1" applyBorder="1"/>
    <xf numFmtId="164" fontId="25" fillId="0" borderId="6" xfId="979" applyNumberFormat="1" applyFont="1" applyBorder="1"/>
    <xf numFmtId="164" fontId="25" fillId="0" borderId="0" xfId="979" applyNumberFormat="1" applyFont="1" applyBorder="1"/>
    <xf numFmtId="0" fontId="25" fillId="0" borderId="7" xfId="0" applyFont="1" applyBorder="1"/>
    <xf numFmtId="0" fontId="25" fillId="0" borderId="2" xfId="0" applyFont="1" applyBorder="1"/>
    <xf numFmtId="0" fontId="27" fillId="0" borderId="8" xfId="0" quotePrefix="1" applyFont="1" applyBorder="1" applyAlignment="1">
      <alignment horizontal="left"/>
    </xf>
    <xf numFmtId="164" fontId="27" fillId="0" borderId="9" xfId="979" applyNumberFormat="1" applyFont="1" applyBorder="1" applyAlignment="1">
      <alignment horizontal="right"/>
    </xf>
    <xf numFmtId="164" fontId="27" fillId="0" borderId="10" xfId="979" applyNumberFormat="1" applyFont="1" applyBorder="1" applyAlignment="1">
      <alignment horizontal="right"/>
    </xf>
    <xf numFmtId="0" fontId="27" fillId="0" borderId="8" xfId="0" applyFont="1" applyBorder="1" applyAlignment="1">
      <alignment horizontal="left"/>
    </xf>
    <xf numFmtId="0" fontId="25" fillId="0" borderId="8" xfId="0" applyFont="1" applyBorder="1"/>
    <xf numFmtId="164" fontId="25" fillId="0" borderId="9" xfId="979" applyNumberFormat="1" applyFont="1" applyBorder="1"/>
    <xf numFmtId="164" fontId="25" fillId="0" borderId="10" xfId="979" applyNumberFormat="1" applyFont="1" applyBorder="1"/>
    <xf numFmtId="0" fontId="25" fillId="0" borderId="10" xfId="0" applyFont="1" applyBorder="1"/>
    <xf numFmtId="0" fontId="23" fillId="0" borderId="3" xfId="0" applyFont="1" applyBorder="1"/>
    <xf numFmtId="164" fontId="23" fillId="0" borderId="4" xfId="979" applyNumberFormat="1" applyFont="1" applyBorder="1"/>
    <xf numFmtId="164" fontId="28" fillId="0" borderId="9" xfId="979" applyNumberFormat="1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3" fillId="0" borderId="0" xfId="0" applyFont="1" applyFill="1"/>
    <xf numFmtId="164" fontId="27" fillId="0" borderId="9" xfId="979" applyNumberFormat="1" applyFont="1" applyFill="1" applyBorder="1" applyAlignment="1">
      <alignment horizontal="right"/>
    </xf>
    <xf numFmtId="164" fontId="28" fillId="0" borderId="9" xfId="979" applyNumberFormat="1" applyFont="1" applyFill="1" applyBorder="1" applyAlignment="1">
      <alignment horizontal="right"/>
    </xf>
    <xf numFmtId="164" fontId="25" fillId="0" borderId="9" xfId="979" applyNumberFormat="1" applyFont="1" applyFill="1" applyBorder="1"/>
    <xf numFmtId="0" fontId="25" fillId="0" borderId="0" xfId="0" applyFont="1" applyFill="1"/>
    <xf numFmtId="0" fontId="28" fillId="0" borderId="8" xfId="0" applyFont="1" applyBorder="1" applyAlignment="1">
      <alignment horizontal="left"/>
    </xf>
    <xf numFmtId="0" fontId="23" fillId="0" borderId="8" xfId="0" applyFont="1" applyBorder="1"/>
    <xf numFmtId="164" fontId="23" fillId="0" borderId="9" xfId="979" applyNumberFormat="1" applyFont="1" applyBorder="1"/>
    <xf numFmtId="164" fontId="23" fillId="0" borderId="10" xfId="979" applyNumberFormat="1" applyFont="1" applyBorder="1"/>
    <xf numFmtId="164" fontId="25" fillId="0" borderId="0" xfId="979" applyNumberFormat="1" applyFont="1"/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164" fontId="25" fillId="0" borderId="0" xfId="979" applyNumberFormat="1" applyFont="1" applyFill="1"/>
    <xf numFmtId="0" fontId="25" fillId="0" borderId="9" xfId="0" applyFont="1" applyFill="1" applyBorder="1"/>
    <xf numFmtId="165" fontId="27" fillId="0" borderId="9" xfId="1375" applyNumberFormat="1" applyFont="1" applyBorder="1" applyAlignment="1" applyProtection="1">
      <alignment horizontal="right"/>
      <protection locked="0"/>
    </xf>
    <xf numFmtId="164" fontId="25" fillId="0" borderId="12" xfId="979" applyNumberFormat="1" applyFont="1" applyBorder="1"/>
    <xf numFmtId="0" fontId="26" fillId="0" borderId="13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7" fillId="0" borderId="8" xfId="0" quotePrefix="1" applyFont="1" applyFill="1" applyBorder="1" applyAlignment="1">
      <alignment horizontal="left"/>
    </xf>
    <xf numFmtId="0" fontId="25" fillId="0" borderId="9" xfId="0" applyFont="1" applyFill="1" applyBorder="1" applyProtection="1"/>
    <xf numFmtId="0" fontId="23" fillId="0" borderId="0" xfId="0" applyFont="1" applyAlignment="1">
      <alignment horizontal="right"/>
    </xf>
    <xf numFmtId="0" fontId="26" fillId="0" borderId="12" xfId="0" applyFont="1" applyBorder="1" applyAlignment="1">
      <alignment horizontal="right"/>
    </xf>
    <xf numFmtId="165" fontId="25" fillId="0" borderId="10" xfId="1411" applyNumberFormat="1" applyFont="1" applyBorder="1" applyAlignment="1" applyProtection="1">
      <alignment horizontal="right"/>
    </xf>
    <xf numFmtId="0" fontId="25" fillId="0" borderId="10" xfId="0" applyFont="1" applyBorder="1" applyAlignment="1" applyProtection="1">
      <alignment horizontal="right"/>
    </xf>
    <xf numFmtId="165" fontId="23" fillId="0" borderId="10" xfId="1411" applyNumberFormat="1" applyFont="1" applyBorder="1" applyAlignment="1" applyProtection="1">
      <alignment horizontal="right"/>
    </xf>
    <xf numFmtId="0" fontId="25" fillId="0" borderId="10" xfId="0" applyFont="1" applyBorder="1" applyAlignment="1">
      <alignment horizontal="right"/>
    </xf>
    <xf numFmtId="0" fontId="23" fillId="0" borderId="10" xfId="0" applyFont="1" applyBorder="1" applyAlignment="1">
      <alignment horizontal="right"/>
    </xf>
    <xf numFmtId="0" fontId="25" fillId="0" borderId="0" xfId="0" applyFont="1" applyAlignment="1">
      <alignment horizontal="right"/>
    </xf>
    <xf numFmtId="164" fontId="25" fillId="0" borderId="0" xfId="979" applyNumberFormat="1" applyFont="1" applyAlignment="1">
      <alignment horizontal="right"/>
    </xf>
    <xf numFmtId="165" fontId="23" fillId="0" borderId="14" xfId="1411" applyNumberFormat="1" applyFont="1" applyBorder="1" applyAlignment="1" applyProtection="1">
      <alignment horizontal="right"/>
    </xf>
    <xf numFmtId="164" fontId="25" fillId="0" borderId="6" xfId="979" applyNumberFormat="1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165" fontId="25" fillId="0" borderId="10" xfId="1411" applyNumberFormat="1" applyFont="1" applyBorder="1" applyAlignment="1" applyProtection="1">
      <alignment horizontal="right"/>
      <protection locked="0"/>
    </xf>
    <xf numFmtId="165" fontId="23" fillId="0" borderId="10" xfId="1411" applyNumberFormat="1" applyFont="1" applyBorder="1" applyAlignment="1" applyProtection="1">
      <alignment horizontal="right"/>
      <protection locked="0"/>
    </xf>
    <xf numFmtId="165" fontId="23" fillId="0" borderId="14" xfId="1411" applyNumberFormat="1" applyFont="1" applyBorder="1" applyAlignment="1" applyProtection="1">
      <alignment horizontal="right"/>
      <protection locked="0"/>
    </xf>
    <xf numFmtId="164" fontId="25" fillId="0" borderId="13" xfId="979" applyNumberFormat="1" applyFont="1" applyBorder="1"/>
    <xf numFmtId="164" fontId="27" fillId="0" borderId="0" xfId="979" applyNumberFormat="1" applyFont="1" applyBorder="1" applyAlignment="1">
      <alignment horizontal="right"/>
    </xf>
    <xf numFmtId="0" fontId="23" fillId="0" borderId="10" xfId="0" applyFont="1" applyBorder="1"/>
    <xf numFmtId="0" fontId="28" fillId="0" borderId="8" xfId="0" quotePrefix="1" applyFont="1" applyBorder="1" applyAlignment="1">
      <alignment horizontal="left"/>
    </xf>
    <xf numFmtId="0" fontId="29" fillId="0" borderId="4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15" xfId="0" applyFont="1" applyBorder="1" applyAlignment="1">
      <alignment horizontal="left"/>
    </xf>
    <xf numFmtId="164" fontId="25" fillId="0" borderId="0" xfId="979" applyNumberFormat="1" applyFont="1" applyAlignment="1">
      <alignment horizontal="center"/>
    </xf>
    <xf numFmtId="164" fontId="1" fillId="0" borderId="0" xfId="772" quotePrefix="1" applyNumberFormat="1" applyFont="1" applyFill="1" applyAlignment="1">
      <alignment horizontal="center"/>
    </xf>
    <xf numFmtId="0" fontId="26" fillId="0" borderId="6" xfId="0" applyFont="1" applyBorder="1" applyAlignment="1">
      <alignment horizontal="center"/>
    </xf>
    <xf numFmtId="164" fontId="23" fillId="0" borderId="16" xfId="979" applyNumberFormat="1" applyFont="1" applyBorder="1"/>
    <xf numFmtId="0" fontId="25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165" fontId="23" fillId="0" borderId="3" xfId="1411" applyNumberFormat="1" applyFont="1" applyBorder="1" applyAlignment="1" applyProtection="1">
      <alignment horizontal="right"/>
    </xf>
    <xf numFmtId="0" fontId="24" fillId="0" borderId="1" xfId="0" applyFont="1" applyBorder="1" applyAlignment="1">
      <alignment horizontal="center"/>
    </xf>
    <xf numFmtId="164" fontId="1" fillId="0" borderId="2" xfId="772" quotePrefix="1" applyNumberFormat="1" applyFont="1" applyFill="1" applyBorder="1" applyAlignment="1">
      <alignment horizontal="center"/>
    </xf>
    <xf numFmtId="164" fontId="25" fillId="0" borderId="2" xfId="979" applyNumberFormat="1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165" fontId="23" fillId="0" borderId="8" xfId="1411" applyNumberFormat="1" applyFont="1" applyBorder="1" applyAlignment="1" applyProtection="1">
      <alignment horizontal="right"/>
    </xf>
    <xf numFmtId="0" fontId="23" fillId="0" borderId="8" xfId="0" applyFont="1" applyBorder="1" applyAlignment="1">
      <alignment horizontal="right"/>
    </xf>
    <xf numFmtId="164" fontId="23" fillId="0" borderId="0" xfId="979" applyNumberFormat="1" applyFont="1" applyBorder="1"/>
    <xf numFmtId="0" fontId="23" fillId="0" borderId="0" xfId="0" applyFont="1" applyAlignment="1"/>
    <xf numFmtId="164" fontId="28" fillId="0" borderId="17" xfId="771" applyNumberFormat="1" applyFont="1" applyBorder="1" applyAlignment="1" applyProtection="1">
      <alignment horizontal="right"/>
    </xf>
    <xf numFmtId="164" fontId="25" fillId="0" borderId="9" xfId="771" applyNumberFormat="1" applyFont="1" applyFill="1" applyBorder="1"/>
    <xf numFmtId="164" fontId="28" fillId="0" borderId="9" xfId="771" applyNumberFormat="1" applyFont="1" applyBorder="1" applyAlignment="1" applyProtection="1">
      <alignment horizontal="right"/>
    </xf>
    <xf numFmtId="164" fontId="25" fillId="0" borderId="9" xfId="771" applyNumberFormat="1" applyFont="1" applyFill="1" applyBorder="1" applyProtection="1"/>
    <xf numFmtId="164" fontId="27" fillId="0" borderId="9" xfId="771" applyNumberFormat="1" applyFont="1" applyBorder="1" applyAlignment="1" applyProtection="1">
      <alignment horizontal="right"/>
    </xf>
    <xf numFmtId="164" fontId="28" fillId="0" borderId="17" xfId="771" applyNumberFormat="1" applyFont="1" applyBorder="1" applyAlignment="1" applyProtection="1">
      <alignment horizontal="right"/>
      <protection locked="0"/>
    </xf>
    <xf numFmtId="164" fontId="28" fillId="0" borderId="9" xfId="771" applyNumberFormat="1" applyFont="1" applyBorder="1" applyAlignment="1" applyProtection="1">
      <alignment horizontal="right"/>
      <protection locked="0"/>
    </xf>
    <xf numFmtId="164" fontId="8" fillId="9" borderId="0" xfId="772" quotePrefix="1" applyNumberFormat="1" applyFont="1" applyFill="1" applyAlignment="1">
      <alignment horizontal="left"/>
    </xf>
    <xf numFmtId="164" fontId="23" fillId="0" borderId="9" xfId="771" applyNumberFormat="1" applyFont="1" applyBorder="1"/>
    <xf numFmtId="164" fontId="28" fillId="0" borderId="17" xfId="979" applyNumberFormat="1" applyFont="1" applyBorder="1" applyAlignment="1">
      <alignment horizontal="right"/>
    </xf>
    <xf numFmtId="0" fontId="0" fillId="9" borderId="0" xfId="0" applyFill="1"/>
    <xf numFmtId="164" fontId="1" fillId="9" borderId="0" xfId="772" quotePrefix="1" applyNumberFormat="1" applyFont="1" applyFill="1" applyAlignment="1">
      <alignment horizontal="left"/>
    </xf>
    <xf numFmtId="0" fontId="0" fillId="0" borderId="0" xfId="0" applyAlignment="1">
      <alignment horizontal="center"/>
    </xf>
    <xf numFmtId="43" fontId="21" fillId="0" borderId="0" xfId="786" applyFont="1" applyAlignment="1">
      <alignment horizontal="center"/>
    </xf>
    <xf numFmtId="0" fontId="0" fillId="0" borderId="0" xfId="0"/>
    <xf numFmtId="0" fontId="25" fillId="0" borderId="8" xfId="0" applyFont="1" applyFill="1" applyBorder="1" applyProtection="1">
      <protection locked="0"/>
    </xf>
    <xf numFmtId="164" fontId="1" fillId="9" borderId="0" xfId="772" quotePrefix="1" applyNumberFormat="1" applyFont="1" applyFill="1" applyAlignment="1">
      <alignment horizontal="center"/>
    </xf>
    <xf numFmtId="0" fontId="25" fillId="0" borderId="8" xfId="0" applyFont="1" applyFill="1" applyBorder="1"/>
    <xf numFmtId="0" fontId="2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5" fillId="0" borderId="1" xfId="0" applyFont="1" applyBorder="1" applyAlignment="1">
      <alignment horizontal="right"/>
    </xf>
    <xf numFmtId="0" fontId="0" fillId="0" borderId="0" xfId="0" applyFont="1" applyFill="1"/>
    <xf numFmtId="164" fontId="1" fillId="0" borderId="0" xfId="772" quotePrefix="1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164" fontId="25" fillId="0" borderId="9" xfId="979" applyNumberFormat="1" applyFont="1" applyBorder="1" applyAlignment="1">
      <alignment horizontal="right"/>
    </xf>
    <xf numFmtId="164" fontId="23" fillId="0" borderId="9" xfId="979" applyNumberFormat="1" applyFont="1" applyBorder="1" applyAlignment="1">
      <alignment horizontal="right"/>
    </xf>
    <xf numFmtId="164" fontId="23" fillId="0" borderId="4" xfId="979" applyNumberFormat="1" applyFont="1" applyBorder="1" applyAlignment="1">
      <alignment horizontal="right"/>
    </xf>
    <xf numFmtId="0" fontId="31" fillId="0" borderId="0" xfId="0" applyFont="1" applyFill="1" applyAlignment="1">
      <alignment horizontal="left" vertical="top"/>
    </xf>
    <xf numFmtId="0" fontId="32" fillId="0" borderId="0" xfId="0" applyFont="1" applyFill="1"/>
    <xf numFmtId="164" fontId="25" fillId="0" borderId="6" xfId="979" applyNumberFormat="1" applyFont="1" applyFill="1" applyBorder="1"/>
    <xf numFmtId="164" fontId="25" fillId="0" borderId="0" xfId="0" applyNumberFormat="1" applyFont="1" applyFill="1"/>
    <xf numFmtId="164" fontId="0" fillId="0" borderId="0" xfId="0" applyNumberFormat="1"/>
    <xf numFmtId="164" fontId="1" fillId="0" borderId="0" xfId="772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65" fontId="23" fillId="0" borderId="3" xfId="1411" applyNumberFormat="1" applyFont="1" applyBorder="1" applyAlignment="1" applyProtection="1">
      <alignment horizontal="right"/>
      <protection locked="0"/>
    </xf>
    <xf numFmtId="165" fontId="23" fillId="0" borderId="8" xfId="1411" applyNumberFormat="1" applyFont="1" applyBorder="1" applyAlignment="1" applyProtection="1">
      <alignment horizontal="right"/>
      <protection locked="0"/>
    </xf>
    <xf numFmtId="165" fontId="25" fillId="0" borderId="8" xfId="1411" applyNumberFormat="1" applyFont="1" applyBorder="1" applyAlignment="1" applyProtection="1">
      <alignment horizontal="right"/>
      <protection locked="0"/>
    </xf>
    <xf numFmtId="164" fontId="21" fillId="9" borderId="0" xfId="786" applyNumberFormat="1" applyFont="1" applyFill="1"/>
    <xf numFmtId="0" fontId="0" fillId="0" borderId="0" xfId="0"/>
    <xf numFmtId="164" fontId="21" fillId="0" borderId="8" xfId="979" applyNumberFormat="1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8" xfId="0" quotePrefix="1" applyFont="1" applyBorder="1" applyAlignment="1">
      <alignment horizontal="left"/>
    </xf>
    <xf numFmtId="0" fontId="34" fillId="0" borderId="8" xfId="0" applyFont="1" applyBorder="1" applyAlignment="1">
      <alignment horizontal="left"/>
    </xf>
    <xf numFmtId="0" fontId="0" fillId="0" borderId="8" xfId="0" applyFont="1" applyBorder="1"/>
    <xf numFmtId="0" fontId="22" fillId="0" borderId="8" xfId="0" applyFont="1" applyBorder="1"/>
    <xf numFmtId="0" fontId="22" fillId="0" borderId="3" xfId="0" applyFont="1" applyBorder="1"/>
    <xf numFmtId="165" fontId="21" fillId="0" borderId="8" xfId="1411" applyNumberFormat="1" applyFont="1" applyBorder="1" applyAlignment="1" applyProtection="1">
      <alignment horizontal="center"/>
    </xf>
    <xf numFmtId="164" fontId="33" fillId="0" borderId="8" xfId="979" applyNumberFormat="1" applyFont="1" applyBorder="1" applyAlignment="1">
      <alignment horizontal="center"/>
    </xf>
    <xf numFmtId="165" fontId="22" fillId="0" borderId="8" xfId="1411" applyNumberFormat="1" applyFont="1" applyBorder="1" applyAlignment="1" applyProtection="1">
      <alignment horizontal="center"/>
    </xf>
    <xf numFmtId="164" fontId="22" fillId="0" borderId="8" xfId="979" applyNumberFormat="1" applyFont="1" applyBorder="1" applyAlignment="1">
      <alignment horizontal="center"/>
    </xf>
    <xf numFmtId="165" fontId="22" fillId="0" borderId="3" xfId="1411" applyNumberFormat="1" applyFont="1" applyBorder="1" applyAlignment="1" applyProtection="1">
      <alignment horizontal="center"/>
    </xf>
    <xf numFmtId="164" fontId="33" fillId="0" borderId="8" xfId="979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4" fontId="21" fillId="0" borderId="2" xfId="979" applyNumberFormat="1" applyFont="1" applyBorder="1"/>
    <xf numFmtId="164" fontId="33" fillId="0" borderId="8" xfId="979" applyNumberFormat="1" applyFont="1" applyFill="1" applyBorder="1" applyAlignment="1">
      <alignment horizontal="right"/>
    </xf>
    <xf numFmtId="0" fontId="0" fillId="0" borderId="2" xfId="0" applyFont="1" applyBorder="1"/>
    <xf numFmtId="0" fontId="22" fillId="0" borderId="2" xfId="0" applyFont="1" applyBorder="1"/>
    <xf numFmtId="164" fontId="22" fillId="0" borderId="8" xfId="979" applyNumberFormat="1" applyFont="1" applyBorder="1"/>
    <xf numFmtId="165" fontId="22" fillId="0" borderId="3" xfId="1411" applyNumberFormat="1" applyFont="1" applyBorder="1" applyAlignment="1" applyProtection="1">
      <alignment horizontal="right"/>
    </xf>
    <xf numFmtId="164" fontId="25" fillId="0" borderId="0" xfId="0" applyNumberFormat="1" applyFont="1"/>
    <xf numFmtId="0" fontId="26" fillId="0" borderId="18" xfId="0" applyFont="1" applyBorder="1" applyAlignment="1">
      <alignment horizontal="center"/>
    </xf>
    <xf numFmtId="164" fontId="25" fillId="0" borderId="15" xfId="979" applyNumberFormat="1" applyFont="1" applyBorder="1" applyAlignment="1">
      <alignment horizontal="right"/>
    </xf>
    <xf numFmtId="164" fontId="27" fillId="0" borderId="19" xfId="979" applyNumberFormat="1" applyFont="1" applyBorder="1" applyAlignment="1">
      <alignment horizontal="right"/>
    </xf>
    <xf numFmtId="164" fontId="28" fillId="0" borderId="19" xfId="979" applyNumberFormat="1" applyFont="1" applyBorder="1" applyAlignment="1">
      <alignment horizontal="right"/>
    </xf>
    <xf numFmtId="164" fontId="25" fillId="0" borderId="19" xfId="979" applyNumberFormat="1" applyFont="1" applyBorder="1" applyAlignment="1">
      <alignment horizontal="right"/>
    </xf>
    <xf numFmtId="164" fontId="23" fillId="0" borderId="19" xfId="979" applyNumberFormat="1" applyFont="1" applyBorder="1" applyAlignment="1">
      <alignment horizontal="right"/>
    </xf>
    <xf numFmtId="164" fontId="23" fillId="0" borderId="18" xfId="979" applyNumberFormat="1" applyFont="1" applyBorder="1" applyAlignment="1">
      <alignment horizontal="right"/>
    </xf>
    <xf numFmtId="164" fontId="25" fillId="0" borderId="15" xfId="979" applyNumberFormat="1" applyFont="1" applyBorder="1"/>
    <xf numFmtId="164" fontId="25" fillId="0" borderId="19" xfId="979" applyNumberFormat="1" applyFont="1" applyBorder="1"/>
    <xf numFmtId="0" fontId="25" fillId="0" borderId="10" xfId="0" applyFont="1" applyBorder="1" applyProtection="1"/>
    <xf numFmtId="164" fontId="25" fillId="0" borderId="9" xfId="771" applyNumberFormat="1" applyFont="1" applyBorder="1" applyProtection="1"/>
    <xf numFmtId="164" fontId="23" fillId="0" borderId="10" xfId="979" applyNumberFormat="1" applyFont="1" applyBorder="1" applyProtection="1"/>
    <xf numFmtId="164" fontId="28" fillId="0" borderId="17" xfId="771" applyNumberFormat="1" applyFont="1" applyFill="1" applyBorder="1" applyAlignment="1" applyProtection="1">
      <alignment horizontal="right"/>
    </xf>
    <xf numFmtId="0" fontId="25" fillId="0" borderId="10" xfId="0" applyFont="1" applyFill="1" applyBorder="1" applyProtection="1"/>
    <xf numFmtId="164" fontId="25" fillId="0" borderId="10" xfId="979" applyNumberFormat="1" applyFont="1" applyBorder="1" applyProtection="1"/>
    <xf numFmtId="164" fontId="28" fillId="0" borderId="9" xfId="771" applyNumberFormat="1" applyFont="1" applyFill="1" applyBorder="1" applyAlignment="1" applyProtection="1">
      <alignment horizontal="right"/>
    </xf>
    <xf numFmtId="164" fontId="27" fillId="0" borderId="10" xfId="979" applyNumberFormat="1" applyFont="1" applyBorder="1" applyAlignment="1" applyProtection="1">
      <alignment horizontal="right"/>
    </xf>
    <xf numFmtId="164" fontId="23" fillId="0" borderId="19" xfId="979" applyNumberFormat="1" applyFont="1" applyBorder="1" applyAlignment="1" applyProtection="1">
      <alignment horizontal="right"/>
    </xf>
    <xf numFmtId="164" fontId="27" fillId="0" borderId="9" xfId="979" applyNumberFormat="1" applyFont="1" applyBorder="1" applyAlignment="1" applyProtection="1">
      <alignment horizontal="right"/>
    </xf>
    <xf numFmtId="164" fontId="23" fillId="0" borderId="4" xfId="979" applyNumberFormat="1" applyFont="1" applyBorder="1" applyAlignment="1" applyProtection="1">
      <alignment horizontal="right"/>
    </xf>
    <xf numFmtId="164" fontId="25" fillId="0" borderId="9" xfId="979" applyNumberFormat="1" applyFont="1" applyBorder="1" applyProtection="1"/>
    <xf numFmtId="164" fontId="27" fillId="0" borderId="19" xfId="979" applyNumberFormat="1" applyFont="1" applyBorder="1" applyAlignment="1" applyProtection="1">
      <alignment horizontal="right"/>
    </xf>
    <xf numFmtId="165" fontId="25" fillId="0" borderId="10" xfId="1375" applyNumberFormat="1" applyFont="1" applyBorder="1" applyAlignment="1" applyProtection="1">
      <alignment horizontal="right"/>
      <protection locked="0"/>
    </xf>
    <xf numFmtId="164" fontId="23" fillId="0" borderId="18" xfId="979" applyNumberFormat="1" applyFont="1" applyBorder="1" applyAlignment="1" applyProtection="1">
      <alignment horizontal="right"/>
    </xf>
    <xf numFmtId="164" fontId="25" fillId="0" borderId="9" xfId="979" applyNumberFormat="1" applyFont="1" applyBorder="1" applyAlignment="1" applyProtection="1">
      <alignment horizontal="right"/>
    </xf>
    <xf numFmtId="0" fontId="33" fillId="0" borderId="8" xfId="0" quotePrefix="1" applyFont="1" applyBorder="1" applyAlignment="1" applyProtection="1">
      <alignment horizontal="center"/>
    </xf>
    <xf numFmtId="165" fontId="25" fillId="0" borderId="8" xfId="1411" applyNumberFormat="1" applyFont="1" applyBorder="1" applyAlignment="1" applyProtection="1">
      <alignment horizontal="right"/>
    </xf>
    <xf numFmtId="164" fontId="25" fillId="0" borderId="19" xfId="979" applyNumberFormat="1" applyFont="1" applyBorder="1" applyAlignment="1" applyProtection="1">
      <alignment horizontal="right"/>
    </xf>
    <xf numFmtId="164" fontId="28" fillId="0" borderId="9" xfId="979" applyNumberFormat="1" applyFont="1" applyBorder="1" applyAlignment="1" applyProtection="1">
      <alignment horizontal="right"/>
    </xf>
    <xf numFmtId="165" fontId="27" fillId="0" borderId="9" xfId="1375" applyNumberFormat="1" applyFont="1" applyBorder="1" applyAlignment="1" applyProtection="1">
      <alignment horizontal="right"/>
    </xf>
    <xf numFmtId="164" fontId="23" fillId="0" borderId="9" xfId="979" applyNumberFormat="1" applyFont="1" applyBorder="1" applyAlignment="1" applyProtection="1">
      <alignment horizontal="right"/>
    </xf>
    <xf numFmtId="164" fontId="28" fillId="0" borderId="19" xfId="979" applyNumberFormat="1" applyFont="1" applyBorder="1" applyAlignment="1" applyProtection="1">
      <alignment horizontal="right"/>
    </xf>
    <xf numFmtId="165" fontId="25" fillId="0" borderId="10" xfId="1375" applyNumberFormat="1" applyFont="1" applyBorder="1" applyAlignment="1" applyProtection="1">
      <alignment horizontal="right"/>
    </xf>
    <xf numFmtId="165" fontId="23" fillId="0" borderId="10" xfId="1375" applyNumberFormat="1" applyFont="1" applyBorder="1" applyAlignment="1" applyProtection="1">
      <alignment horizontal="right"/>
    </xf>
    <xf numFmtId="165" fontId="23" fillId="0" borderId="14" xfId="1375" applyNumberFormat="1" applyFont="1" applyBorder="1" applyAlignment="1" applyProtection="1">
      <alignment horizontal="right"/>
      <protection locked="0"/>
    </xf>
    <xf numFmtId="165" fontId="23" fillId="0" borderId="14" xfId="1375" applyNumberFormat="1" applyFont="1" applyBorder="1" applyAlignment="1" applyProtection="1">
      <alignment horizontal="right"/>
    </xf>
    <xf numFmtId="43" fontId="25" fillId="0" borderId="0" xfId="771" applyFont="1"/>
    <xf numFmtId="10" fontId="23" fillId="0" borderId="10" xfId="1375" applyNumberFormat="1" applyFont="1" applyFill="1" applyBorder="1" applyAlignment="1" applyProtection="1">
      <alignment horizontal="right"/>
    </xf>
    <xf numFmtId="164" fontId="23" fillId="0" borderId="9" xfId="979" applyNumberFormat="1" applyFont="1" applyFill="1" applyBorder="1" applyAlignment="1">
      <alignment horizontal="right"/>
    </xf>
    <xf numFmtId="164" fontId="23" fillId="0" borderId="9" xfId="771" applyNumberFormat="1" applyFont="1" applyFill="1" applyBorder="1" applyAlignment="1" applyProtection="1">
      <alignment horizontal="right"/>
    </xf>
    <xf numFmtId="0" fontId="23" fillId="0" borderId="8" xfId="0" applyFont="1" applyFill="1" applyBorder="1" applyAlignment="1" applyProtection="1">
      <alignment horizontal="right"/>
      <protection locked="0"/>
    </xf>
    <xf numFmtId="0" fontId="23" fillId="0" borderId="8" xfId="0" applyFont="1" applyFill="1" applyBorder="1" applyAlignment="1">
      <alignment horizontal="right"/>
    </xf>
    <xf numFmtId="0" fontId="23" fillId="0" borderId="10" xfId="0" applyFont="1" applyFill="1" applyBorder="1" applyAlignment="1" applyProtection="1">
      <alignment horizontal="right"/>
    </xf>
    <xf numFmtId="164" fontId="23" fillId="0" borderId="9" xfId="771" applyNumberFormat="1" applyFont="1" applyBorder="1" applyAlignment="1" applyProtection="1">
      <alignment horizontal="right"/>
    </xf>
    <xf numFmtId="0" fontId="22" fillId="0" borderId="0" xfId="0" applyFont="1" applyAlignment="1">
      <alignment horizontal="right"/>
    </xf>
    <xf numFmtId="0" fontId="23" fillId="0" borderId="8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165" fontId="23" fillId="0" borderId="10" xfId="1411" applyNumberFormat="1" applyFont="1" applyFill="1" applyBorder="1" applyAlignment="1" applyProtection="1">
      <alignment horizontal="right"/>
    </xf>
    <xf numFmtId="165" fontId="23" fillId="0" borderId="8" xfId="1411" applyNumberFormat="1" applyFont="1" applyFill="1" applyBorder="1" applyAlignment="1" applyProtection="1">
      <alignment horizontal="right"/>
      <protection locked="0"/>
    </xf>
    <xf numFmtId="165" fontId="23" fillId="0" borderId="8" xfId="141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5" fillId="0" borderId="8" xfId="0" applyFont="1" applyBorder="1" applyAlignment="1">
      <alignment horizontal="right"/>
    </xf>
    <xf numFmtId="164" fontId="25" fillId="0" borderId="9" xfId="979" applyNumberFormat="1" applyFont="1" applyFill="1" applyBorder="1" applyAlignment="1">
      <alignment horizontal="right"/>
    </xf>
    <xf numFmtId="164" fontId="25" fillId="0" borderId="9" xfId="771" applyNumberFormat="1" applyFont="1" applyFill="1" applyBorder="1" applyAlignment="1" applyProtection="1">
      <alignment horizontal="right"/>
    </xf>
    <xf numFmtId="0" fontId="25" fillId="0" borderId="10" xfId="0" applyFont="1" applyFill="1" applyBorder="1" applyAlignment="1" applyProtection="1">
      <alignment horizontal="right"/>
      <protection locked="0"/>
    </xf>
    <xf numFmtId="0" fontId="25" fillId="0" borderId="8" xfId="0" applyFont="1" applyFill="1" applyBorder="1" applyAlignment="1" applyProtection="1">
      <alignment horizontal="right"/>
      <protection locked="0"/>
    </xf>
    <xf numFmtId="0" fontId="25" fillId="0" borderId="10" xfId="0" applyFont="1" applyFill="1" applyBorder="1" applyAlignment="1" applyProtection="1">
      <alignment horizontal="right"/>
    </xf>
    <xf numFmtId="0" fontId="25" fillId="0" borderId="8" xfId="0" applyFont="1" applyFill="1" applyBorder="1" applyAlignment="1">
      <alignment horizontal="right"/>
    </xf>
    <xf numFmtId="164" fontId="25" fillId="0" borderId="9" xfId="771" applyNumberFormat="1" applyFont="1" applyBorder="1" applyAlignment="1" applyProtection="1">
      <alignment horizontal="right"/>
    </xf>
    <xf numFmtId="0" fontId="23" fillId="0" borderId="3" xfId="0" applyFont="1" applyBorder="1" applyAlignment="1">
      <alignment horizontal="right"/>
    </xf>
    <xf numFmtId="164" fontId="23" fillId="0" borderId="4" xfId="979" applyNumberFormat="1" applyFont="1" applyFill="1" applyBorder="1" applyAlignment="1">
      <alignment horizontal="right"/>
    </xf>
    <xf numFmtId="165" fontId="23" fillId="0" borderId="14" xfId="1411" applyNumberFormat="1" applyFont="1" applyFill="1" applyBorder="1" applyAlignment="1" applyProtection="1">
      <alignment horizontal="right"/>
      <protection locked="0"/>
    </xf>
    <xf numFmtId="165" fontId="23" fillId="0" borderId="3" xfId="1411" applyNumberFormat="1" applyFont="1" applyFill="1" applyBorder="1" applyAlignment="1" applyProtection="1">
      <alignment horizontal="right"/>
      <protection locked="0"/>
    </xf>
    <xf numFmtId="165" fontId="23" fillId="0" borderId="14" xfId="1411" applyNumberFormat="1" applyFont="1" applyFill="1" applyBorder="1" applyAlignment="1" applyProtection="1">
      <alignment horizontal="right"/>
    </xf>
    <xf numFmtId="165" fontId="23" fillId="0" borderId="3" xfId="1411" applyNumberFormat="1" applyFont="1" applyFill="1" applyBorder="1" applyAlignment="1">
      <alignment horizontal="right"/>
    </xf>
    <xf numFmtId="0" fontId="23" fillId="0" borderId="2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33" fillId="0" borderId="8" xfId="0" quotePrefix="1" applyFont="1" applyBorder="1" applyAlignment="1">
      <alignment horizontal="right"/>
    </xf>
    <xf numFmtId="0" fontId="33" fillId="0" borderId="8" xfId="0" quotePrefix="1" applyFont="1" applyBorder="1" applyAlignment="1" applyProtection="1">
      <alignment horizontal="right"/>
    </xf>
    <xf numFmtId="164" fontId="23" fillId="0" borderId="9" xfId="771" applyNumberFormat="1" applyFont="1" applyFill="1" applyBorder="1" applyAlignment="1">
      <alignment horizontal="right"/>
    </xf>
    <xf numFmtId="0" fontId="33" fillId="0" borderId="20" xfId="0" quotePrefix="1" applyFont="1" applyBorder="1" applyAlignment="1">
      <alignment horizontal="right"/>
    </xf>
    <xf numFmtId="0" fontId="0" fillId="10" borderId="0" xfId="0" applyFill="1"/>
    <xf numFmtId="43" fontId="25" fillId="0" borderId="0" xfId="771" applyFont="1" applyAlignment="1">
      <alignment horizontal="center"/>
    </xf>
    <xf numFmtId="43" fontId="25" fillId="0" borderId="0" xfId="771" applyFont="1" applyAlignment="1">
      <alignment horizontal="right"/>
    </xf>
    <xf numFmtId="165" fontId="25" fillId="0" borderId="8" xfId="1411" applyNumberFormat="1" applyFont="1" applyBorder="1" applyAlignment="1" applyProtection="1">
      <alignment horizontal="center"/>
      <protection locked="0"/>
    </xf>
    <xf numFmtId="165" fontId="23" fillId="0" borderId="8" xfId="1411" applyNumberFormat="1" applyFont="1" applyBorder="1" applyAlignment="1" applyProtection="1">
      <alignment horizontal="center"/>
      <protection locked="0"/>
    </xf>
    <xf numFmtId="164" fontId="22" fillId="11" borderId="0" xfId="0" applyNumberFormat="1" applyFont="1" applyFill="1"/>
    <xf numFmtId="0" fontId="22" fillId="11" borderId="0" xfId="0" applyFont="1" applyFill="1"/>
    <xf numFmtId="0" fontId="22" fillId="11" borderId="0" xfId="0" applyFont="1" applyFill="1" applyAlignment="1">
      <alignment horizontal="center"/>
    </xf>
    <xf numFmtId="164" fontId="0" fillId="9" borderId="6" xfId="0" applyNumberFormat="1" applyFill="1" applyBorder="1"/>
    <xf numFmtId="0" fontId="0" fillId="0" borderId="0" xfId="0"/>
    <xf numFmtId="165" fontId="27" fillId="0" borderId="9" xfId="1388" applyNumberFormat="1" applyFont="1" applyBorder="1" applyAlignment="1" applyProtection="1">
      <alignment horizontal="right"/>
      <protection locked="0"/>
    </xf>
    <xf numFmtId="164" fontId="28" fillId="0" borderId="17" xfId="772" applyNumberFormat="1" applyFont="1" applyBorder="1" applyAlignment="1" applyProtection="1">
      <alignment horizontal="right"/>
      <protection locked="0"/>
    </xf>
    <xf numFmtId="164" fontId="28" fillId="0" borderId="9" xfId="772" applyNumberFormat="1" applyFont="1" applyBorder="1" applyAlignment="1" applyProtection="1">
      <alignment horizontal="right"/>
      <protection locked="0"/>
    </xf>
    <xf numFmtId="164" fontId="27" fillId="0" borderId="9" xfId="772" applyNumberFormat="1" applyFont="1" applyBorder="1" applyAlignment="1" applyProtection="1">
      <alignment horizontal="right"/>
      <protection locked="0"/>
    </xf>
    <xf numFmtId="0" fontId="0" fillId="9" borderId="0" xfId="0" applyFill="1"/>
    <xf numFmtId="0" fontId="0" fillId="0" borderId="0" xfId="0" applyAlignment="1">
      <alignment horizontal="center"/>
    </xf>
    <xf numFmtId="165" fontId="23" fillId="0" borderId="3" xfId="1411" applyNumberFormat="1" applyFont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786" applyFont="1" applyAlignment="1">
      <alignment horizontal="center"/>
    </xf>
    <xf numFmtId="164" fontId="1" fillId="10" borderId="0" xfId="772" quotePrefix="1" applyNumberFormat="1" applyFont="1" applyFill="1" applyAlignment="1">
      <alignment horizontal="center"/>
    </xf>
    <xf numFmtId="164" fontId="1" fillId="10" borderId="0" xfId="772" quotePrefix="1" applyNumberFormat="1" applyFont="1" applyFill="1" applyAlignment="1">
      <alignment horizontal="left"/>
    </xf>
    <xf numFmtId="164" fontId="1" fillId="10" borderId="0" xfId="772" applyNumberFormat="1" applyFont="1" applyFill="1" applyAlignment="1">
      <alignment horizontal="right"/>
    </xf>
    <xf numFmtId="43" fontId="21" fillId="10" borderId="0" xfId="786" applyFont="1" applyFill="1"/>
    <xf numFmtId="164" fontId="8" fillId="9" borderId="0" xfId="772" quotePrefix="1" applyNumberFormat="1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164" fontId="23" fillId="0" borderId="19" xfId="979" applyNumberFormat="1" applyFont="1" applyBorder="1"/>
    <xf numFmtId="164" fontId="23" fillId="0" borderId="18" xfId="979" applyNumberFormat="1" applyFont="1" applyBorder="1"/>
    <xf numFmtId="0" fontId="0" fillId="0" borderId="0" xfId="0"/>
    <xf numFmtId="0" fontId="0" fillId="9" borderId="0" xfId="0" applyFill="1"/>
    <xf numFmtId="0" fontId="0" fillId="0" borderId="0" xfId="0" applyFill="1"/>
    <xf numFmtId="0" fontId="0" fillId="9" borderId="0" xfId="0" applyFill="1" applyAlignment="1">
      <alignment horizontal="center"/>
    </xf>
    <xf numFmtId="43" fontId="21" fillId="0" borderId="0" xfId="786" applyFont="1" applyFill="1"/>
    <xf numFmtId="0" fontId="22" fillId="0" borderId="4" xfId="0" applyFont="1" applyFill="1" applyBorder="1" applyAlignment="1">
      <alignment horizontal="center"/>
    </xf>
    <xf numFmtId="43" fontId="22" fillId="0" borderId="4" xfId="786" applyFont="1" applyFill="1" applyBorder="1" applyAlignment="1">
      <alignment horizontal="center"/>
    </xf>
    <xf numFmtId="0" fontId="0" fillId="0" borderId="0" xfId="0"/>
    <xf numFmtId="43" fontId="22" fillId="0" borderId="0" xfId="771" applyFont="1" applyFill="1" applyBorder="1" applyAlignment="1">
      <alignment horizontal="center"/>
    </xf>
    <xf numFmtId="43" fontId="21" fillId="0" borderId="0" xfId="771" applyFont="1" applyFill="1"/>
    <xf numFmtId="43" fontId="1" fillId="0" borderId="0" xfId="771" applyFont="1" applyFill="1" applyAlignment="1">
      <alignment horizontal="right"/>
    </xf>
    <xf numFmtId="164" fontId="22" fillId="0" borderId="6" xfId="0" applyNumberFormat="1" applyFont="1" applyFill="1" applyBorder="1"/>
    <xf numFmtId="8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4" fillId="0" borderId="0" xfId="0" applyFont="1" applyFill="1"/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5" fillId="0" borderId="0" xfId="0" applyFont="1" applyFill="1"/>
    <xf numFmtId="14" fontId="12" fillId="0" borderId="11" xfId="0" quotePrefix="1" applyNumberFormat="1" applyFont="1" applyFill="1" applyBorder="1"/>
    <xf numFmtId="10" fontId="12" fillId="0" borderId="0" xfId="1376" applyNumberFormat="1" applyFont="1" applyFill="1"/>
    <xf numFmtId="0" fontId="10" fillId="0" borderId="0" xfId="0" applyFont="1" applyFill="1" applyBorder="1"/>
    <xf numFmtId="0" fontId="17" fillId="0" borderId="0" xfId="0" applyFont="1" applyFill="1" applyBorder="1"/>
    <xf numFmtId="0" fontId="12" fillId="0" borderId="11" xfId="0" applyFont="1" applyFill="1" applyBorder="1"/>
    <xf numFmtId="14" fontId="12" fillId="0" borderId="0" xfId="0" applyNumberFormat="1" applyFont="1" applyFill="1" applyBorder="1"/>
    <xf numFmtId="14" fontId="12" fillId="0" borderId="11" xfId="0" applyNumberFormat="1" applyFont="1" applyFill="1" applyBorder="1"/>
    <xf numFmtId="0" fontId="12" fillId="0" borderId="0" xfId="0" quotePrefix="1" applyFont="1" applyFill="1" applyBorder="1"/>
    <xf numFmtId="10" fontId="12" fillId="0" borderId="4" xfId="1376" applyNumberFormat="1" applyFont="1" applyFill="1" applyBorder="1"/>
    <xf numFmtId="0" fontId="12" fillId="0" borderId="18" xfId="0" quotePrefix="1" applyFont="1" applyFill="1" applyBorder="1"/>
    <xf numFmtId="0" fontId="12" fillId="0" borderId="11" xfId="0" quotePrefix="1" applyFont="1" applyFill="1" applyBorder="1"/>
    <xf numFmtId="164" fontId="12" fillId="0" borderId="0" xfId="0" applyNumberFormat="1" applyFont="1" applyFill="1"/>
    <xf numFmtId="164" fontId="12" fillId="0" borderId="5" xfId="0" applyNumberFormat="1" applyFont="1" applyFill="1" applyBorder="1"/>
    <xf numFmtId="0" fontId="12" fillId="0" borderId="4" xfId="0" applyFont="1" applyFill="1" applyBorder="1"/>
    <xf numFmtId="0" fontId="12" fillId="0" borderId="18" xfId="0" applyFont="1" applyFill="1" applyBorder="1"/>
    <xf numFmtId="164" fontId="12" fillId="0" borderId="12" xfId="0" applyNumberFormat="1" applyFont="1" applyFill="1" applyBorder="1"/>
    <xf numFmtId="164" fontId="12" fillId="0" borderId="0" xfId="0" applyNumberFormat="1" applyFont="1" applyFill="1" applyBorder="1"/>
    <xf numFmtId="10" fontId="12" fillId="0" borderId="0" xfId="1376" applyNumberFormat="1" applyFont="1" applyFill="1" applyBorder="1"/>
    <xf numFmtId="0" fontId="12" fillId="0" borderId="0" xfId="0" applyFont="1" applyFill="1" applyBorder="1"/>
    <xf numFmtId="0" fontId="13" fillId="0" borderId="11" xfId="0" applyFont="1" applyFill="1" applyBorder="1"/>
    <xf numFmtId="164" fontId="12" fillId="0" borderId="7" xfId="0" applyNumberFormat="1" applyFont="1" applyFill="1" applyBorder="1"/>
    <xf numFmtId="10" fontId="12" fillId="0" borderId="6" xfId="1376" applyNumberFormat="1" applyFont="1" applyFill="1" applyBorder="1"/>
    <xf numFmtId="0" fontId="12" fillId="0" borderId="6" xfId="0" applyFont="1" applyFill="1" applyBorder="1"/>
    <xf numFmtId="0" fontId="13" fillId="0" borderId="15" xfId="0" applyFont="1" applyFill="1" applyBorder="1"/>
    <xf numFmtId="0" fontId="10" fillId="0" borderId="0" xfId="0" applyFont="1" applyFill="1"/>
    <xf numFmtId="0" fontId="12" fillId="0" borderId="0" xfId="0" applyFont="1" applyFill="1"/>
    <xf numFmtId="0" fontId="17" fillId="0" borderId="0" xfId="0" applyFont="1" applyFill="1"/>
    <xf numFmtId="0" fontId="13" fillId="0" borderId="0" xfId="0" applyFont="1" applyFill="1"/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/>
    </xf>
    <xf numFmtId="0" fontId="17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43" fontId="12" fillId="0" borderId="0" xfId="802" applyFont="1"/>
    <xf numFmtId="164" fontId="12" fillId="0" borderId="0" xfId="802" applyNumberFormat="1" applyFont="1" applyFill="1" applyBorder="1"/>
    <xf numFmtId="164" fontId="12" fillId="0" borderId="4" xfId="802" applyNumberFormat="1" applyFont="1" applyFill="1" applyBorder="1"/>
    <xf numFmtId="164" fontId="12" fillId="0" borderId="0" xfId="802" applyNumberFormat="1" applyFont="1" applyFill="1"/>
    <xf numFmtId="164" fontId="12" fillId="0" borderId="6" xfId="802" applyNumberFormat="1" applyFont="1" applyFill="1" applyBorder="1"/>
    <xf numFmtId="164" fontId="12" fillId="0" borderId="12" xfId="802" applyNumberFormat="1" applyFont="1" applyFill="1" applyBorder="1"/>
    <xf numFmtId="43" fontId="12" fillId="0" borderId="0" xfId="802" applyFont="1" applyFill="1"/>
    <xf numFmtId="164" fontId="12" fillId="0" borderId="0" xfId="802" applyNumberFormat="1" applyFont="1" applyFill="1" applyAlignment="1">
      <alignment horizontal="center"/>
    </xf>
    <xf numFmtId="164" fontId="14" fillId="0" borderId="0" xfId="802" applyNumberFormat="1" applyFont="1" applyFill="1" applyAlignment="1">
      <alignment horizontal="center"/>
    </xf>
    <xf numFmtId="164" fontId="14" fillId="0" borderId="0" xfId="802" applyNumberFormat="1" applyFont="1" applyFill="1"/>
    <xf numFmtId="164" fontId="10" fillId="0" borderId="0" xfId="802" applyNumberFormat="1" applyFont="1" applyFill="1"/>
    <xf numFmtId="0" fontId="13" fillId="0" borderId="0" xfId="1224" applyFont="1"/>
    <xf numFmtId="0" fontId="12" fillId="0" borderId="0" xfId="1224" applyFont="1" applyFill="1"/>
    <xf numFmtId="164" fontId="12" fillId="0" borderId="0" xfId="1224" applyNumberFormat="1" applyFont="1" applyFill="1"/>
    <xf numFmtId="0" fontId="13" fillId="0" borderId="0" xfId="1224" applyFont="1" applyFill="1"/>
    <xf numFmtId="164" fontId="12" fillId="0" borderId="0" xfId="1224" applyNumberFormat="1" applyFont="1"/>
    <xf numFmtId="0" fontId="13" fillId="0" borderId="0" xfId="1224" applyFont="1" applyAlignment="1">
      <alignment horizontal="left" indent="2"/>
    </xf>
    <xf numFmtId="164" fontId="13" fillId="0" borderId="0" xfId="1224" applyNumberFormat="1" applyFont="1"/>
    <xf numFmtId="0" fontId="12" fillId="0" borderId="0" xfId="1224" applyFont="1" applyFill="1" applyAlignment="1">
      <alignment horizontal="center"/>
    </xf>
    <xf numFmtId="14" fontId="12" fillId="0" borderId="0" xfId="1224" applyNumberFormat="1" applyFont="1" applyFill="1" applyAlignment="1">
      <alignment horizontal="center"/>
    </xf>
    <xf numFmtId="43" fontId="12" fillId="0" borderId="0" xfId="802" applyNumberFormat="1" applyFont="1" applyFill="1" applyBorder="1"/>
    <xf numFmtId="43" fontId="10" fillId="0" borderId="0" xfId="802" applyFont="1" applyFill="1"/>
    <xf numFmtId="43" fontId="35" fillId="0" borderId="0" xfId="802" applyFont="1" applyFill="1" applyBorder="1"/>
    <xf numFmtId="164" fontId="12" fillId="0" borderId="0" xfId="809" applyNumberFormat="1" applyFont="1" applyFill="1"/>
    <xf numFmtId="0" fontId="2" fillId="0" borderId="0" xfId="1224"/>
    <xf numFmtId="43" fontId="10" fillId="0" borderId="0" xfId="802" applyFont="1" applyFill="1" applyBorder="1"/>
    <xf numFmtId="43" fontId="10" fillId="0" borderId="0" xfId="802" applyNumberFormat="1" applyFont="1" applyFill="1" applyBorder="1"/>
    <xf numFmtId="43" fontId="17" fillId="0" borderId="0" xfId="802" applyFont="1" applyFill="1" applyBorder="1"/>
    <xf numFmtId="164" fontId="13" fillId="0" borderId="0" xfId="0" applyNumberFormat="1" applyFont="1"/>
    <xf numFmtId="0" fontId="13" fillId="0" borderId="0" xfId="0" applyFont="1" applyFill="1" applyAlignment="1">
      <alignment horizontal="right"/>
    </xf>
    <xf numFmtId="164" fontId="13" fillId="0" borderId="6" xfId="0" applyNumberFormat="1" applyFont="1" applyFill="1" applyBorder="1"/>
    <xf numFmtId="43" fontId="17" fillId="0" borderId="0" xfId="0" applyNumberFormat="1" applyFont="1" applyFill="1" applyBorder="1"/>
    <xf numFmtId="10" fontId="10" fillId="0" borderId="0" xfId="0" applyNumberFormat="1" applyFont="1" applyFill="1" applyBorder="1"/>
    <xf numFmtId="43" fontId="12" fillId="0" borderId="0" xfId="0" applyNumberFormat="1" applyFont="1" applyFill="1" applyBorder="1"/>
    <xf numFmtId="43" fontId="12" fillId="0" borderId="0" xfId="0" applyNumberFormat="1" applyFont="1"/>
    <xf numFmtId="43" fontId="12" fillId="0" borderId="0" xfId="0" applyNumberFormat="1" applyFont="1" applyFill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12" fillId="0" borderId="0" xfId="1224" applyFont="1"/>
    <xf numFmtId="0" fontId="0" fillId="0" borderId="0" xfId="0" applyAlignment="1"/>
    <xf numFmtId="0" fontId="41" fillId="0" borderId="0" xfId="0" applyFont="1"/>
    <xf numFmtId="0" fontId="22" fillId="0" borderId="0" xfId="0" applyFont="1"/>
    <xf numFmtId="0" fontId="0" fillId="0" borderId="0" xfId="0" applyFont="1"/>
    <xf numFmtId="0" fontId="43" fillId="0" borderId="0" xfId="0" applyFont="1"/>
    <xf numFmtId="164" fontId="21" fillId="0" borderId="0" xfId="786" applyNumberFormat="1" applyFont="1"/>
    <xf numFmtId="0" fontId="0" fillId="0" borderId="0" xfId="0" applyAlignment="1">
      <alignment horizontal="left" indent="1"/>
    </xf>
    <xf numFmtId="164" fontId="0" fillId="0" borderId="0" xfId="0" applyNumberFormat="1" applyBorder="1"/>
    <xf numFmtId="164" fontId="21" fillId="0" borderId="21" xfId="786" applyNumberFormat="1" applyFont="1" applyBorder="1"/>
    <xf numFmtId="164" fontId="21" fillId="0" borderId="0" xfId="786" applyNumberFormat="1" applyFont="1" applyBorder="1"/>
    <xf numFmtId="164" fontId="22" fillId="0" borderId="21" xfId="0" applyNumberFormat="1" applyFont="1" applyBorder="1"/>
    <xf numFmtId="164" fontId="22" fillId="0" borderId="0" xfId="0" applyNumberFormat="1" applyFont="1"/>
    <xf numFmtId="164" fontId="22" fillId="0" borderId="0" xfId="0" applyNumberFormat="1" applyFont="1" applyBorder="1"/>
    <xf numFmtId="164" fontId="0" fillId="0" borderId="0" xfId="0" applyNumberFormat="1" applyFont="1" applyBorder="1"/>
    <xf numFmtId="164" fontId="0" fillId="0" borderId="0" xfId="0" applyNumberFormat="1" applyFont="1"/>
    <xf numFmtId="0" fontId="13" fillId="0" borderId="0" xfId="1224" applyFont="1" applyAlignment="1"/>
    <xf numFmtId="164" fontId="48" fillId="0" borderId="0" xfId="771" applyNumberFormat="1" applyFont="1"/>
    <xf numFmtId="164" fontId="36" fillId="0" borderId="0" xfId="771" applyNumberFormat="1" applyFont="1" applyFill="1" applyBorder="1"/>
    <xf numFmtId="164" fontId="36" fillId="0" borderId="0" xfId="771" applyNumberFormat="1" applyFont="1" applyBorder="1"/>
    <xf numFmtId="164" fontId="36" fillId="0" borderId="0" xfId="771" applyNumberFormat="1" applyFont="1" applyFill="1"/>
    <xf numFmtId="164" fontId="37" fillId="0" borderId="0" xfId="771" applyNumberFormat="1" applyFont="1" applyBorder="1"/>
    <xf numFmtId="164" fontId="36" fillId="0" borderId="0" xfId="771" applyNumberFormat="1" applyFont="1"/>
    <xf numFmtId="164" fontId="37" fillId="0" borderId="0" xfId="771" applyNumberFormat="1" applyFont="1"/>
    <xf numFmtId="164" fontId="37" fillId="0" borderId="22" xfId="771" applyNumberFormat="1" applyFont="1" applyBorder="1"/>
    <xf numFmtId="0" fontId="0" fillId="0" borderId="0" xfId="0"/>
    <xf numFmtId="0" fontId="37" fillId="0" borderId="0" xfId="1216" applyFont="1"/>
    <xf numFmtId="0" fontId="37" fillId="0" borderId="1" xfId="1216" applyFont="1" applyBorder="1" applyAlignment="1">
      <alignment horizontal="center"/>
    </xf>
    <xf numFmtId="0" fontId="37" fillId="0" borderId="15" xfId="1216" applyFont="1" applyBorder="1" applyAlignment="1">
      <alignment horizontal="center"/>
    </xf>
    <xf numFmtId="0" fontId="37" fillId="0" borderId="7" xfId="1216" applyFont="1" applyBorder="1"/>
    <xf numFmtId="0" fontId="37" fillId="0" borderId="7" xfId="1216" applyFont="1" applyBorder="1" applyAlignment="1">
      <alignment horizontal="center"/>
    </xf>
    <xf numFmtId="0" fontId="37" fillId="0" borderId="0" xfId="1216" applyFont="1" applyBorder="1"/>
    <xf numFmtId="0" fontId="37" fillId="0" borderId="18" xfId="1216" applyFont="1" applyBorder="1" applyAlignment="1">
      <alignment horizontal="centerContinuous"/>
    </xf>
    <xf numFmtId="0" fontId="37" fillId="0" borderId="5" xfId="1216" applyFont="1" applyBorder="1"/>
    <xf numFmtId="0" fontId="37" fillId="0" borderId="18" xfId="1216" applyFont="1" applyBorder="1" applyAlignment="1">
      <alignment horizontal="center"/>
    </xf>
    <xf numFmtId="0" fontId="37" fillId="0" borderId="5" xfId="1216" applyFont="1" applyBorder="1" applyAlignment="1">
      <alignment horizontal="center"/>
    </xf>
    <xf numFmtId="0" fontId="37" fillId="0" borderId="3" xfId="1216" applyFont="1" applyBorder="1" applyAlignment="1">
      <alignment horizontal="center"/>
    </xf>
    <xf numFmtId="0" fontId="36" fillId="0" borderId="1" xfId="1216" applyFont="1" applyFill="1" applyBorder="1"/>
    <xf numFmtId="0" fontId="36" fillId="0" borderId="6" xfId="1216" applyFont="1" applyFill="1" applyBorder="1"/>
    <xf numFmtId="164" fontId="36" fillId="0" borderId="1" xfId="828" applyNumberFormat="1" applyFont="1" applyFill="1" applyBorder="1"/>
    <xf numFmtId="164" fontId="36" fillId="0" borderId="15" xfId="828" applyNumberFormat="1" applyFont="1" applyFill="1" applyBorder="1"/>
    <xf numFmtId="164" fontId="36" fillId="0" borderId="6" xfId="828" applyNumberFormat="1" applyFont="1" applyFill="1" applyBorder="1"/>
    <xf numFmtId="164" fontId="36" fillId="0" borderId="0" xfId="772" applyNumberFormat="1" applyFont="1" applyFill="1"/>
    <xf numFmtId="164" fontId="36" fillId="0" borderId="0" xfId="1216" applyNumberFormat="1" applyFont="1" applyFill="1"/>
    <xf numFmtId="0" fontId="36" fillId="0" borderId="0" xfId="1216" applyFont="1" applyFill="1"/>
    <xf numFmtId="0" fontId="36" fillId="0" borderId="2" xfId="1216" applyFont="1" applyFill="1" applyBorder="1"/>
    <xf numFmtId="0" fontId="36" fillId="0" borderId="0" xfId="1216" applyFont="1" applyFill="1" applyBorder="1"/>
    <xf numFmtId="164" fontId="36" fillId="0" borderId="2" xfId="828" applyNumberFormat="1" applyFont="1" applyFill="1" applyBorder="1"/>
    <xf numFmtId="164" fontId="36" fillId="0" borderId="11" xfId="828" applyNumberFormat="1" applyFont="1" applyFill="1" applyBorder="1"/>
    <xf numFmtId="164" fontId="36" fillId="0" borderId="0" xfId="828" applyNumberFormat="1" applyFont="1" applyFill="1" applyBorder="1"/>
    <xf numFmtId="0" fontId="36" fillId="0" borderId="23" xfId="1216" applyFont="1" applyBorder="1" applyAlignment="1">
      <alignment horizontal="centerContinuous"/>
    </xf>
    <xf numFmtId="164" fontId="36" fillId="0" borderId="23" xfId="828" applyNumberFormat="1" applyFont="1" applyBorder="1"/>
    <xf numFmtId="164" fontId="36" fillId="0" borderId="0" xfId="772" applyNumberFormat="1" applyFont="1"/>
    <xf numFmtId="0" fontId="36" fillId="0" borderId="11" xfId="1216" applyFont="1" applyFill="1" applyBorder="1"/>
    <xf numFmtId="0" fontId="36" fillId="0" borderId="0" xfId="1216" applyFont="1" applyBorder="1" applyAlignment="1">
      <alignment horizontal="centerContinuous"/>
    </xf>
    <xf numFmtId="164" fontId="36" fillId="0" borderId="0" xfId="828" applyNumberFormat="1" applyFont="1" applyBorder="1"/>
    <xf numFmtId="0" fontId="36" fillId="0" borderId="12" xfId="1216" applyFont="1" applyFill="1" applyBorder="1"/>
    <xf numFmtId="0" fontId="37" fillId="0" borderId="15" xfId="1216" applyFont="1" applyFill="1" applyBorder="1" applyAlignment="1">
      <alignment horizontal="centerContinuous"/>
    </xf>
    <xf numFmtId="164" fontId="36" fillId="0" borderId="2" xfId="1216" applyNumberFormat="1" applyFont="1" applyFill="1" applyBorder="1"/>
    <xf numFmtId="164" fontId="36" fillId="0" borderId="12" xfId="828" applyNumberFormat="1" applyFont="1" applyFill="1" applyBorder="1"/>
    <xf numFmtId="0" fontId="36" fillId="0" borderId="12" xfId="1216" applyFont="1" applyFill="1" applyBorder="1" applyAlignment="1">
      <alignment horizontal="centerContinuous"/>
    </xf>
    <xf numFmtId="0" fontId="36" fillId="0" borderId="11" xfId="1216" applyFont="1" applyFill="1" applyBorder="1" applyAlignment="1">
      <alignment horizontal="centerContinuous"/>
    </xf>
    <xf numFmtId="0" fontId="36" fillId="0" borderId="0" xfId="1216" applyFont="1" applyFill="1" applyBorder="1" applyAlignment="1">
      <alignment horizontal="centerContinuous"/>
    </xf>
    <xf numFmtId="164" fontId="36" fillId="0" borderId="0" xfId="1216" applyNumberFormat="1" applyFont="1" applyFill="1" applyBorder="1"/>
    <xf numFmtId="164" fontId="36" fillId="0" borderId="12" xfId="1216" applyNumberFormat="1" applyFont="1" applyFill="1" applyBorder="1"/>
    <xf numFmtId="0" fontId="36" fillId="0" borderId="11" xfId="1216" applyFont="1" applyFill="1" applyBorder="1" applyAlignment="1">
      <alignment horizontal="left"/>
    </xf>
    <xf numFmtId="164" fontId="36" fillId="0" borderId="3" xfId="1216" applyNumberFormat="1" applyFont="1" applyFill="1" applyBorder="1"/>
    <xf numFmtId="0" fontId="36" fillId="0" borderId="24" xfId="1216" applyFont="1" applyFill="1" applyBorder="1"/>
    <xf numFmtId="0" fontId="37" fillId="0" borderId="22" xfId="1216" applyFont="1" applyBorder="1" applyAlignment="1">
      <alignment horizontal="centerContinuous"/>
    </xf>
    <xf numFmtId="0" fontId="36" fillId="0" borderId="0" xfId="1216" applyFont="1" applyBorder="1"/>
    <xf numFmtId="9" fontId="36" fillId="0" borderId="0" xfId="1387" applyNumberFormat="1" applyFont="1" applyBorder="1"/>
    <xf numFmtId="43" fontId="36" fillId="0" borderId="0" xfId="828" applyFont="1" applyBorder="1"/>
    <xf numFmtId="164" fontId="36" fillId="0" borderId="0" xfId="1216" applyNumberFormat="1" applyFont="1"/>
    <xf numFmtId="8" fontId="36" fillId="0" borderId="0" xfId="1216" applyNumberFormat="1" applyFont="1"/>
    <xf numFmtId="164" fontId="36" fillId="0" borderId="0" xfId="828" applyNumberFormat="1" applyFont="1"/>
    <xf numFmtId="0" fontId="42" fillId="0" borderId="11" xfId="0" quotePrefix="1" applyFont="1" applyBorder="1" applyAlignment="1">
      <alignment horizontal="left"/>
    </xf>
    <xf numFmtId="0" fontId="42" fillId="0" borderId="0" xfId="0" quotePrefix="1" applyFont="1" applyBorder="1" applyAlignment="1">
      <alignment horizontal="left"/>
    </xf>
    <xf numFmtId="164" fontId="0" fillId="0" borderId="0" xfId="0" applyNumberFormat="1"/>
    <xf numFmtId="164" fontId="0" fillId="0" borderId="21" xfId="0" applyNumberForma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9" fillId="0" borderId="0" xfId="1216" applyFont="1" applyBorder="1" applyAlignment="1">
      <alignment horizontal="left"/>
    </xf>
    <xf numFmtId="165" fontId="25" fillId="0" borderId="10" xfId="1411" applyNumberFormat="1" applyFont="1" applyFill="1" applyBorder="1" applyAlignment="1" applyProtection="1">
      <alignment horizontal="right"/>
    </xf>
    <xf numFmtId="164" fontId="27" fillId="0" borderId="9" xfId="771" applyNumberFormat="1" applyFont="1" applyFill="1" applyBorder="1" applyAlignment="1" applyProtection="1">
      <alignment horizontal="right"/>
    </xf>
    <xf numFmtId="0" fontId="33" fillId="0" borderId="8" xfId="0" quotePrefix="1" applyFont="1" applyFill="1" applyBorder="1" applyAlignment="1">
      <alignment horizontal="center"/>
    </xf>
    <xf numFmtId="0" fontId="0" fillId="0" borderId="0" xfId="0"/>
    <xf numFmtId="43" fontId="48" fillId="0" borderId="0" xfId="775" applyFont="1"/>
    <xf numFmtId="0" fontId="0" fillId="0" borderId="0" xfId="0"/>
    <xf numFmtId="43" fontId="48" fillId="0" borderId="0" xfId="775" applyFont="1"/>
    <xf numFmtId="0" fontId="36" fillId="0" borderId="0" xfId="1216" applyFont="1" applyFill="1" applyBorder="1" applyAlignment="1">
      <alignment horizontal="left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Border="1" applyAlignment="1">
      <alignment horizontal="right"/>
    </xf>
    <xf numFmtId="0" fontId="26" fillId="0" borderId="27" xfId="0" applyFont="1" applyBorder="1" applyAlignment="1">
      <alignment horizontal="center"/>
    </xf>
    <xf numFmtId="43" fontId="12" fillId="0" borderId="0" xfId="803" applyFont="1"/>
    <xf numFmtId="43" fontId="13" fillId="0" borderId="0" xfId="803" applyFont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164" fontId="12" fillId="0" borderId="0" xfId="803" applyNumberFormat="1" applyFont="1" applyFill="1" applyBorder="1"/>
    <xf numFmtId="43" fontId="12" fillId="0" borderId="0" xfId="803" applyFont="1" applyFill="1"/>
    <xf numFmtId="0" fontId="12" fillId="0" borderId="15" xfId="0" applyFont="1" applyFill="1" applyBorder="1" applyAlignment="1"/>
    <xf numFmtId="164" fontId="12" fillId="0" borderId="11" xfId="803" applyNumberFormat="1" applyFont="1" applyFill="1" applyBorder="1"/>
    <xf numFmtId="166" fontId="12" fillId="0" borderId="0" xfId="0" applyNumberFormat="1" applyFont="1" applyFill="1" applyBorder="1"/>
    <xf numFmtId="167" fontId="12" fillId="0" borderId="0" xfId="1377" applyNumberFormat="1" applyFont="1" applyFill="1" applyBorder="1"/>
    <xf numFmtId="164" fontId="12" fillId="0" borderId="4" xfId="803" applyNumberFormat="1" applyFont="1" applyFill="1" applyBorder="1"/>
    <xf numFmtId="43" fontId="12" fillId="0" borderId="0" xfId="803" applyFont="1" applyFill="1" applyBorder="1"/>
    <xf numFmtId="164" fontId="12" fillId="0" borderId="0" xfId="803" applyNumberFormat="1" applyFont="1" applyFill="1"/>
    <xf numFmtId="0" fontId="17" fillId="43" borderId="0" xfId="0" applyFont="1" applyFill="1"/>
    <xf numFmtId="0" fontId="10" fillId="43" borderId="0" xfId="0" applyFont="1" applyFill="1"/>
    <xf numFmtId="164" fontId="12" fillId="0" borderId="0" xfId="0" applyNumberFormat="1" applyFont="1"/>
    <xf numFmtId="0" fontId="13" fillId="0" borderId="0" xfId="0" applyFont="1" applyAlignment="1">
      <alignment horizontal="left" indent="2"/>
    </xf>
    <xf numFmtId="0" fontId="8" fillId="0" borderId="0" xfId="0" applyFont="1"/>
    <xf numFmtId="0" fontId="12" fillId="0" borderId="15" xfId="0" applyFont="1" applyFill="1" applyBorder="1"/>
    <xf numFmtId="43" fontId="65" fillId="43" borderId="0" xfId="802" applyNumberFormat="1" applyFont="1" applyFill="1"/>
    <xf numFmtId="14" fontId="12" fillId="0" borderId="18" xfId="0" quotePrefix="1" applyNumberFormat="1" applyFont="1" applyFill="1" applyBorder="1"/>
    <xf numFmtId="14" fontId="12" fillId="0" borderId="4" xfId="0" applyNumberFormat="1" applyFont="1" applyFill="1" applyBorder="1"/>
    <xf numFmtId="0" fontId="44" fillId="0" borderId="0" xfId="0" applyFont="1" applyBorder="1"/>
    <xf numFmtId="0" fontId="22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0" borderId="4" xfId="0" applyNumberFormat="1" applyFont="1" applyBorder="1"/>
    <xf numFmtId="0" fontId="63" fillId="0" borderId="0" xfId="0" applyFont="1" applyBorder="1"/>
    <xf numFmtId="164" fontId="63" fillId="0" borderId="0" xfId="0" applyNumberFormat="1" applyFont="1" applyBorder="1"/>
    <xf numFmtId="164" fontId="1" fillId="0" borderId="4" xfId="0" applyNumberFormat="1" applyFont="1" applyBorder="1"/>
    <xf numFmtId="0" fontId="45" fillId="0" borderId="0" xfId="1224" applyFont="1" applyFill="1" applyAlignment="1"/>
    <xf numFmtId="0" fontId="0" fillId="44" borderId="0" xfId="0" applyFill="1"/>
    <xf numFmtId="43" fontId="48" fillId="0" borderId="0" xfId="771" applyFont="1" applyFill="1"/>
    <xf numFmtId="0" fontId="22" fillId="0" borderId="4" xfId="0" applyFont="1" applyBorder="1" applyAlignment="1">
      <alignment horizontal="center"/>
    </xf>
    <xf numFmtId="43" fontId="0" fillId="0" borderId="0" xfId="0" applyNumberFormat="1" applyFill="1"/>
    <xf numFmtId="164" fontId="21" fillId="0" borderId="0" xfId="786" applyNumberFormat="1" applyFont="1" applyFill="1"/>
    <xf numFmtId="164" fontId="8" fillId="0" borderId="0" xfId="772" quotePrefix="1" applyNumberFormat="1" applyFont="1" applyFill="1" applyAlignment="1">
      <alignment horizontal="left"/>
    </xf>
    <xf numFmtId="43" fontId="66" fillId="0" borderId="0" xfId="771" applyFont="1" applyAlignment="1">
      <alignment horizontal="center"/>
    </xf>
    <xf numFmtId="43" fontId="22" fillId="0" borderId="4" xfId="786" applyFont="1" applyBorder="1" applyAlignment="1">
      <alignment horizontal="center"/>
    </xf>
    <xf numFmtId="43" fontId="48" fillId="0" borderId="0" xfId="771" applyFont="1"/>
    <xf numFmtId="43" fontId="48" fillId="0" borderId="0" xfId="775" applyFont="1" applyFill="1"/>
    <xf numFmtId="43" fontId="63" fillId="0" borderId="6" xfId="0" applyNumberFormat="1" applyFont="1" applyBorder="1"/>
    <xf numFmtId="43" fontId="0" fillId="0" borderId="0" xfId="0" applyNumberFormat="1"/>
    <xf numFmtId="0" fontId="0" fillId="0" borderId="0" xfId="0"/>
    <xf numFmtId="43" fontId="48" fillId="0" borderId="0" xfId="804" applyFont="1"/>
    <xf numFmtId="0" fontId="0" fillId="0" borderId="0" xfId="0" applyFill="1" applyAlignment="1">
      <alignment horizontal="right"/>
    </xf>
    <xf numFmtId="43" fontId="63" fillId="0" borderId="21" xfId="0" applyNumberFormat="1" applyFont="1" applyFill="1" applyBorder="1"/>
    <xf numFmtId="43" fontId="63" fillId="0" borderId="21" xfId="0" applyNumberFormat="1" applyFont="1" applyBorder="1"/>
    <xf numFmtId="43" fontId="48" fillId="0" borderId="0" xfId="804" applyFont="1" applyBorder="1"/>
    <xf numFmtId="43" fontId="46" fillId="0" borderId="0" xfId="786" applyFont="1" applyFill="1" applyBorder="1" applyAlignment="1">
      <alignment horizontal="center"/>
    </xf>
    <xf numFmtId="43" fontId="0" fillId="45" borderId="0" xfId="0" applyNumberFormat="1" applyFill="1"/>
    <xf numFmtId="0" fontId="67" fillId="0" borderId="0" xfId="0" applyFont="1"/>
    <xf numFmtId="0" fontId="25" fillId="0" borderId="8" xfId="0" quotePrefix="1" applyFont="1" applyBorder="1" applyAlignment="1">
      <alignment horizontal="left"/>
    </xf>
    <xf numFmtId="0" fontId="1" fillId="0" borderId="8" xfId="0" quotePrefix="1" applyFont="1" applyBorder="1" applyAlignment="1">
      <alignment horizontal="center"/>
    </xf>
    <xf numFmtId="164" fontId="1" fillId="0" borderId="8" xfId="979" applyNumberFormat="1" applyFont="1" applyBorder="1" applyAlignment="1">
      <alignment horizontal="center"/>
    </xf>
    <xf numFmtId="164" fontId="1" fillId="0" borderId="8" xfId="981" applyNumberFormat="1" applyFont="1" applyFill="1" applyBorder="1" applyAlignment="1">
      <alignment horizontal="center"/>
    </xf>
    <xf numFmtId="164" fontId="1" fillId="0" borderId="8" xfId="981" applyNumberFormat="1" applyFont="1" applyFill="1" applyBorder="1" applyAlignment="1">
      <alignment horizontal="right"/>
    </xf>
    <xf numFmtId="165" fontId="1" fillId="0" borderId="8" xfId="1412" applyNumberFormat="1" applyFont="1" applyBorder="1" applyAlignment="1" applyProtection="1">
      <alignment horizontal="center"/>
    </xf>
    <xf numFmtId="164" fontId="1" fillId="0" borderId="8" xfId="981" applyNumberFormat="1" applyFont="1" applyBorder="1" applyAlignment="1">
      <alignment horizontal="center"/>
    </xf>
    <xf numFmtId="0" fontId="0" fillId="0" borderId="0" xfId="0"/>
    <xf numFmtId="0" fontId="0" fillId="0" borderId="0" xfId="0" applyFill="1"/>
    <xf numFmtId="164" fontId="0" fillId="0" borderId="0" xfId="0" applyNumberFormat="1"/>
    <xf numFmtId="43" fontId="48" fillId="0" borderId="0" xfId="771" applyFont="1"/>
    <xf numFmtId="0" fontId="0" fillId="0" borderId="0" xfId="0"/>
    <xf numFmtId="43" fontId="48" fillId="0" borderId="0" xfId="804" applyFont="1"/>
    <xf numFmtId="0" fontId="10" fillId="43" borderId="0" xfId="0" applyFont="1" applyFill="1" applyBorder="1"/>
    <xf numFmtId="0" fontId="17" fillId="43" borderId="0" xfId="0" applyFont="1" applyFill="1" applyBorder="1"/>
    <xf numFmtId="43" fontId="35" fillId="43" borderId="0" xfId="802" applyFont="1" applyFill="1" applyBorder="1"/>
    <xf numFmtId="43" fontId="35" fillId="43" borderId="0" xfId="802" applyFont="1" applyFill="1"/>
    <xf numFmtId="43" fontId="48" fillId="0" borderId="0" xfId="804" applyFont="1" applyBorder="1"/>
    <xf numFmtId="164" fontId="36" fillId="0" borderId="7" xfId="828" applyNumberFormat="1" applyFont="1" applyBorder="1"/>
    <xf numFmtId="164" fontId="36" fillId="0" borderId="5" xfId="828" applyNumberFormat="1" applyFont="1" applyFill="1" applyBorder="1"/>
    <xf numFmtId="164" fontId="21" fillId="0" borderId="0" xfId="786" applyNumberFormat="1" applyFont="1" applyFill="1" applyBorder="1"/>
    <xf numFmtId="43" fontId="17" fillId="43" borderId="0" xfId="802" applyNumberFormat="1" applyFont="1" applyFill="1"/>
    <xf numFmtId="43" fontId="17" fillId="43" borderId="0" xfId="802" applyNumberFormat="1" applyFont="1" applyFill="1"/>
    <xf numFmtId="43" fontId="17" fillId="43" borderId="0" xfId="802" applyFont="1" applyFill="1"/>
    <xf numFmtId="43" fontId="17" fillId="43" borderId="0" xfId="802" applyNumberFormat="1" applyFont="1" applyFill="1"/>
    <xf numFmtId="164" fontId="12" fillId="0" borderId="6" xfId="1229" applyNumberFormat="1" applyFont="1" applyFill="1" applyBorder="1"/>
    <xf numFmtId="0" fontId="12" fillId="0" borderId="0" xfId="1229" applyFont="1" applyFill="1" applyBorder="1"/>
    <xf numFmtId="43" fontId="10" fillId="43" borderId="0" xfId="802" applyFont="1" applyFill="1"/>
    <xf numFmtId="43" fontId="21" fillId="0" borderId="0" xfId="772" applyFont="1" applyBorder="1"/>
    <xf numFmtId="164" fontId="21" fillId="0" borderId="0" xfId="772" applyNumberFormat="1" applyFont="1" applyBorder="1"/>
    <xf numFmtId="0" fontId="12" fillId="0" borderId="0" xfId="1216" applyFont="1" applyBorder="1"/>
    <xf numFmtId="164" fontId="12" fillId="0" borderId="0" xfId="1216" applyNumberFormat="1" applyFont="1" applyBorder="1"/>
    <xf numFmtId="0" fontId="0" fillId="46" borderId="0" xfId="0" applyFill="1"/>
    <xf numFmtId="0" fontId="0" fillId="47" borderId="0" xfId="0" applyFill="1"/>
    <xf numFmtId="0" fontId="12" fillId="0" borderId="0" xfId="1229" applyFont="1" applyFill="1"/>
    <xf numFmtId="0" fontId="12" fillId="0" borderId="4" xfId="1229" applyFont="1" applyFill="1" applyBorder="1"/>
    <xf numFmtId="43" fontId="12" fillId="0" borderId="6" xfId="802" applyNumberFormat="1" applyFont="1" applyFill="1" applyBorder="1"/>
    <xf numFmtId="43" fontId="12" fillId="0" borderId="4" xfId="802" applyNumberFormat="1" applyFont="1" applyFill="1" applyBorder="1"/>
    <xf numFmtId="0" fontId="27" fillId="48" borderId="8" xfId="0" quotePrefix="1" applyFont="1" applyFill="1" applyBorder="1" applyAlignment="1">
      <alignment horizontal="left"/>
    </xf>
    <xf numFmtId="0" fontId="33" fillId="48" borderId="8" xfId="0" quotePrefix="1" applyFont="1" applyFill="1" applyBorder="1" applyAlignment="1">
      <alignment horizontal="center"/>
    </xf>
    <xf numFmtId="164" fontId="27" fillId="48" borderId="9" xfId="979" applyNumberFormat="1" applyFont="1" applyFill="1" applyBorder="1" applyAlignment="1">
      <alignment horizontal="right"/>
    </xf>
    <xf numFmtId="164" fontId="27" fillId="48" borderId="9" xfId="771" applyNumberFormat="1" applyFont="1" applyFill="1" applyBorder="1" applyAlignment="1" applyProtection="1">
      <alignment horizontal="right"/>
    </xf>
    <xf numFmtId="165" fontId="25" fillId="48" borderId="10" xfId="1411" applyNumberFormat="1" applyFont="1" applyFill="1" applyBorder="1" applyAlignment="1" applyProtection="1">
      <alignment horizontal="right"/>
    </xf>
    <xf numFmtId="43" fontId="14" fillId="0" borderId="0" xfId="0" applyNumberFormat="1" applyFont="1" applyFill="1"/>
    <xf numFmtId="164" fontId="12" fillId="0" borderId="0" xfId="771" applyNumberFormat="1" applyFont="1" applyFill="1"/>
    <xf numFmtId="164" fontId="14" fillId="0" borderId="0" xfId="771" applyNumberFormat="1" applyFont="1" applyFill="1"/>
    <xf numFmtId="164" fontId="12" fillId="0" borderId="4" xfId="771" applyNumberFormat="1" applyFont="1" applyFill="1" applyBorder="1"/>
    <xf numFmtId="0" fontId="23" fillId="45" borderId="0" xfId="0" applyFont="1" applyFill="1" applyAlignment="1">
      <alignment horizontal="center"/>
    </xf>
    <xf numFmtId="0" fontId="41" fillId="0" borderId="0" xfId="0" applyFont="1" applyAlignment="1">
      <alignment vertical="top" wrapText="1"/>
    </xf>
    <xf numFmtId="0" fontId="41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top"/>
    </xf>
    <xf numFmtId="0" fontId="41" fillId="0" borderId="0" xfId="0" applyFont="1" applyFill="1"/>
    <xf numFmtId="43" fontId="48" fillId="47" borderId="0" xfId="771" applyFont="1" applyFill="1"/>
    <xf numFmtId="43" fontId="48" fillId="46" borderId="0" xfId="771" applyFont="1" applyFill="1"/>
    <xf numFmtId="43" fontId="47" fillId="0" borderId="21" xfId="0" applyNumberFormat="1" applyFont="1" applyFill="1" applyBorder="1" applyAlignment="1">
      <alignment vertical="top" wrapText="1"/>
    </xf>
    <xf numFmtId="0" fontId="0" fillId="49" borderId="0" xfId="0" applyFill="1" applyAlignment="1">
      <alignment horizontal="right"/>
    </xf>
    <xf numFmtId="43" fontId="0" fillId="49" borderId="0" xfId="0" applyNumberFormat="1" applyFill="1"/>
    <xf numFmtId="0" fontId="0" fillId="49" borderId="0" xfId="0" applyFill="1"/>
    <xf numFmtId="164" fontId="27" fillId="48" borderId="19" xfId="979" applyNumberFormat="1" applyFont="1" applyFill="1" applyBorder="1" applyAlignment="1">
      <alignment horizontal="right"/>
    </xf>
    <xf numFmtId="164" fontId="27" fillId="0" borderId="19" xfId="979" applyNumberFormat="1" applyFont="1" applyFill="1" applyBorder="1" applyAlignment="1">
      <alignment horizontal="right"/>
    </xf>
    <xf numFmtId="164" fontId="21" fillId="48" borderId="8" xfId="979" applyNumberFormat="1" applyFont="1" applyFill="1" applyBorder="1" applyAlignment="1">
      <alignment horizontal="center"/>
    </xf>
    <xf numFmtId="165" fontId="25" fillId="48" borderId="10" xfId="1411" applyNumberFormat="1" applyFont="1" applyFill="1" applyBorder="1" applyAlignment="1" applyProtection="1">
      <alignment horizontal="right"/>
      <protection locked="0"/>
    </xf>
    <xf numFmtId="164" fontId="48" fillId="0" borderId="0" xfId="771" applyNumberFormat="1" applyFont="1"/>
    <xf numFmtId="0" fontId="37" fillId="0" borderId="15" xfId="1216" applyFont="1" applyBorder="1"/>
    <xf numFmtId="0" fontId="37" fillId="0" borderId="15" xfId="1216" applyFont="1" applyBorder="1" applyAlignment="1">
      <alignment horizontal="centerContinuous"/>
    </xf>
    <xf numFmtId="0" fontId="37" fillId="0" borderId="7" xfId="1216" applyFont="1" applyBorder="1" applyAlignment="1">
      <alignment horizontal="centerContinuous"/>
    </xf>
    <xf numFmtId="0" fontId="37" fillId="0" borderId="1" xfId="1216" applyFont="1" applyBorder="1" applyAlignment="1">
      <alignment horizontal="centerContinuous"/>
    </xf>
    <xf numFmtId="164" fontId="0" fillId="0" borderId="4" xfId="0" applyNumberFormat="1" applyBorder="1"/>
    <xf numFmtId="0" fontId="37" fillId="0" borderId="0" xfId="1216" applyFont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1224" applyFont="1" applyAlignment="1">
      <alignment horizontal="center"/>
    </xf>
    <xf numFmtId="0" fontId="68" fillId="45" borderId="0" xfId="0" applyFont="1" applyFill="1" applyAlignment="1">
      <alignment horizontal="center"/>
    </xf>
    <xf numFmtId="0" fontId="63" fillId="50" borderId="4" xfId="0" applyFont="1" applyFill="1" applyBorder="1" applyAlignment="1">
      <alignment horizontal="center"/>
    </xf>
    <xf numFmtId="0" fontId="63" fillId="51" borderId="0" xfId="0" applyFont="1" applyFill="1" applyAlignment="1">
      <alignment horizontal="center"/>
    </xf>
  </cellXfs>
  <cellStyles count="1487">
    <cellStyle name="20% - Accent1" xfId="1" builtinId="30" customBuiltin="1"/>
    <cellStyle name="20% - Accent1 10" xfId="2"/>
    <cellStyle name="20% - Accent1 11" xfId="3"/>
    <cellStyle name="20% - Accent1 2" xfId="4"/>
    <cellStyle name="20% - Accent1 2 2" xfId="5"/>
    <cellStyle name="20% - Accent1 2 2 2" xfId="6"/>
    <cellStyle name="20% - Accent1 2 2 3" xfId="7"/>
    <cellStyle name="20% - Accent1 2 2 4" xfId="8"/>
    <cellStyle name="20% - Accent1 2 3" xfId="9"/>
    <cellStyle name="20% - Accent1 2 3 2" xfId="10"/>
    <cellStyle name="20% - Accent1 2 4" xfId="11"/>
    <cellStyle name="20% - Accent1 2 5" xfId="12"/>
    <cellStyle name="20% - Accent1 2 6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4" xfId="20"/>
    <cellStyle name="20% - Accent1 4 2" xfId="21"/>
    <cellStyle name="20% - Accent1 4 2 2" xfId="22"/>
    <cellStyle name="20% - Accent1 4 3" xfId="23"/>
    <cellStyle name="20% - Accent1 4 3 2" xfId="24"/>
    <cellStyle name="20% - Accent1 4 4" xfId="25"/>
    <cellStyle name="20% - Accent1 5" xfId="26"/>
    <cellStyle name="20% - Accent1 5 2" xfId="27"/>
    <cellStyle name="20% - Accent1 5 2 2" xfId="28"/>
    <cellStyle name="20% - Accent1 5 3" xfId="29"/>
    <cellStyle name="20% - Accent1 5 3 2" xfId="30"/>
    <cellStyle name="20% - Accent1 5 4" xfId="31"/>
    <cellStyle name="20% - Accent1 6" xfId="32"/>
    <cellStyle name="20% - Accent1 6 2" xfId="33"/>
    <cellStyle name="20% - Accent1 6 2 2" xfId="34"/>
    <cellStyle name="20% - Accent1 6 3" xfId="35"/>
    <cellStyle name="20% - Accent1 6 3 2" xfId="36"/>
    <cellStyle name="20% - Accent1 6 4" xfId="37"/>
    <cellStyle name="20% - Accent1 7" xfId="38"/>
    <cellStyle name="20% - Accent1 7 2" xfId="39"/>
    <cellStyle name="20% - Accent1 7 2 2" xfId="40"/>
    <cellStyle name="20% - Accent1 7 3" xfId="41"/>
    <cellStyle name="20% - Accent1 7 3 2" xfId="42"/>
    <cellStyle name="20% - Accent1 7 4" xfId="43"/>
    <cellStyle name="20% - Accent1 8" xfId="44"/>
    <cellStyle name="20% - Accent1 8 2" xfId="45"/>
    <cellStyle name="20% - Accent1 8 2 2" xfId="46"/>
    <cellStyle name="20% - Accent1 8 3" xfId="47"/>
    <cellStyle name="20% - Accent1 8 3 2" xfId="48"/>
    <cellStyle name="20% - Accent1 8 4" xfId="49"/>
    <cellStyle name="20% - Accent1 9" xfId="50"/>
    <cellStyle name="20% - Accent1 9 2" xfId="51"/>
    <cellStyle name="20% - Accent2" xfId="52" builtinId="34" customBuiltin="1"/>
    <cellStyle name="20% - Accent2 10" xfId="53"/>
    <cellStyle name="20% - Accent2 11" xfId="54"/>
    <cellStyle name="20% - Accent2 2" xfId="55"/>
    <cellStyle name="20% - Accent2 2 2" xfId="56"/>
    <cellStyle name="20% - Accent2 2 2 2" xfId="57"/>
    <cellStyle name="20% - Accent2 2 2 3" xfId="58"/>
    <cellStyle name="20% - Accent2 2 2 4" xfId="59"/>
    <cellStyle name="20% - Accent2 2 3" xfId="60"/>
    <cellStyle name="20% - Accent2 2 3 2" xfId="61"/>
    <cellStyle name="20% - Accent2 2 4" xfId="62"/>
    <cellStyle name="20% - Accent2 2 5" xfId="63"/>
    <cellStyle name="20% - Accent2 2 6" xfId="64"/>
    <cellStyle name="20% - Accent2 3" xfId="65"/>
    <cellStyle name="20% - Accent2 3 2" xfId="66"/>
    <cellStyle name="20% - Accent2 3 2 2" xfId="67"/>
    <cellStyle name="20% - Accent2 3 3" xfId="68"/>
    <cellStyle name="20% - Accent2 3 3 2" xfId="69"/>
    <cellStyle name="20% - Accent2 3 4" xfId="70"/>
    <cellStyle name="20% - Accent2 4" xfId="71"/>
    <cellStyle name="20% - Accent2 4 2" xfId="72"/>
    <cellStyle name="20% - Accent2 4 2 2" xfId="73"/>
    <cellStyle name="20% - Accent2 4 3" xfId="74"/>
    <cellStyle name="20% - Accent2 4 3 2" xfId="75"/>
    <cellStyle name="20% - Accent2 4 4" xfId="76"/>
    <cellStyle name="20% - Accent2 5" xfId="77"/>
    <cellStyle name="20% - Accent2 5 2" xfId="78"/>
    <cellStyle name="20% - Accent2 5 2 2" xfId="79"/>
    <cellStyle name="20% - Accent2 5 3" xfId="80"/>
    <cellStyle name="20% - Accent2 5 3 2" xfId="81"/>
    <cellStyle name="20% - Accent2 5 4" xfId="82"/>
    <cellStyle name="20% - Accent2 6" xfId="83"/>
    <cellStyle name="20% - Accent2 6 2" xfId="84"/>
    <cellStyle name="20% - Accent2 6 2 2" xfId="85"/>
    <cellStyle name="20% - Accent2 6 3" xfId="86"/>
    <cellStyle name="20% - Accent2 6 3 2" xfId="87"/>
    <cellStyle name="20% - Accent2 6 4" xfId="88"/>
    <cellStyle name="20% - Accent2 7" xfId="89"/>
    <cellStyle name="20% - Accent2 7 2" xfId="90"/>
    <cellStyle name="20% - Accent2 7 2 2" xfId="91"/>
    <cellStyle name="20% - Accent2 7 3" xfId="92"/>
    <cellStyle name="20% - Accent2 7 3 2" xfId="93"/>
    <cellStyle name="20% - Accent2 7 4" xfId="94"/>
    <cellStyle name="20% - Accent2 8" xfId="95"/>
    <cellStyle name="20% - Accent2 8 2" xfId="96"/>
    <cellStyle name="20% - Accent2 8 2 2" xfId="97"/>
    <cellStyle name="20% - Accent2 8 3" xfId="98"/>
    <cellStyle name="20% - Accent2 8 3 2" xfId="99"/>
    <cellStyle name="20% - Accent2 8 4" xfId="100"/>
    <cellStyle name="20% - Accent2 9" xfId="101"/>
    <cellStyle name="20% - Accent2 9 2" xfId="102"/>
    <cellStyle name="20% - Accent3" xfId="103" builtinId="38" customBuiltin="1"/>
    <cellStyle name="20% - Accent3 10" xfId="104"/>
    <cellStyle name="20% - Accent3 11" xfId="105"/>
    <cellStyle name="20% - Accent3 2" xfId="106"/>
    <cellStyle name="20% - Accent3 2 2" xfId="107"/>
    <cellStyle name="20% - Accent3 2 2 2" xfId="108"/>
    <cellStyle name="20% - Accent3 2 2 3" xfId="109"/>
    <cellStyle name="20% - Accent3 2 2 4" xfId="110"/>
    <cellStyle name="20% - Accent3 2 3" xfId="111"/>
    <cellStyle name="20% - Accent3 2 3 2" xfId="112"/>
    <cellStyle name="20% - Accent3 2 4" xfId="113"/>
    <cellStyle name="20% - Accent3 2 5" xfId="114"/>
    <cellStyle name="20% - Accent3 2 6" xfId="115"/>
    <cellStyle name="20% - Accent3 3" xfId="116"/>
    <cellStyle name="20% - Accent3 3 2" xfId="117"/>
    <cellStyle name="20% - Accent3 3 2 2" xfId="118"/>
    <cellStyle name="20% - Accent3 3 3" xfId="119"/>
    <cellStyle name="20% - Accent3 3 3 2" xfId="120"/>
    <cellStyle name="20% - Accent3 3 4" xfId="121"/>
    <cellStyle name="20% - Accent3 4" xfId="122"/>
    <cellStyle name="20% - Accent3 4 2" xfId="123"/>
    <cellStyle name="20% - Accent3 4 2 2" xfId="124"/>
    <cellStyle name="20% - Accent3 4 3" xfId="125"/>
    <cellStyle name="20% - Accent3 4 3 2" xfId="126"/>
    <cellStyle name="20% - Accent3 4 4" xfId="127"/>
    <cellStyle name="20% - Accent3 5" xfId="128"/>
    <cellStyle name="20% - Accent3 5 2" xfId="129"/>
    <cellStyle name="20% - Accent3 5 2 2" xfId="130"/>
    <cellStyle name="20% - Accent3 5 3" xfId="131"/>
    <cellStyle name="20% - Accent3 5 3 2" xfId="132"/>
    <cellStyle name="20% - Accent3 5 4" xfId="133"/>
    <cellStyle name="20% - Accent3 6" xfId="134"/>
    <cellStyle name="20% - Accent3 6 2" xfId="135"/>
    <cellStyle name="20% - Accent3 6 2 2" xfId="136"/>
    <cellStyle name="20% - Accent3 6 3" xfId="137"/>
    <cellStyle name="20% - Accent3 6 3 2" xfId="138"/>
    <cellStyle name="20% - Accent3 6 4" xfId="139"/>
    <cellStyle name="20% - Accent3 7" xfId="140"/>
    <cellStyle name="20% - Accent3 7 2" xfId="141"/>
    <cellStyle name="20% - Accent3 7 2 2" xfId="142"/>
    <cellStyle name="20% - Accent3 7 3" xfId="143"/>
    <cellStyle name="20% - Accent3 7 3 2" xfId="144"/>
    <cellStyle name="20% - Accent3 7 4" xfId="145"/>
    <cellStyle name="20% - Accent3 8" xfId="146"/>
    <cellStyle name="20% - Accent3 8 2" xfId="147"/>
    <cellStyle name="20% - Accent3 8 2 2" xfId="148"/>
    <cellStyle name="20% - Accent3 8 3" xfId="149"/>
    <cellStyle name="20% - Accent3 8 3 2" xfId="150"/>
    <cellStyle name="20% - Accent3 8 4" xfId="151"/>
    <cellStyle name="20% - Accent3 9" xfId="152"/>
    <cellStyle name="20% - Accent3 9 2" xfId="153"/>
    <cellStyle name="20% - Accent4" xfId="154" builtinId="42" customBuiltin="1"/>
    <cellStyle name="20% - Accent4 10" xfId="155"/>
    <cellStyle name="20% - Accent4 11" xfId="156"/>
    <cellStyle name="20% - Accent4 2" xfId="157"/>
    <cellStyle name="20% - Accent4 2 2" xfId="158"/>
    <cellStyle name="20% - Accent4 2 2 2" xfId="159"/>
    <cellStyle name="20% - Accent4 2 2 3" xfId="160"/>
    <cellStyle name="20% - Accent4 2 2 4" xfId="161"/>
    <cellStyle name="20% - Accent4 2 3" xfId="162"/>
    <cellStyle name="20% - Accent4 2 3 2" xfId="163"/>
    <cellStyle name="20% - Accent4 2 4" xfId="164"/>
    <cellStyle name="20% - Accent4 2 5" xfId="165"/>
    <cellStyle name="20% - Accent4 2 6" xfId="166"/>
    <cellStyle name="20% - Accent4 3" xfId="167"/>
    <cellStyle name="20% - Accent4 3 2" xfId="168"/>
    <cellStyle name="20% - Accent4 3 2 2" xfId="169"/>
    <cellStyle name="20% - Accent4 3 3" xfId="170"/>
    <cellStyle name="20% - Accent4 3 3 2" xfId="171"/>
    <cellStyle name="20% - Accent4 3 4" xfId="172"/>
    <cellStyle name="20% - Accent4 4" xfId="173"/>
    <cellStyle name="20% - Accent4 4 2" xfId="174"/>
    <cellStyle name="20% - Accent4 4 2 2" xfId="175"/>
    <cellStyle name="20% - Accent4 4 3" xfId="176"/>
    <cellStyle name="20% - Accent4 4 3 2" xfId="177"/>
    <cellStyle name="20% - Accent4 4 4" xfId="178"/>
    <cellStyle name="20% - Accent4 5" xfId="179"/>
    <cellStyle name="20% - Accent4 5 2" xfId="180"/>
    <cellStyle name="20% - Accent4 5 2 2" xfId="181"/>
    <cellStyle name="20% - Accent4 5 3" xfId="182"/>
    <cellStyle name="20% - Accent4 5 3 2" xfId="183"/>
    <cellStyle name="20% - Accent4 5 4" xfId="184"/>
    <cellStyle name="20% - Accent4 6" xfId="185"/>
    <cellStyle name="20% - Accent4 6 2" xfId="186"/>
    <cellStyle name="20% - Accent4 6 2 2" xfId="187"/>
    <cellStyle name="20% - Accent4 6 3" xfId="188"/>
    <cellStyle name="20% - Accent4 6 3 2" xfId="189"/>
    <cellStyle name="20% - Accent4 6 4" xfId="190"/>
    <cellStyle name="20% - Accent4 7" xfId="191"/>
    <cellStyle name="20% - Accent4 7 2" xfId="192"/>
    <cellStyle name="20% - Accent4 7 2 2" xfId="193"/>
    <cellStyle name="20% - Accent4 7 3" xfId="194"/>
    <cellStyle name="20% - Accent4 7 3 2" xfId="195"/>
    <cellStyle name="20% - Accent4 7 4" xfId="196"/>
    <cellStyle name="20% - Accent4 8" xfId="197"/>
    <cellStyle name="20% - Accent4 8 2" xfId="198"/>
    <cellStyle name="20% - Accent4 8 2 2" xfId="199"/>
    <cellStyle name="20% - Accent4 8 3" xfId="200"/>
    <cellStyle name="20% - Accent4 8 3 2" xfId="201"/>
    <cellStyle name="20% - Accent4 8 4" xfId="202"/>
    <cellStyle name="20% - Accent4 9" xfId="203"/>
    <cellStyle name="20% - Accent4 9 2" xfId="204"/>
    <cellStyle name="20% - Accent5" xfId="205" builtinId="46" customBuiltin="1"/>
    <cellStyle name="20% - Accent5 2" xfId="206"/>
    <cellStyle name="20% - Accent5 3" xfId="207"/>
    <cellStyle name="20% - Accent5 4" xfId="208"/>
    <cellStyle name="20% - Accent6" xfId="209" builtinId="50" customBuiltin="1"/>
    <cellStyle name="20% - Accent6 10" xfId="210"/>
    <cellStyle name="20% - Accent6 11" xfId="211"/>
    <cellStyle name="20% - Accent6 2" xfId="212"/>
    <cellStyle name="20% - Accent6 2 2" xfId="213"/>
    <cellStyle name="20% - Accent6 2 3" xfId="214"/>
    <cellStyle name="20% - Accent6 3" xfId="215"/>
    <cellStyle name="20% - Accent6 3 2" xfId="216"/>
    <cellStyle name="20% - Accent6 3 3" xfId="217"/>
    <cellStyle name="20% - Accent6 4" xfId="218"/>
    <cellStyle name="20% - Accent6 4 2" xfId="219"/>
    <cellStyle name="20% - Accent6 4 3" xfId="220"/>
    <cellStyle name="20% - Accent6 5" xfId="221"/>
    <cellStyle name="20% - Accent6 5 2" xfId="222"/>
    <cellStyle name="20% - Accent6 5 3" xfId="223"/>
    <cellStyle name="20% - Accent6 6" xfId="224"/>
    <cellStyle name="20% - Accent6 6 2" xfId="225"/>
    <cellStyle name="20% - Accent6 6 3" xfId="226"/>
    <cellStyle name="20% - Accent6 7" xfId="227"/>
    <cellStyle name="20% - Accent6 7 2" xfId="228"/>
    <cellStyle name="20% - Accent6 7 3" xfId="229"/>
    <cellStyle name="20% - Accent6 8" xfId="230"/>
    <cellStyle name="20% - Accent6 8 2" xfId="231"/>
    <cellStyle name="20% - Accent6 8 3" xfId="232"/>
    <cellStyle name="20% - Accent6 9" xfId="233"/>
    <cellStyle name="40% - Accent1" xfId="234" builtinId="31" customBuiltin="1"/>
    <cellStyle name="40% - Accent1 10" xfId="235"/>
    <cellStyle name="40% - Accent1 11" xfId="236"/>
    <cellStyle name="40% - Accent1 2" xfId="237"/>
    <cellStyle name="40% - Accent1 2 2" xfId="238"/>
    <cellStyle name="40% - Accent1 2 3" xfId="239"/>
    <cellStyle name="40% - Accent1 3" xfId="240"/>
    <cellStyle name="40% - Accent1 3 2" xfId="241"/>
    <cellStyle name="40% - Accent1 3 3" xfId="242"/>
    <cellStyle name="40% - Accent1 4" xfId="243"/>
    <cellStyle name="40% - Accent1 4 2" xfId="244"/>
    <cellStyle name="40% - Accent1 4 3" xfId="245"/>
    <cellStyle name="40% - Accent1 5" xfId="246"/>
    <cellStyle name="40% - Accent1 5 2" xfId="247"/>
    <cellStyle name="40% - Accent1 5 3" xfId="248"/>
    <cellStyle name="40% - Accent1 6" xfId="249"/>
    <cellStyle name="40% - Accent1 6 2" xfId="250"/>
    <cellStyle name="40% - Accent1 6 3" xfId="251"/>
    <cellStyle name="40% - Accent1 7" xfId="252"/>
    <cellStyle name="40% - Accent1 7 2" xfId="253"/>
    <cellStyle name="40% - Accent1 7 3" xfId="254"/>
    <cellStyle name="40% - Accent1 8" xfId="255"/>
    <cellStyle name="40% - Accent1 8 2" xfId="256"/>
    <cellStyle name="40% - Accent1 8 3" xfId="257"/>
    <cellStyle name="40% - Accent1 9" xfId="258"/>
    <cellStyle name="40% - Accent2" xfId="259" builtinId="35" customBuiltin="1"/>
    <cellStyle name="40% - Accent2 2" xfId="260"/>
    <cellStyle name="40% - Accent2 3" xfId="261"/>
    <cellStyle name="40% - Accent2 4" xfId="262"/>
    <cellStyle name="40% - Accent3" xfId="263" builtinId="39" customBuiltin="1"/>
    <cellStyle name="40% - Accent3 10" xfId="264"/>
    <cellStyle name="40% - Accent3 11" xfId="265"/>
    <cellStyle name="40% - Accent3 2" xfId="266"/>
    <cellStyle name="40% - Accent3 2 2" xfId="267"/>
    <cellStyle name="40% - Accent3 2 2 2" xfId="268"/>
    <cellStyle name="40% - Accent3 2 2 3" xfId="269"/>
    <cellStyle name="40% - Accent3 2 2 4" xfId="270"/>
    <cellStyle name="40% - Accent3 2 3" xfId="271"/>
    <cellStyle name="40% - Accent3 2 3 2" xfId="272"/>
    <cellStyle name="40% - Accent3 2 4" xfId="273"/>
    <cellStyle name="40% - Accent3 2 5" xfId="274"/>
    <cellStyle name="40% - Accent3 2 6" xfId="275"/>
    <cellStyle name="40% - Accent3 3" xfId="276"/>
    <cellStyle name="40% - Accent3 3 2" xfId="277"/>
    <cellStyle name="40% - Accent3 3 2 2" xfId="278"/>
    <cellStyle name="40% - Accent3 3 3" xfId="279"/>
    <cellStyle name="40% - Accent3 3 3 2" xfId="280"/>
    <cellStyle name="40% - Accent3 3 4" xfId="281"/>
    <cellStyle name="40% - Accent3 4" xfId="282"/>
    <cellStyle name="40% - Accent3 4 2" xfId="283"/>
    <cellStyle name="40% - Accent3 4 2 2" xfId="284"/>
    <cellStyle name="40% - Accent3 4 3" xfId="285"/>
    <cellStyle name="40% - Accent3 4 3 2" xfId="286"/>
    <cellStyle name="40% - Accent3 4 4" xfId="287"/>
    <cellStyle name="40% - Accent3 5" xfId="288"/>
    <cellStyle name="40% - Accent3 5 2" xfId="289"/>
    <cellStyle name="40% - Accent3 5 2 2" xfId="290"/>
    <cellStyle name="40% - Accent3 5 3" xfId="291"/>
    <cellStyle name="40% - Accent3 5 3 2" xfId="292"/>
    <cellStyle name="40% - Accent3 5 4" xfId="293"/>
    <cellStyle name="40% - Accent3 6" xfId="294"/>
    <cellStyle name="40% - Accent3 6 2" xfId="295"/>
    <cellStyle name="40% - Accent3 6 2 2" xfId="296"/>
    <cellStyle name="40% - Accent3 6 3" xfId="297"/>
    <cellStyle name="40% - Accent3 6 3 2" xfId="298"/>
    <cellStyle name="40% - Accent3 6 4" xfId="299"/>
    <cellStyle name="40% - Accent3 7" xfId="300"/>
    <cellStyle name="40% - Accent3 7 2" xfId="301"/>
    <cellStyle name="40% - Accent3 7 2 2" xfId="302"/>
    <cellStyle name="40% - Accent3 7 3" xfId="303"/>
    <cellStyle name="40% - Accent3 7 3 2" xfId="304"/>
    <cellStyle name="40% - Accent3 7 4" xfId="305"/>
    <cellStyle name="40% - Accent3 8" xfId="306"/>
    <cellStyle name="40% - Accent3 8 2" xfId="307"/>
    <cellStyle name="40% - Accent3 8 2 2" xfId="308"/>
    <cellStyle name="40% - Accent3 8 3" xfId="309"/>
    <cellStyle name="40% - Accent3 8 3 2" xfId="310"/>
    <cellStyle name="40% - Accent3 8 4" xfId="311"/>
    <cellStyle name="40% - Accent3 9" xfId="312"/>
    <cellStyle name="40% - Accent3 9 2" xfId="313"/>
    <cellStyle name="40% - Accent4" xfId="314" builtinId="43" customBuiltin="1"/>
    <cellStyle name="40% - Accent4 10" xfId="315"/>
    <cellStyle name="40% - Accent4 11" xfId="316"/>
    <cellStyle name="40% - Accent4 2" xfId="317"/>
    <cellStyle name="40% - Accent4 2 2" xfId="318"/>
    <cellStyle name="40% - Accent4 2 3" xfId="319"/>
    <cellStyle name="40% - Accent4 3" xfId="320"/>
    <cellStyle name="40% - Accent4 3 2" xfId="321"/>
    <cellStyle name="40% - Accent4 3 3" xfId="322"/>
    <cellStyle name="40% - Accent4 4" xfId="323"/>
    <cellStyle name="40% - Accent4 4 2" xfId="324"/>
    <cellStyle name="40% - Accent4 4 3" xfId="325"/>
    <cellStyle name="40% - Accent4 5" xfId="326"/>
    <cellStyle name="40% - Accent4 5 2" xfId="327"/>
    <cellStyle name="40% - Accent4 5 3" xfId="328"/>
    <cellStyle name="40% - Accent4 6" xfId="329"/>
    <cellStyle name="40% - Accent4 6 2" xfId="330"/>
    <cellStyle name="40% - Accent4 6 3" xfId="331"/>
    <cellStyle name="40% - Accent4 7" xfId="332"/>
    <cellStyle name="40% - Accent4 7 2" xfId="333"/>
    <cellStyle name="40% - Accent4 7 3" xfId="334"/>
    <cellStyle name="40% - Accent4 8" xfId="335"/>
    <cellStyle name="40% - Accent4 8 2" xfId="336"/>
    <cellStyle name="40% - Accent4 8 3" xfId="337"/>
    <cellStyle name="40% - Accent4 9" xfId="338"/>
    <cellStyle name="40% - Accent5" xfId="339" builtinId="47" customBuiltin="1"/>
    <cellStyle name="40% - Accent5 10" xfId="340"/>
    <cellStyle name="40% - Accent5 11" xfId="341"/>
    <cellStyle name="40% - Accent5 2" xfId="342"/>
    <cellStyle name="40% - Accent5 2 2" xfId="343"/>
    <cellStyle name="40% - Accent5 2 3" xfId="344"/>
    <cellStyle name="40% - Accent5 3" xfId="345"/>
    <cellStyle name="40% - Accent5 3 2" xfId="346"/>
    <cellStyle name="40% - Accent5 3 3" xfId="347"/>
    <cellStyle name="40% - Accent5 4" xfId="348"/>
    <cellStyle name="40% - Accent5 4 2" xfId="349"/>
    <cellStyle name="40% - Accent5 4 3" xfId="350"/>
    <cellStyle name="40% - Accent5 5" xfId="351"/>
    <cellStyle name="40% - Accent5 5 2" xfId="352"/>
    <cellStyle name="40% - Accent5 5 3" xfId="353"/>
    <cellStyle name="40% - Accent5 6" xfId="354"/>
    <cellStyle name="40% - Accent5 6 2" xfId="355"/>
    <cellStyle name="40% - Accent5 6 3" xfId="356"/>
    <cellStyle name="40% - Accent5 7" xfId="357"/>
    <cellStyle name="40% - Accent5 7 2" xfId="358"/>
    <cellStyle name="40% - Accent5 7 3" xfId="359"/>
    <cellStyle name="40% - Accent5 8" xfId="360"/>
    <cellStyle name="40% - Accent5 8 2" xfId="361"/>
    <cellStyle name="40% - Accent5 8 3" xfId="362"/>
    <cellStyle name="40% - Accent5 9" xfId="363"/>
    <cellStyle name="40% - Accent6" xfId="364" builtinId="51" customBuiltin="1"/>
    <cellStyle name="40% - Accent6 10" xfId="365"/>
    <cellStyle name="40% - Accent6 11" xfId="366"/>
    <cellStyle name="40% - Accent6 2" xfId="367"/>
    <cellStyle name="40% - Accent6 2 2" xfId="368"/>
    <cellStyle name="40% - Accent6 2 3" xfId="369"/>
    <cellStyle name="40% - Accent6 3" xfId="370"/>
    <cellStyle name="40% - Accent6 3 2" xfId="371"/>
    <cellStyle name="40% - Accent6 3 3" xfId="372"/>
    <cellStyle name="40% - Accent6 4" xfId="373"/>
    <cellStyle name="40% - Accent6 4 2" xfId="374"/>
    <cellStyle name="40% - Accent6 4 3" xfId="375"/>
    <cellStyle name="40% - Accent6 5" xfId="376"/>
    <cellStyle name="40% - Accent6 5 2" xfId="377"/>
    <cellStyle name="40% - Accent6 5 3" xfId="378"/>
    <cellStyle name="40% - Accent6 6" xfId="379"/>
    <cellStyle name="40% - Accent6 6 2" xfId="380"/>
    <cellStyle name="40% - Accent6 6 3" xfId="381"/>
    <cellStyle name="40% - Accent6 7" xfId="382"/>
    <cellStyle name="40% - Accent6 7 2" xfId="383"/>
    <cellStyle name="40% - Accent6 7 3" xfId="384"/>
    <cellStyle name="40% - Accent6 8" xfId="385"/>
    <cellStyle name="40% - Accent6 8 2" xfId="386"/>
    <cellStyle name="40% - Accent6 8 3" xfId="387"/>
    <cellStyle name="40% - Accent6 9" xfId="388"/>
    <cellStyle name="60% - Accent1" xfId="389" builtinId="32" customBuiltin="1"/>
    <cellStyle name="60% - Accent1 2" xfId="390"/>
    <cellStyle name="60% - Accent1 2 2" xfId="391"/>
    <cellStyle name="60% - Accent1 2 3" xfId="392"/>
    <cellStyle name="60% - Accent1 3" xfId="393"/>
    <cellStyle name="60% - Accent1 3 2" xfId="394"/>
    <cellStyle name="60% - Accent1 3 3" xfId="395"/>
    <cellStyle name="60% - Accent1 4" xfId="396"/>
    <cellStyle name="60% - Accent1 4 2" xfId="397"/>
    <cellStyle name="60% - Accent1 4 3" xfId="398"/>
    <cellStyle name="60% - Accent1 5" xfId="399"/>
    <cellStyle name="60% - Accent1 5 2" xfId="400"/>
    <cellStyle name="60% - Accent1 5 3" xfId="401"/>
    <cellStyle name="60% - Accent1 6" xfId="402"/>
    <cellStyle name="60% - Accent1 6 2" xfId="403"/>
    <cellStyle name="60% - Accent1 6 3" xfId="404"/>
    <cellStyle name="60% - Accent1 7" xfId="405"/>
    <cellStyle name="60% - Accent1 7 2" xfId="406"/>
    <cellStyle name="60% - Accent1 7 3" xfId="407"/>
    <cellStyle name="60% - Accent1 8" xfId="408"/>
    <cellStyle name="60% - Accent1 8 2" xfId="409"/>
    <cellStyle name="60% - Accent1 8 3" xfId="410"/>
    <cellStyle name="60% - Accent1 9" xfId="411"/>
    <cellStyle name="60% - Accent2" xfId="412" builtinId="36" customBuiltin="1"/>
    <cellStyle name="60% - Accent2 2" xfId="413"/>
    <cellStyle name="60% - Accent2 2 2" xfId="414"/>
    <cellStyle name="60% - Accent2 2 3" xfId="415"/>
    <cellStyle name="60% - Accent2 3" xfId="416"/>
    <cellStyle name="60% - Accent2 3 2" xfId="417"/>
    <cellStyle name="60% - Accent2 3 3" xfId="418"/>
    <cellStyle name="60% - Accent2 4" xfId="419"/>
    <cellStyle name="60% - Accent2 4 2" xfId="420"/>
    <cellStyle name="60% - Accent2 4 3" xfId="421"/>
    <cellStyle name="60% - Accent2 5" xfId="422"/>
    <cellStyle name="60% - Accent2 5 2" xfId="423"/>
    <cellStyle name="60% - Accent2 5 3" xfId="424"/>
    <cellStyle name="60% - Accent2 6" xfId="425"/>
    <cellStyle name="60% - Accent2 6 2" xfId="426"/>
    <cellStyle name="60% - Accent2 6 3" xfId="427"/>
    <cellStyle name="60% - Accent2 7" xfId="428"/>
    <cellStyle name="60% - Accent2 7 2" xfId="429"/>
    <cellStyle name="60% - Accent2 7 3" xfId="430"/>
    <cellStyle name="60% - Accent2 8" xfId="431"/>
    <cellStyle name="60% - Accent2 8 2" xfId="432"/>
    <cellStyle name="60% - Accent2 8 3" xfId="433"/>
    <cellStyle name="60% - Accent2 9" xfId="434"/>
    <cellStyle name="60% - Accent3" xfId="435" builtinId="40" customBuiltin="1"/>
    <cellStyle name="60% - Accent3 10" xfId="436"/>
    <cellStyle name="60% - Accent3 2" xfId="437"/>
    <cellStyle name="60% - Accent3 2 2" xfId="438"/>
    <cellStyle name="60% - Accent3 2 2 2" xfId="439"/>
    <cellStyle name="60% - Accent3 2 2 3" xfId="440"/>
    <cellStyle name="60% - Accent3 2 2 4" xfId="441"/>
    <cellStyle name="60% - Accent3 2 3" xfId="442"/>
    <cellStyle name="60% - Accent3 2 3 2" xfId="443"/>
    <cellStyle name="60% - Accent3 2 4" xfId="444"/>
    <cellStyle name="60% - Accent3 2 5" xfId="445"/>
    <cellStyle name="60% - Accent3 2 6" xfId="446"/>
    <cellStyle name="60% - Accent3 3" xfId="447"/>
    <cellStyle name="60% - Accent3 3 2" xfId="448"/>
    <cellStyle name="60% - Accent3 3 2 2" xfId="449"/>
    <cellStyle name="60% - Accent3 3 3" xfId="450"/>
    <cellStyle name="60% - Accent3 3 3 2" xfId="451"/>
    <cellStyle name="60% - Accent3 3 4" xfId="452"/>
    <cellStyle name="60% - Accent3 4" xfId="453"/>
    <cellStyle name="60% - Accent3 4 2" xfId="454"/>
    <cellStyle name="60% - Accent3 4 2 2" xfId="455"/>
    <cellStyle name="60% - Accent3 4 3" xfId="456"/>
    <cellStyle name="60% - Accent3 4 3 2" xfId="457"/>
    <cellStyle name="60% - Accent3 4 4" xfId="458"/>
    <cellStyle name="60% - Accent3 5" xfId="459"/>
    <cellStyle name="60% - Accent3 5 2" xfId="460"/>
    <cellStyle name="60% - Accent3 5 2 2" xfId="461"/>
    <cellStyle name="60% - Accent3 5 3" xfId="462"/>
    <cellStyle name="60% - Accent3 5 3 2" xfId="463"/>
    <cellStyle name="60% - Accent3 5 4" xfId="464"/>
    <cellStyle name="60% - Accent3 6" xfId="465"/>
    <cellStyle name="60% - Accent3 6 2" xfId="466"/>
    <cellStyle name="60% - Accent3 6 2 2" xfId="467"/>
    <cellStyle name="60% - Accent3 6 3" xfId="468"/>
    <cellStyle name="60% - Accent3 6 3 2" xfId="469"/>
    <cellStyle name="60% - Accent3 6 4" xfId="470"/>
    <cellStyle name="60% - Accent3 7" xfId="471"/>
    <cellStyle name="60% - Accent3 7 2" xfId="472"/>
    <cellStyle name="60% - Accent3 7 2 2" xfId="473"/>
    <cellStyle name="60% - Accent3 7 3" xfId="474"/>
    <cellStyle name="60% - Accent3 7 3 2" xfId="475"/>
    <cellStyle name="60% - Accent3 7 4" xfId="476"/>
    <cellStyle name="60% - Accent3 8" xfId="477"/>
    <cellStyle name="60% - Accent3 8 2" xfId="478"/>
    <cellStyle name="60% - Accent3 8 2 2" xfId="479"/>
    <cellStyle name="60% - Accent3 8 3" xfId="480"/>
    <cellStyle name="60% - Accent3 8 3 2" xfId="481"/>
    <cellStyle name="60% - Accent3 8 4" xfId="482"/>
    <cellStyle name="60% - Accent3 9" xfId="483"/>
    <cellStyle name="60% - Accent3 9 2" xfId="484"/>
    <cellStyle name="60% - Accent4" xfId="485" builtinId="44" customBuiltin="1"/>
    <cellStyle name="60% - Accent4 10" xfId="486"/>
    <cellStyle name="60% - Accent4 2" xfId="487"/>
    <cellStyle name="60% - Accent4 2 2" xfId="488"/>
    <cellStyle name="60% - Accent4 2 2 2" xfId="489"/>
    <cellStyle name="60% - Accent4 2 2 3" xfId="490"/>
    <cellStyle name="60% - Accent4 2 2 4" xfId="491"/>
    <cellStyle name="60% - Accent4 2 3" xfId="492"/>
    <cellStyle name="60% - Accent4 2 3 2" xfId="493"/>
    <cellStyle name="60% - Accent4 2 4" xfId="494"/>
    <cellStyle name="60% - Accent4 2 5" xfId="495"/>
    <cellStyle name="60% - Accent4 2 6" xfId="496"/>
    <cellStyle name="60% - Accent4 3" xfId="497"/>
    <cellStyle name="60% - Accent4 3 2" xfId="498"/>
    <cellStyle name="60% - Accent4 3 2 2" xfId="499"/>
    <cellStyle name="60% - Accent4 3 3" xfId="500"/>
    <cellStyle name="60% - Accent4 3 3 2" xfId="501"/>
    <cellStyle name="60% - Accent4 3 4" xfId="502"/>
    <cellStyle name="60% - Accent4 4" xfId="503"/>
    <cellStyle name="60% - Accent4 4 2" xfId="504"/>
    <cellStyle name="60% - Accent4 4 2 2" xfId="505"/>
    <cellStyle name="60% - Accent4 4 3" xfId="506"/>
    <cellStyle name="60% - Accent4 4 3 2" xfId="507"/>
    <cellStyle name="60% - Accent4 4 4" xfId="508"/>
    <cellStyle name="60% - Accent4 5" xfId="509"/>
    <cellStyle name="60% - Accent4 5 2" xfId="510"/>
    <cellStyle name="60% - Accent4 5 2 2" xfId="511"/>
    <cellStyle name="60% - Accent4 5 3" xfId="512"/>
    <cellStyle name="60% - Accent4 5 3 2" xfId="513"/>
    <cellStyle name="60% - Accent4 5 4" xfId="514"/>
    <cellStyle name="60% - Accent4 6" xfId="515"/>
    <cellStyle name="60% - Accent4 6 2" xfId="516"/>
    <cellStyle name="60% - Accent4 6 2 2" xfId="517"/>
    <cellStyle name="60% - Accent4 6 3" xfId="518"/>
    <cellStyle name="60% - Accent4 6 3 2" xfId="519"/>
    <cellStyle name="60% - Accent4 6 4" xfId="520"/>
    <cellStyle name="60% - Accent4 7" xfId="521"/>
    <cellStyle name="60% - Accent4 7 2" xfId="522"/>
    <cellStyle name="60% - Accent4 7 2 2" xfId="523"/>
    <cellStyle name="60% - Accent4 7 3" xfId="524"/>
    <cellStyle name="60% - Accent4 7 3 2" xfId="525"/>
    <cellStyle name="60% - Accent4 7 4" xfId="526"/>
    <cellStyle name="60% - Accent4 8" xfId="527"/>
    <cellStyle name="60% - Accent4 8 2" xfId="528"/>
    <cellStyle name="60% - Accent4 8 2 2" xfId="529"/>
    <cellStyle name="60% - Accent4 8 3" xfId="530"/>
    <cellStyle name="60% - Accent4 8 3 2" xfId="531"/>
    <cellStyle name="60% - Accent4 8 4" xfId="532"/>
    <cellStyle name="60% - Accent4 9" xfId="533"/>
    <cellStyle name="60% - Accent4 9 2" xfId="534"/>
    <cellStyle name="60% - Accent5" xfId="535" builtinId="48" customBuiltin="1"/>
    <cellStyle name="60% - Accent5 2" xfId="536"/>
    <cellStyle name="60% - Accent5 2 2" xfId="537"/>
    <cellStyle name="60% - Accent5 2 3" xfId="538"/>
    <cellStyle name="60% - Accent5 3" xfId="539"/>
    <cellStyle name="60% - Accent5 3 2" xfId="540"/>
    <cellStyle name="60% - Accent5 3 3" xfId="541"/>
    <cellStyle name="60% - Accent5 4" xfId="542"/>
    <cellStyle name="60% - Accent5 4 2" xfId="543"/>
    <cellStyle name="60% - Accent5 4 3" xfId="544"/>
    <cellStyle name="60% - Accent5 5" xfId="545"/>
    <cellStyle name="60% - Accent5 5 2" xfId="546"/>
    <cellStyle name="60% - Accent5 5 3" xfId="547"/>
    <cellStyle name="60% - Accent5 6" xfId="548"/>
    <cellStyle name="60% - Accent5 6 2" xfId="549"/>
    <cellStyle name="60% - Accent5 6 3" xfId="550"/>
    <cellStyle name="60% - Accent5 7" xfId="551"/>
    <cellStyle name="60% - Accent5 7 2" xfId="552"/>
    <cellStyle name="60% - Accent5 7 3" xfId="553"/>
    <cellStyle name="60% - Accent5 8" xfId="554"/>
    <cellStyle name="60% - Accent5 8 2" xfId="555"/>
    <cellStyle name="60% - Accent5 8 3" xfId="556"/>
    <cellStyle name="60% - Accent5 9" xfId="557"/>
    <cellStyle name="60% - Accent6" xfId="558" builtinId="52" customBuiltin="1"/>
    <cellStyle name="60% - Accent6 10" xfId="559"/>
    <cellStyle name="60% - Accent6 2" xfId="560"/>
    <cellStyle name="60% - Accent6 2 2" xfId="561"/>
    <cellStyle name="60% - Accent6 2 2 2" xfId="562"/>
    <cellStyle name="60% - Accent6 2 2 3" xfId="563"/>
    <cellStyle name="60% - Accent6 2 2 4" xfId="564"/>
    <cellStyle name="60% - Accent6 2 3" xfId="565"/>
    <cellStyle name="60% - Accent6 2 3 2" xfId="566"/>
    <cellStyle name="60% - Accent6 2 4" xfId="567"/>
    <cellStyle name="60% - Accent6 2 5" xfId="568"/>
    <cellStyle name="60% - Accent6 2 6" xfId="569"/>
    <cellStyle name="60% - Accent6 3" xfId="570"/>
    <cellStyle name="60% - Accent6 3 2" xfId="571"/>
    <cellStyle name="60% - Accent6 3 2 2" xfId="572"/>
    <cellStyle name="60% - Accent6 3 3" xfId="573"/>
    <cellStyle name="60% - Accent6 3 3 2" xfId="574"/>
    <cellStyle name="60% - Accent6 3 4" xfId="575"/>
    <cellStyle name="60% - Accent6 4" xfId="576"/>
    <cellStyle name="60% - Accent6 4 2" xfId="577"/>
    <cellStyle name="60% - Accent6 4 2 2" xfId="578"/>
    <cellStyle name="60% - Accent6 4 3" xfId="579"/>
    <cellStyle name="60% - Accent6 4 3 2" xfId="580"/>
    <cellStyle name="60% - Accent6 4 4" xfId="581"/>
    <cellStyle name="60% - Accent6 5" xfId="582"/>
    <cellStyle name="60% - Accent6 5 2" xfId="583"/>
    <cellStyle name="60% - Accent6 5 2 2" xfId="584"/>
    <cellStyle name="60% - Accent6 5 3" xfId="585"/>
    <cellStyle name="60% - Accent6 5 3 2" xfId="586"/>
    <cellStyle name="60% - Accent6 5 4" xfId="587"/>
    <cellStyle name="60% - Accent6 6" xfId="588"/>
    <cellStyle name="60% - Accent6 6 2" xfId="589"/>
    <cellStyle name="60% - Accent6 6 2 2" xfId="590"/>
    <cellStyle name="60% - Accent6 6 3" xfId="591"/>
    <cellStyle name="60% - Accent6 6 3 2" xfId="592"/>
    <cellStyle name="60% - Accent6 6 4" xfId="593"/>
    <cellStyle name="60% - Accent6 7" xfId="594"/>
    <cellStyle name="60% - Accent6 7 2" xfId="595"/>
    <cellStyle name="60% - Accent6 7 2 2" xfId="596"/>
    <cellStyle name="60% - Accent6 7 3" xfId="597"/>
    <cellStyle name="60% - Accent6 7 3 2" xfId="598"/>
    <cellStyle name="60% - Accent6 7 4" xfId="599"/>
    <cellStyle name="60% - Accent6 8" xfId="600"/>
    <cellStyle name="60% - Accent6 8 2" xfId="601"/>
    <cellStyle name="60% - Accent6 8 2 2" xfId="602"/>
    <cellStyle name="60% - Accent6 8 3" xfId="603"/>
    <cellStyle name="60% - Accent6 8 3 2" xfId="604"/>
    <cellStyle name="60% - Accent6 8 4" xfId="605"/>
    <cellStyle name="60% - Accent6 9" xfId="606"/>
    <cellStyle name="60% - Accent6 9 2" xfId="607"/>
    <cellStyle name="Accent1" xfId="608" builtinId="29" customBuiltin="1"/>
    <cellStyle name="Accent1 2" xfId="609"/>
    <cellStyle name="Accent1 2 2" xfId="610"/>
    <cellStyle name="Accent1 2 3" xfId="611"/>
    <cellStyle name="Accent1 3" xfId="612"/>
    <cellStyle name="Accent1 3 2" xfId="613"/>
    <cellStyle name="Accent1 3 3" xfId="614"/>
    <cellStyle name="Accent1 4" xfId="615"/>
    <cellStyle name="Accent1 4 2" xfId="616"/>
    <cellStyle name="Accent1 4 3" xfId="617"/>
    <cellStyle name="Accent1 5" xfId="618"/>
    <cellStyle name="Accent1 5 2" xfId="619"/>
    <cellStyle name="Accent1 5 3" xfId="620"/>
    <cellStyle name="Accent1 6" xfId="621"/>
    <cellStyle name="Accent1 6 2" xfId="622"/>
    <cellStyle name="Accent1 6 3" xfId="623"/>
    <cellStyle name="Accent1 7" xfId="624"/>
    <cellStyle name="Accent1 7 2" xfId="625"/>
    <cellStyle name="Accent1 7 3" xfId="626"/>
    <cellStyle name="Accent1 8" xfId="627"/>
    <cellStyle name="Accent1 8 2" xfId="628"/>
    <cellStyle name="Accent1 8 3" xfId="629"/>
    <cellStyle name="Accent1 9" xfId="630"/>
    <cellStyle name="Accent2" xfId="631" builtinId="33" customBuiltin="1"/>
    <cellStyle name="Accent2 2" xfId="632"/>
    <cellStyle name="Accent2 2 2" xfId="633"/>
    <cellStyle name="Accent2 2 3" xfId="634"/>
    <cellStyle name="Accent2 3" xfId="635"/>
    <cellStyle name="Accent2 3 2" xfId="636"/>
    <cellStyle name="Accent2 3 3" xfId="637"/>
    <cellStyle name="Accent2 4" xfId="638"/>
    <cellStyle name="Accent2 4 2" xfId="639"/>
    <cellStyle name="Accent2 4 3" xfId="640"/>
    <cellStyle name="Accent2 5" xfId="641"/>
    <cellStyle name="Accent2 5 2" xfId="642"/>
    <cellStyle name="Accent2 5 3" xfId="643"/>
    <cellStyle name="Accent2 6" xfId="644"/>
    <cellStyle name="Accent2 6 2" xfId="645"/>
    <cellStyle name="Accent2 6 3" xfId="646"/>
    <cellStyle name="Accent2 7" xfId="647"/>
    <cellStyle name="Accent2 7 2" xfId="648"/>
    <cellStyle name="Accent2 7 3" xfId="649"/>
    <cellStyle name="Accent2 8" xfId="650"/>
    <cellStyle name="Accent2 8 2" xfId="651"/>
    <cellStyle name="Accent2 8 3" xfId="652"/>
    <cellStyle name="Accent2 9" xfId="653"/>
    <cellStyle name="Accent3" xfId="654" builtinId="37" customBuiltin="1"/>
    <cellStyle name="Accent3 2" xfId="655"/>
    <cellStyle name="Accent3 2 2" xfId="656"/>
    <cellStyle name="Accent3 2 3" xfId="657"/>
    <cellStyle name="Accent3 3" xfId="658"/>
    <cellStyle name="Accent3 3 2" xfId="659"/>
    <cellStyle name="Accent3 3 3" xfId="660"/>
    <cellStyle name="Accent3 4" xfId="661"/>
    <cellStyle name="Accent3 4 2" xfId="662"/>
    <cellStyle name="Accent3 4 3" xfId="663"/>
    <cellStyle name="Accent3 5" xfId="664"/>
    <cellStyle name="Accent3 5 2" xfId="665"/>
    <cellStyle name="Accent3 5 3" xfId="666"/>
    <cellStyle name="Accent3 6" xfId="667"/>
    <cellStyle name="Accent3 6 2" xfId="668"/>
    <cellStyle name="Accent3 6 3" xfId="669"/>
    <cellStyle name="Accent3 7" xfId="670"/>
    <cellStyle name="Accent3 7 2" xfId="671"/>
    <cellStyle name="Accent3 7 3" xfId="672"/>
    <cellStyle name="Accent3 8" xfId="673"/>
    <cellStyle name="Accent3 8 2" xfId="674"/>
    <cellStyle name="Accent3 8 3" xfId="675"/>
    <cellStyle name="Accent3 9" xfId="676"/>
    <cellStyle name="Accent4" xfId="677" builtinId="41" customBuiltin="1"/>
    <cellStyle name="Accent4 2" xfId="678"/>
    <cellStyle name="Accent4 2 2" xfId="679"/>
    <cellStyle name="Accent4 2 3" xfId="680"/>
    <cellStyle name="Accent4 3" xfId="681"/>
    <cellStyle name="Accent4 3 2" xfId="682"/>
    <cellStyle name="Accent4 3 3" xfId="683"/>
    <cellStyle name="Accent4 4" xfId="684"/>
    <cellStyle name="Accent4 4 2" xfId="685"/>
    <cellStyle name="Accent4 4 3" xfId="686"/>
    <cellStyle name="Accent4 5" xfId="687"/>
    <cellStyle name="Accent4 5 2" xfId="688"/>
    <cellStyle name="Accent4 5 3" xfId="689"/>
    <cellStyle name="Accent4 6" xfId="690"/>
    <cellStyle name="Accent4 6 2" xfId="691"/>
    <cellStyle name="Accent4 6 3" xfId="692"/>
    <cellStyle name="Accent4 7" xfId="693"/>
    <cellStyle name="Accent4 7 2" xfId="694"/>
    <cellStyle name="Accent4 7 3" xfId="695"/>
    <cellStyle name="Accent4 8" xfId="696"/>
    <cellStyle name="Accent4 8 2" xfId="697"/>
    <cellStyle name="Accent4 8 3" xfId="698"/>
    <cellStyle name="Accent4 9" xfId="699"/>
    <cellStyle name="Accent5" xfId="700" builtinId="45" customBuiltin="1"/>
    <cellStyle name="Accent6" xfId="701" builtinId="49" customBuiltin="1"/>
    <cellStyle name="Accent6 2" xfId="702"/>
    <cellStyle name="Accent6 2 2" xfId="703"/>
    <cellStyle name="Accent6 2 3" xfId="704"/>
    <cellStyle name="Accent6 3" xfId="705"/>
    <cellStyle name="Accent6 3 2" xfId="706"/>
    <cellStyle name="Accent6 3 3" xfId="707"/>
    <cellStyle name="Accent6 4" xfId="708"/>
    <cellStyle name="Accent6 4 2" xfId="709"/>
    <cellStyle name="Accent6 4 3" xfId="710"/>
    <cellStyle name="Accent6 5" xfId="711"/>
    <cellStyle name="Accent6 5 2" xfId="712"/>
    <cellStyle name="Accent6 5 3" xfId="713"/>
    <cellStyle name="Accent6 6" xfId="714"/>
    <cellStyle name="Accent6 6 2" xfId="715"/>
    <cellStyle name="Accent6 6 3" xfId="716"/>
    <cellStyle name="Accent6 7" xfId="717"/>
    <cellStyle name="Accent6 7 2" xfId="718"/>
    <cellStyle name="Accent6 7 3" xfId="719"/>
    <cellStyle name="Accent6 8" xfId="720"/>
    <cellStyle name="Accent6 8 2" xfId="721"/>
    <cellStyle name="Accent6 8 3" xfId="722"/>
    <cellStyle name="Accent6 9" xfId="723"/>
    <cellStyle name="Bad" xfId="724" builtinId="27" customBuiltin="1"/>
    <cellStyle name="Bad 2" xfId="725"/>
    <cellStyle name="Bad 2 2" xfId="726"/>
    <cellStyle name="Bad 2 3" xfId="727"/>
    <cellStyle name="Bad 3" xfId="728"/>
    <cellStyle name="Bad 3 2" xfId="729"/>
    <cellStyle name="Bad 3 3" xfId="730"/>
    <cellStyle name="Bad 4" xfId="731"/>
    <cellStyle name="Bad 4 2" xfId="732"/>
    <cellStyle name="Bad 4 3" xfId="733"/>
    <cellStyle name="Bad 5" xfId="734"/>
    <cellStyle name="Bad 5 2" xfId="735"/>
    <cellStyle name="Bad 5 3" xfId="736"/>
    <cellStyle name="Bad 6" xfId="737"/>
    <cellStyle name="Bad 6 2" xfId="738"/>
    <cellStyle name="Bad 6 3" xfId="739"/>
    <cellStyle name="Bad 7" xfId="740"/>
    <cellStyle name="Bad 7 2" xfId="741"/>
    <cellStyle name="Bad 7 3" xfId="742"/>
    <cellStyle name="Bad 8" xfId="743"/>
    <cellStyle name="Bad 8 2" xfId="744"/>
    <cellStyle name="Bad 8 3" xfId="745"/>
    <cellStyle name="Bad 9" xfId="746"/>
    <cellStyle name="Calculation" xfId="747" builtinId="22" customBuiltin="1"/>
    <cellStyle name="Calculation 2" xfId="748"/>
    <cellStyle name="Calculation 2 2" xfId="749"/>
    <cellStyle name="Calculation 2 3" xfId="750"/>
    <cellStyle name="Calculation 3" xfId="751"/>
    <cellStyle name="Calculation 3 2" xfId="752"/>
    <cellStyle name="Calculation 3 3" xfId="753"/>
    <cellStyle name="Calculation 4" xfId="754"/>
    <cellStyle name="Calculation 4 2" xfId="755"/>
    <cellStyle name="Calculation 4 3" xfId="756"/>
    <cellStyle name="Calculation 5" xfId="757"/>
    <cellStyle name="Calculation 5 2" xfId="758"/>
    <cellStyle name="Calculation 5 3" xfId="759"/>
    <cellStyle name="Calculation 6" xfId="760"/>
    <cellStyle name="Calculation 6 2" xfId="761"/>
    <cellStyle name="Calculation 6 3" xfId="762"/>
    <cellStyle name="Calculation 7" xfId="763"/>
    <cellStyle name="Calculation 7 2" xfId="764"/>
    <cellStyle name="Calculation 7 3" xfId="765"/>
    <cellStyle name="Calculation 8" xfId="766"/>
    <cellStyle name="Calculation 8 2" xfId="767"/>
    <cellStyle name="Calculation 8 3" xfId="768"/>
    <cellStyle name="Calculation 9" xfId="769"/>
    <cellStyle name="Check Cell" xfId="770" builtinId="23" customBuiltin="1"/>
    <cellStyle name="Comma" xfId="771" builtinId="3"/>
    <cellStyle name="Comma 10 2" xfId="772"/>
    <cellStyle name="Comma 10 2 2" xfId="773"/>
    <cellStyle name="Comma 10 2 2 2" xfId="774"/>
    <cellStyle name="Comma 10 2 3" xfId="775"/>
    <cellStyle name="Comma 10 2 3 2" xfId="776"/>
    <cellStyle name="Comma 10 2 4" xfId="777"/>
    <cellStyle name="Comma 10 3" xfId="778"/>
    <cellStyle name="Comma 10 3 2" xfId="779"/>
    <cellStyle name="Comma 10 3 3" xfId="780"/>
    <cellStyle name="Comma 10 4" xfId="781"/>
    <cellStyle name="Comma 10 4 2" xfId="782"/>
    <cellStyle name="Comma 10 5" xfId="783"/>
    <cellStyle name="Comma 10 5 2" xfId="784"/>
    <cellStyle name="Comma 10 6" xfId="785"/>
    <cellStyle name="Comma 11 2" xfId="786"/>
    <cellStyle name="Comma 11 2 2" xfId="787"/>
    <cellStyle name="Comma 11 2 3" xfId="788"/>
    <cellStyle name="Comma 11 3" xfId="789"/>
    <cellStyle name="Comma 11 3 2" xfId="790"/>
    <cellStyle name="Comma 11 3 3" xfId="791"/>
    <cellStyle name="Comma 12 2" xfId="792"/>
    <cellStyle name="Comma 12 2 2" xfId="793"/>
    <cellStyle name="Comma 12 2 3" xfId="794"/>
    <cellStyle name="Comma 12 3" xfId="795"/>
    <cellStyle name="Comma 12 3 2" xfId="796"/>
    <cellStyle name="Comma 12 3 3" xfId="797"/>
    <cellStyle name="Comma 12 4" xfId="798"/>
    <cellStyle name="Comma 13" xfId="799"/>
    <cellStyle name="Comma 13 2" xfId="800"/>
    <cellStyle name="Comma 13 2 2" xfId="801"/>
    <cellStyle name="Comma 14" xfId="802"/>
    <cellStyle name="Comma 14 2" xfId="803"/>
    <cellStyle name="Comma 15" xfId="804"/>
    <cellStyle name="Comma 15 2" xfId="805"/>
    <cellStyle name="Comma 15 2 2" xfId="806"/>
    <cellStyle name="Comma 15 2 3" xfId="807"/>
    <cellStyle name="Comma 16" xfId="808"/>
    <cellStyle name="Comma 16 2" xfId="809"/>
    <cellStyle name="Comma 16 2 2" xfId="810"/>
    <cellStyle name="Comma 16 2 3" xfId="811"/>
    <cellStyle name="Comma 16 2 3 2" xfId="812"/>
    <cellStyle name="Comma 16 3" xfId="813"/>
    <cellStyle name="Comma 16 4" xfId="814"/>
    <cellStyle name="Comma 16 4 2" xfId="815"/>
    <cellStyle name="Comma 16 4 3" xfId="816"/>
    <cellStyle name="Comma 16 4 3 2" xfId="817"/>
    <cellStyle name="Comma 17" xfId="818"/>
    <cellStyle name="Comma 17 2" xfId="819"/>
    <cellStyle name="Comma 17 2 2" xfId="820"/>
    <cellStyle name="Comma 17 2 3" xfId="821"/>
    <cellStyle name="Comma 17 2 3 2" xfId="822"/>
    <cellStyle name="Comma 17 3" xfId="823"/>
    <cellStyle name="Comma 17 4" xfId="824"/>
    <cellStyle name="Comma 17 4 2" xfId="825"/>
    <cellStyle name="Comma 17 4 3" xfId="826"/>
    <cellStyle name="Comma 17 4 3 2" xfId="827"/>
    <cellStyle name="Comma 2" xfId="828"/>
    <cellStyle name="Comma 2 10" xfId="829"/>
    <cellStyle name="Comma 2 10 2" xfId="830"/>
    <cellStyle name="Comma 2 11" xfId="831"/>
    <cellStyle name="Comma 2 11 2" xfId="832"/>
    <cellStyle name="Comma 2 12" xfId="833"/>
    <cellStyle name="Comma 2 12 2" xfId="834"/>
    <cellStyle name="Comma 2 13" xfId="835"/>
    <cellStyle name="Comma 2 13 2" xfId="836"/>
    <cellStyle name="Comma 2 14" xfId="837"/>
    <cellStyle name="Comma 2 14 2" xfId="838"/>
    <cellStyle name="Comma 2 15" xfId="839"/>
    <cellStyle name="Comma 2 15 2" xfId="840"/>
    <cellStyle name="Comma 2 15 3" xfId="841"/>
    <cellStyle name="Comma 2 15 3 2" xfId="842"/>
    <cellStyle name="Comma 2 16" xfId="843"/>
    <cellStyle name="Comma 2 16 2" xfId="844"/>
    <cellStyle name="Comma 2 16 3" xfId="845"/>
    <cellStyle name="Comma 2 16 3 2" xfId="846"/>
    <cellStyle name="Comma 2 2" xfId="847"/>
    <cellStyle name="Comma 2 2 2" xfId="848"/>
    <cellStyle name="Comma 2 2 2 2" xfId="849"/>
    <cellStyle name="Comma 2 2 2 2 2" xfId="850"/>
    <cellStyle name="Comma 2 2 3" xfId="851"/>
    <cellStyle name="Comma 2 2 3 2" xfId="852"/>
    <cellStyle name="Comma 2 2 4" xfId="853"/>
    <cellStyle name="Comma 2 2 4 2" xfId="854"/>
    <cellStyle name="Comma 2 2 5" xfId="855"/>
    <cellStyle name="Comma 2 2 5 2" xfId="856"/>
    <cellStyle name="Comma 2 3" xfId="857"/>
    <cellStyle name="Comma 2 3 2" xfId="858"/>
    <cellStyle name="Comma 2 3 2 2" xfId="859"/>
    <cellStyle name="Comma 2 3 3" xfId="860"/>
    <cellStyle name="Comma 2 3 3 2" xfId="861"/>
    <cellStyle name="Comma 2 3 4" xfId="862"/>
    <cellStyle name="Comma 2 3 4 2" xfId="863"/>
    <cellStyle name="Comma 2 3 5" xfId="864"/>
    <cellStyle name="Comma 2 3 5 2" xfId="865"/>
    <cellStyle name="Comma 2 3 6" xfId="866"/>
    <cellStyle name="Comma 2 3 6 2" xfId="867"/>
    <cellStyle name="Comma 2 3 7" xfId="868"/>
    <cellStyle name="Comma 2 3 7 2" xfId="869"/>
    <cellStyle name="Comma 2 3 7 2 2" xfId="870"/>
    <cellStyle name="Comma 2 3 7 3" xfId="871"/>
    <cellStyle name="Comma 2 3 8" xfId="872"/>
    <cellStyle name="Comma 2 3 8 2" xfId="873"/>
    <cellStyle name="Comma 2 4" xfId="874"/>
    <cellStyle name="Comma 2 4 2" xfId="875"/>
    <cellStyle name="Comma 2 5" xfId="876"/>
    <cellStyle name="Comma 2 5 2" xfId="877"/>
    <cellStyle name="Comma 2 6" xfId="878"/>
    <cellStyle name="Comma 2 6 2" xfId="879"/>
    <cellStyle name="Comma 2 7" xfId="880"/>
    <cellStyle name="Comma 2 7 2" xfId="881"/>
    <cellStyle name="Comma 2 8" xfId="882"/>
    <cellStyle name="Comma 2 8 2" xfId="883"/>
    <cellStyle name="Comma 2 9" xfId="884"/>
    <cellStyle name="Comma 2 9 2" xfId="885"/>
    <cellStyle name="Comma 22" xfId="886"/>
    <cellStyle name="Comma 22 2" xfId="887"/>
    <cellStyle name="Comma 22 3" xfId="888"/>
    <cellStyle name="Comma 22 3 2" xfId="889"/>
    <cellStyle name="Comma 23" xfId="890"/>
    <cellStyle name="Comma 23 2" xfId="891"/>
    <cellStyle name="Comma 23 3" xfId="892"/>
    <cellStyle name="Comma 23 3 2" xfId="893"/>
    <cellStyle name="Comma 24" xfId="894"/>
    <cellStyle name="Comma 24 2" xfId="895"/>
    <cellStyle name="Comma 24 3" xfId="896"/>
    <cellStyle name="Comma 25" xfId="897"/>
    <cellStyle name="Comma 25 2" xfId="898"/>
    <cellStyle name="Comma 3" xfId="899"/>
    <cellStyle name="Comma 3 2" xfId="900"/>
    <cellStyle name="Comma 3 2 2" xfId="901"/>
    <cellStyle name="Comma 3 2 2 2" xfId="902"/>
    <cellStyle name="Comma 3 2 2 3" xfId="903"/>
    <cellStyle name="Comma 3 2 3" xfId="904"/>
    <cellStyle name="Comma 3 3" xfId="905"/>
    <cellStyle name="Comma 3 3 2" xfId="906"/>
    <cellStyle name="Comma 3 3 2 2" xfId="907"/>
    <cellStyle name="Comma 3 3 2 2 2" xfId="908"/>
    <cellStyle name="Comma 3 3 2 2 3" xfId="909"/>
    <cellStyle name="Comma 3 3 2 3" xfId="910"/>
    <cellStyle name="Comma 3 3 2 4" xfId="911"/>
    <cellStyle name="Comma 3 3 3" xfId="912"/>
    <cellStyle name="Comma 3 3 3 2" xfId="913"/>
    <cellStyle name="Comma 3 3 3 2 2" xfId="914"/>
    <cellStyle name="Comma 3 3 4" xfId="915"/>
    <cellStyle name="Comma 3 3 4 2" xfId="916"/>
    <cellStyle name="Comma 3 4" xfId="917"/>
    <cellStyle name="Comma 3 5" xfId="918"/>
    <cellStyle name="Comma 3 5 2" xfId="919"/>
    <cellStyle name="Comma 3 5 3" xfId="920"/>
    <cellStyle name="Comma 3 6" xfId="921"/>
    <cellStyle name="Comma 3 7" xfId="922"/>
    <cellStyle name="Comma 4" xfId="923"/>
    <cellStyle name="Comma 4 10" xfId="924"/>
    <cellStyle name="Comma 4 2" xfId="925"/>
    <cellStyle name="Comma 4 2 2" xfId="926"/>
    <cellStyle name="Comma 4 3" xfId="927"/>
    <cellStyle name="Comma 4 3 2" xfId="928"/>
    <cellStyle name="Comma 4 3 3" xfId="929"/>
    <cellStyle name="Comma 4 3 3 2" xfId="930"/>
    <cellStyle name="Comma 4 3 3 2 2" xfId="931"/>
    <cellStyle name="Comma 4 3 3 2 3" xfId="932"/>
    <cellStyle name="Comma 4 3 3 3" xfId="933"/>
    <cellStyle name="Comma 4 3 4" xfId="934"/>
    <cellStyle name="Comma 4 3 4 2" xfId="935"/>
    <cellStyle name="Comma 4 3 5" xfId="936"/>
    <cellStyle name="Comma 4 4" xfId="937"/>
    <cellStyle name="Comma 4 4 2" xfId="938"/>
    <cellStyle name="Comma 4 4 3" xfId="939"/>
    <cellStyle name="Comma 4 4 3 2" xfId="940"/>
    <cellStyle name="Comma 4 5" xfId="941"/>
    <cellStyle name="Comma 4 5 2" xfId="942"/>
    <cellStyle name="Comma 4 5 3" xfId="943"/>
    <cellStyle name="Comma 4 5 3 2" xfId="944"/>
    <cellStyle name="Comma 4 6" xfId="945"/>
    <cellStyle name="Comma 4 6 2" xfId="946"/>
    <cellStyle name="Comma 4 7" xfId="947"/>
    <cellStyle name="Comma 4 7 2" xfId="948"/>
    <cellStyle name="Comma 4 8" xfId="949"/>
    <cellStyle name="Comma 4 8 2" xfId="950"/>
    <cellStyle name="Comma 4 9" xfId="951"/>
    <cellStyle name="Comma 4 9 2" xfId="952"/>
    <cellStyle name="Comma 5" xfId="953"/>
    <cellStyle name="Comma 5 2" xfId="954"/>
    <cellStyle name="Comma 5 2 2" xfId="955"/>
    <cellStyle name="Comma 5 2 3" xfId="956"/>
    <cellStyle name="Comma 5 2 3 2" xfId="957"/>
    <cellStyle name="Comma 5 3" xfId="958"/>
    <cellStyle name="Comma 5 3 2" xfId="959"/>
    <cellStyle name="Comma 5 3 3" xfId="960"/>
    <cellStyle name="Comma 5 3 3 2" xfId="961"/>
    <cellStyle name="Comma 5 3 3 2 2" xfId="962"/>
    <cellStyle name="Comma 5 3 3 3" xfId="963"/>
    <cellStyle name="Comma 5 3 4" xfId="964"/>
    <cellStyle name="Comma 5 3 4 2" xfId="965"/>
    <cellStyle name="Comma 5 4" xfId="966"/>
    <cellStyle name="Comma 5 4 2" xfId="967"/>
    <cellStyle name="Comma 5 4 3" xfId="968"/>
    <cellStyle name="Comma 5 4 3 2" xfId="969"/>
    <cellStyle name="Comma 5 5" xfId="970"/>
    <cellStyle name="Comma 5 5 2" xfId="971"/>
    <cellStyle name="Comma 5 6" xfId="972"/>
    <cellStyle name="Comma 5 6 2" xfId="973"/>
    <cellStyle name="Comma 5 7" xfId="974"/>
    <cellStyle name="Comma 5 7 2" xfId="975"/>
    <cellStyle name="Comma 5 8" xfId="976"/>
    <cellStyle name="Comma 5 8 2" xfId="977"/>
    <cellStyle name="Comma 5 9" xfId="978"/>
    <cellStyle name="Comma 6" xfId="979"/>
    <cellStyle name="Comma 6 2" xfId="980"/>
    <cellStyle name="Comma 6 2 2" xfId="981"/>
    <cellStyle name="Comma 6 2 3" xfId="982"/>
    <cellStyle name="Comma 6 3" xfId="983"/>
    <cellStyle name="Comma 6 4" xfId="984"/>
    <cellStyle name="Comma 7" xfId="985"/>
    <cellStyle name="Comma 7 2" xfId="986"/>
    <cellStyle name="Comma 7 2 2" xfId="987"/>
    <cellStyle name="Comma 7 3" xfId="988"/>
    <cellStyle name="Comma 7 3 2" xfId="989"/>
    <cellStyle name="Comma 7 4" xfId="990"/>
    <cellStyle name="Comma 7 4 2" xfId="991"/>
    <cellStyle name="Comma 7 5" xfId="992"/>
    <cellStyle name="Comma 7 5 2" xfId="993"/>
    <cellStyle name="Comma 7 6" xfId="994"/>
    <cellStyle name="Comma 7 6 2" xfId="995"/>
    <cellStyle name="Comma 7 7" xfId="996"/>
    <cellStyle name="Comma 7 7 2" xfId="997"/>
    <cellStyle name="Comma 7 8" xfId="998"/>
    <cellStyle name="Comma 7 8 2" xfId="999"/>
    <cellStyle name="Comma 7 9" xfId="1000"/>
    <cellStyle name="Comma 8 2" xfId="1001"/>
    <cellStyle name="Comma 8 2 2" xfId="1002"/>
    <cellStyle name="Comma 8 3" xfId="1003"/>
    <cellStyle name="Comma 8 3 2" xfId="1004"/>
    <cellStyle name="Comma 8 4" xfId="1005"/>
    <cellStyle name="Comma 8 5" xfId="1006"/>
    <cellStyle name="Comma 9 2" xfId="1007"/>
    <cellStyle name="Comma 9 2 2" xfId="1008"/>
    <cellStyle name="Comma 9 2 3" xfId="1009"/>
    <cellStyle name="Comma 9 2 3 2" xfId="1010"/>
    <cellStyle name="Comma 9 2 3 2 2" xfId="1011"/>
    <cellStyle name="Comma 9 2 3 2 3" xfId="1012"/>
    <cellStyle name="Comma 9 2 3 3" xfId="1013"/>
    <cellStyle name="Comma 9 2 4" xfId="1014"/>
    <cellStyle name="Comma 9 2 4 2" xfId="1015"/>
    <cellStyle name="Comma 9 2 5" xfId="1016"/>
    <cellStyle name="Comma 9 3" xfId="1017"/>
    <cellStyle name="Comma 9 4" xfId="1018"/>
    <cellStyle name="Comma 9 4 2" xfId="1019"/>
    <cellStyle name="Comma 9 4 3" xfId="1020"/>
    <cellStyle name="Currency 2" xfId="1021"/>
    <cellStyle name="Currency 3" xfId="1022"/>
    <cellStyle name="Currency 3 2" xfId="1023"/>
    <cellStyle name="Currency 3 3" xfId="1024"/>
    <cellStyle name="Explanatory Text" xfId="1025" builtinId="53" customBuiltin="1"/>
    <cellStyle name="Good" xfId="1026" builtinId="26" customBuiltin="1"/>
    <cellStyle name="Good 2" xfId="1027"/>
    <cellStyle name="Good 2 2" xfId="1028"/>
    <cellStyle name="Good 2 3" xfId="1029"/>
    <cellStyle name="Good 3" xfId="1030"/>
    <cellStyle name="Good 3 2" xfId="1031"/>
    <cellStyle name="Good 3 3" xfId="1032"/>
    <cellStyle name="Good 4" xfId="1033"/>
    <cellStyle name="Good 4 2" xfId="1034"/>
    <cellStyle name="Good 4 3" xfId="1035"/>
    <cellStyle name="Good 5" xfId="1036"/>
    <cellStyle name="Good 5 2" xfId="1037"/>
    <cellStyle name="Good 5 3" xfId="1038"/>
    <cellStyle name="Good 6" xfId="1039"/>
    <cellStyle name="Good 6 2" xfId="1040"/>
    <cellStyle name="Good 6 3" xfId="1041"/>
    <cellStyle name="Good 7" xfId="1042"/>
    <cellStyle name="Good 7 2" xfId="1043"/>
    <cellStyle name="Good 7 3" xfId="1044"/>
    <cellStyle name="Good 8" xfId="1045"/>
    <cellStyle name="Good 8 2" xfId="1046"/>
    <cellStyle name="Good 8 3" xfId="1047"/>
    <cellStyle name="Good 9" xfId="1048"/>
    <cellStyle name="Heading 1" xfId="1049" builtinId="16" customBuiltin="1"/>
    <cellStyle name="Heading 1 2" xfId="1050"/>
    <cellStyle name="Heading 1 2 2" xfId="1051"/>
    <cellStyle name="Heading 1 2 3" xfId="1052"/>
    <cellStyle name="Heading 1 3" xfId="1053"/>
    <cellStyle name="Heading 1 3 2" xfId="1054"/>
    <cellStyle name="Heading 1 3 3" xfId="1055"/>
    <cellStyle name="Heading 1 4" xfId="1056"/>
    <cellStyle name="Heading 1 4 2" xfId="1057"/>
    <cellStyle name="Heading 1 4 3" xfId="1058"/>
    <cellStyle name="Heading 1 5" xfId="1059"/>
    <cellStyle name="Heading 1 5 2" xfId="1060"/>
    <cellStyle name="Heading 1 5 3" xfId="1061"/>
    <cellStyle name="Heading 1 6" xfId="1062"/>
    <cellStyle name="Heading 1 6 2" xfId="1063"/>
    <cellStyle name="Heading 1 6 3" xfId="1064"/>
    <cellStyle name="Heading 1 7" xfId="1065"/>
    <cellStyle name="Heading 1 7 2" xfId="1066"/>
    <cellStyle name="Heading 1 7 3" xfId="1067"/>
    <cellStyle name="Heading 1 8" xfId="1068"/>
    <cellStyle name="Heading 1 8 2" xfId="1069"/>
    <cellStyle name="Heading 1 8 3" xfId="1070"/>
    <cellStyle name="Heading 1 9" xfId="1071"/>
    <cellStyle name="Heading 2" xfId="1072" builtinId="17" customBuiltin="1"/>
    <cellStyle name="Heading 2 2" xfId="1073"/>
    <cellStyle name="Heading 2 2 2" xfId="1074"/>
    <cellStyle name="Heading 2 2 3" xfId="1075"/>
    <cellStyle name="Heading 2 3" xfId="1076"/>
    <cellStyle name="Heading 2 3 2" xfId="1077"/>
    <cellStyle name="Heading 2 3 3" xfId="1078"/>
    <cellStyle name="Heading 2 4" xfId="1079"/>
    <cellStyle name="Heading 2 4 2" xfId="1080"/>
    <cellStyle name="Heading 2 4 3" xfId="1081"/>
    <cellStyle name="Heading 2 5" xfId="1082"/>
    <cellStyle name="Heading 2 5 2" xfId="1083"/>
    <cellStyle name="Heading 2 5 3" xfId="1084"/>
    <cellStyle name="Heading 2 6" xfId="1085"/>
    <cellStyle name="Heading 2 6 2" xfId="1086"/>
    <cellStyle name="Heading 2 6 3" xfId="1087"/>
    <cellStyle name="Heading 2 7" xfId="1088"/>
    <cellStyle name="Heading 2 7 2" xfId="1089"/>
    <cellStyle name="Heading 2 7 3" xfId="1090"/>
    <cellStyle name="Heading 2 8" xfId="1091"/>
    <cellStyle name="Heading 2 8 2" xfId="1092"/>
    <cellStyle name="Heading 2 8 3" xfId="1093"/>
    <cellStyle name="Heading 2 9" xfId="1094"/>
    <cellStyle name="Heading 3" xfId="1095" builtinId="18" customBuiltin="1"/>
    <cellStyle name="Heading 3 2" xfId="1096"/>
    <cellStyle name="Heading 3 2 2" xfId="1097"/>
    <cellStyle name="Heading 3 2 3" xfId="1098"/>
    <cellStyle name="Heading 3 3" xfId="1099"/>
    <cellStyle name="Heading 3 3 2" xfId="1100"/>
    <cellStyle name="Heading 3 3 3" xfId="1101"/>
    <cellStyle name="Heading 3 4" xfId="1102"/>
    <cellStyle name="Heading 3 4 2" xfId="1103"/>
    <cellStyle name="Heading 3 4 3" xfId="1104"/>
    <cellStyle name="Heading 3 5" xfId="1105"/>
    <cellStyle name="Heading 3 5 2" xfId="1106"/>
    <cellStyle name="Heading 3 5 3" xfId="1107"/>
    <cellStyle name="Heading 3 6" xfId="1108"/>
    <cellStyle name="Heading 3 6 2" xfId="1109"/>
    <cellStyle name="Heading 3 6 3" xfId="1110"/>
    <cellStyle name="Heading 3 7" xfId="1111"/>
    <cellStyle name="Heading 3 7 2" xfId="1112"/>
    <cellStyle name="Heading 3 7 3" xfId="1113"/>
    <cellStyle name="Heading 3 8" xfId="1114"/>
    <cellStyle name="Heading 3 8 2" xfId="1115"/>
    <cellStyle name="Heading 3 8 3" xfId="1116"/>
    <cellStyle name="Heading 3 9" xfId="1117"/>
    <cellStyle name="Heading 4" xfId="1118" builtinId="19" customBuiltin="1"/>
    <cellStyle name="Heading 4 2" xfId="1119"/>
    <cellStyle name="Heading 4 2 2" xfId="1120"/>
    <cellStyle name="Heading 4 2 3" xfId="1121"/>
    <cellStyle name="Heading 4 3" xfId="1122"/>
    <cellStyle name="Heading 4 3 2" xfId="1123"/>
    <cellStyle name="Heading 4 3 3" xfId="1124"/>
    <cellStyle name="Heading 4 4" xfId="1125"/>
    <cellStyle name="Heading 4 4 2" xfId="1126"/>
    <cellStyle name="Heading 4 4 3" xfId="1127"/>
    <cellStyle name="Heading 4 5" xfId="1128"/>
    <cellStyle name="Heading 4 5 2" xfId="1129"/>
    <cellStyle name="Heading 4 5 3" xfId="1130"/>
    <cellStyle name="Heading 4 6" xfId="1131"/>
    <cellStyle name="Heading 4 6 2" xfId="1132"/>
    <cellStyle name="Heading 4 6 3" xfId="1133"/>
    <cellStyle name="Heading 4 7" xfId="1134"/>
    <cellStyle name="Heading 4 7 2" xfId="1135"/>
    <cellStyle name="Heading 4 7 3" xfId="1136"/>
    <cellStyle name="Heading 4 8" xfId="1137"/>
    <cellStyle name="Heading 4 8 2" xfId="1138"/>
    <cellStyle name="Heading 4 8 3" xfId="1139"/>
    <cellStyle name="Heading 4 9" xfId="1140"/>
    <cellStyle name="Input" xfId="1141" builtinId="20" customBuiltin="1"/>
    <cellStyle name="Input 2" xfId="1142"/>
    <cellStyle name="Input 2 2" xfId="1143"/>
    <cellStyle name="Input 2 3" xfId="1144"/>
    <cellStyle name="Input 3" xfId="1145"/>
    <cellStyle name="Input 3 2" xfId="1146"/>
    <cellStyle name="Input 3 3" xfId="1147"/>
    <cellStyle name="Input 4" xfId="1148"/>
    <cellStyle name="Input 4 2" xfId="1149"/>
    <cellStyle name="Input 4 3" xfId="1150"/>
    <cellStyle name="Input 5" xfId="1151"/>
    <cellStyle name="Input 5 2" xfId="1152"/>
    <cellStyle name="Input 5 3" xfId="1153"/>
    <cellStyle name="Input 6" xfId="1154"/>
    <cellStyle name="Input 6 2" xfId="1155"/>
    <cellStyle name="Input 6 3" xfId="1156"/>
    <cellStyle name="Input 7" xfId="1157"/>
    <cellStyle name="Input 7 2" xfId="1158"/>
    <cellStyle name="Input 7 3" xfId="1159"/>
    <cellStyle name="Input 8" xfId="1160"/>
    <cellStyle name="Input 8 2" xfId="1161"/>
    <cellStyle name="Input 8 3" xfId="1162"/>
    <cellStyle name="Input 9" xfId="1163"/>
    <cellStyle name="Linked Cell" xfId="1164" builtinId="24" customBuiltin="1"/>
    <cellStyle name="Linked Cell 2" xfId="1165"/>
    <cellStyle name="Linked Cell 2 2" xfId="1166"/>
    <cellStyle name="Linked Cell 2 3" xfId="1167"/>
    <cellStyle name="Linked Cell 3" xfId="1168"/>
    <cellStyle name="Linked Cell 3 2" xfId="1169"/>
    <cellStyle name="Linked Cell 3 3" xfId="1170"/>
    <cellStyle name="Linked Cell 4" xfId="1171"/>
    <cellStyle name="Linked Cell 4 2" xfId="1172"/>
    <cellStyle name="Linked Cell 4 3" xfId="1173"/>
    <cellStyle name="Linked Cell 5" xfId="1174"/>
    <cellStyle name="Linked Cell 5 2" xfId="1175"/>
    <cellStyle name="Linked Cell 5 3" xfId="1176"/>
    <cellStyle name="Linked Cell 6" xfId="1177"/>
    <cellStyle name="Linked Cell 6 2" xfId="1178"/>
    <cellStyle name="Linked Cell 6 3" xfId="1179"/>
    <cellStyle name="Linked Cell 7" xfId="1180"/>
    <cellStyle name="Linked Cell 7 2" xfId="1181"/>
    <cellStyle name="Linked Cell 7 3" xfId="1182"/>
    <cellStyle name="Linked Cell 8" xfId="1183"/>
    <cellStyle name="Linked Cell 8 2" xfId="1184"/>
    <cellStyle name="Linked Cell 8 3" xfId="1185"/>
    <cellStyle name="Linked Cell 9" xfId="1186"/>
    <cellStyle name="Neutral" xfId="1187" builtinId="28" customBuiltin="1"/>
    <cellStyle name="Neutral 2" xfId="1188"/>
    <cellStyle name="Neutral 2 2" xfId="1189"/>
    <cellStyle name="Neutral 2 3" xfId="1190"/>
    <cellStyle name="Neutral 3" xfId="1191"/>
    <cellStyle name="Neutral 3 2" xfId="1192"/>
    <cellStyle name="Neutral 3 3" xfId="1193"/>
    <cellStyle name="Neutral 4" xfId="1194"/>
    <cellStyle name="Neutral 4 2" xfId="1195"/>
    <cellStyle name="Neutral 4 3" xfId="1196"/>
    <cellStyle name="Neutral 5" xfId="1197"/>
    <cellStyle name="Neutral 5 2" xfId="1198"/>
    <cellStyle name="Neutral 5 3" xfId="1199"/>
    <cellStyle name="Neutral 6" xfId="1200"/>
    <cellStyle name="Neutral 6 2" xfId="1201"/>
    <cellStyle name="Neutral 6 3" xfId="1202"/>
    <cellStyle name="Neutral 7" xfId="1203"/>
    <cellStyle name="Neutral 7 2" xfId="1204"/>
    <cellStyle name="Neutral 7 3" xfId="1205"/>
    <cellStyle name="Neutral 8" xfId="1206"/>
    <cellStyle name="Neutral 8 2" xfId="1207"/>
    <cellStyle name="Neutral 8 3" xfId="1208"/>
    <cellStyle name="Neutral 9" xfId="1209"/>
    <cellStyle name="Normal" xfId="0" builtinId="0"/>
    <cellStyle name="Normal 10" xfId="1210"/>
    <cellStyle name="Normal 10 2" xfId="1211"/>
    <cellStyle name="Normal 10 3" xfId="1212"/>
    <cellStyle name="Normal 11" xfId="1213"/>
    <cellStyle name="Normal 11 2" xfId="1214"/>
    <cellStyle name="Normal 16" xfId="1215"/>
    <cellStyle name="Normal 2" xfId="1216"/>
    <cellStyle name="Normal 2 2" xfId="1217"/>
    <cellStyle name="Normal 2 3" xfId="1218"/>
    <cellStyle name="Normal 3" xfId="1219"/>
    <cellStyle name="Normal 3 2" xfId="1220"/>
    <cellStyle name="Normal 3 3" xfId="1221"/>
    <cellStyle name="Normal 3 4" xfId="1222"/>
    <cellStyle name="Normal 4" xfId="1223"/>
    <cellStyle name="Normal 4 2" xfId="1224"/>
    <cellStyle name="Normal 4 3" xfId="1225"/>
    <cellStyle name="Normal 5" xfId="1226"/>
    <cellStyle name="Normal 5 2" xfId="1227"/>
    <cellStyle name="Normal 5 3" xfId="1228"/>
    <cellStyle name="Normal 5 4" xfId="1229"/>
    <cellStyle name="Normal 5 4 2" xfId="1230"/>
    <cellStyle name="Normal 5 5" xfId="1231"/>
    <cellStyle name="Normal 6" xfId="1232"/>
    <cellStyle name="Normal 6 2" xfId="1233"/>
    <cellStyle name="Normal 6 3" xfId="1234"/>
    <cellStyle name="Normal 6 4" xfId="1235"/>
    <cellStyle name="Normal 7" xfId="1236"/>
    <cellStyle name="Normal 7 2" xfId="1237"/>
    <cellStyle name="Normal 7 3" xfId="1238"/>
    <cellStyle name="Normal 8" xfId="1239"/>
    <cellStyle name="Normal 8 2" xfId="1240"/>
    <cellStyle name="Note" xfId="1241" builtinId="10" customBuiltin="1"/>
    <cellStyle name="Note 10" xfId="1242"/>
    <cellStyle name="Note 10 2" xfId="1243"/>
    <cellStyle name="Note 11" xfId="1244"/>
    <cellStyle name="Note 11 2" xfId="1245"/>
    <cellStyle name="Note 12" xfId="1246"/>
    <cellStyle name="Note 12 2" xfId="1247"/>
    <cellStyle name="Note 13" xfId="1248"/>
    <cellStyle name="Note 2" xfId="1249"/>
    <cellStyle name="Note 2 2" xfId="1250"/>
    <cellStyle name="Note 2 2 2" xfId="1251"/>
    <cellStyle name="Note 2 2 2 2" xfId="1252"/>
    <cellStyle name="Note 2 2 2 3" xfId="1253"/>
    <cellStyle name="Note 2 2 3" xfId="1254"/>
    <cellStyle name="Note 2 2 3 2" xfId="1255"/>
    <cellStyle name="Note 2 2 4" xfId="1256"/>
    <cellStyle name="Note 2 2 4 2" xfId="1257"/>
    <cellStyle name="Note 2 2 5" xfId="1258"/>
    <cellStyle name="Note 2 3" xfId="1259"/>
    <cellStyle name="Note 2 3 2" xfId="1260"/>
    <cellStyle name="Note 2 3 2 2" xfId="1261"/>
    <cellStyle name="Note 2 3 3" xfId="1262"/>
    <cellStyle name="Note 2 3 3 2" xfId="1263"/>
    <cellStyle name="Note 2 3 3 3" xfId="1264"/>
    <cellStyle name="Note 2 3 4" xfId="1265"/>
    <cellStyle name="Note 2 4" xfId="1266"/>
    <cellStyle name="Note 2 4 2" xfId="1267"/>
    <cellStyle name="Note 2 4 3" xfId="1268"/>
    <cellStyle name="Note 2 5" xfId="1269"/>
    <cellStyle name="Note 3" xfId="1270"/>
    <cellStyle name="Note 3 2" xfId="1271"/>
    <cellStyle name="Note 3 2 2" xfId="1272"/>
    <cellStyle name="Note 3 2 2 2" xfId="1273"/>
    <cellStyle name="Note 3 2 3" xfId="1274"/>
    <cellStyle name="Note 3 2 3 2" xfId="1275"/>
    <cellStyle name="Note 3 2 4" xfId="1276"/>
    <cellStyle name="Note 3 3" xfId="1277"/>
    <cellStyle name="Note 3 3 2" xfId="1278"/>
    <cellStyle name="Note 3 3 3" xfId="1279"/>
    <cellStyle name="Note 3 4" xfId="1280"/>
    <cellStyle name="Note 3 4 2" xfId="1281"/>
    <cellStyle name="Note 3 5" xfId="1282"/>
    <cellStyle name="Note 3 5 2" xfId="1283"/>
    <cellStyle name="Note 3 6" xfId="1284"/>
    <cellStyle name="Note 4" xfId="1285"/>
    <cellStyle name="Note 4 2" xfId="1286"/>
    <cellStyle name="Note 4 2 2" xfId="1287"/>
    <cellStyle name="Note 4 2 3" xfId="1288"/>
    <cellStyle name="Note 4 3" xfId="1289"/>
    <cellStyle name="Note 4 3 2" xfId="1290"/>
    <cellStyle name="Note 4 3 2 2" xfId="1291"/>
    <cellStyle name="Note 4 3 3" xfId="1292"/>
    <cellStyle name="Note 4 3 3 2" xfId="1293"/>
    <cellStyle name="Note 4 3 4" xfId="1294"/>
    <cellStyle name="Note 4 4" xfId="1295"/>
    <cellStyle name="Note 4 4 2" xfId="1296"/>
    <cellStyle name="Note 4 4 3" xfId="1297"/>
    <cellStyle name="Note 4 5" xfId="1298"/>
    <cellStyle name="Note 5" xfId="1299"/>
    <cellStyle name="Note 5 2" xfId="1300"/>
    <cellStyle name="Note 5 2 2" xfId="1301"/>
    <cellStyle name="Note 5 2 2 2" xfId="1302"/>
    <cellStyle name="Note 5 2 3" xfId="1303"/>
    <cellStyle name="Note 5 2 3 2" xfId="1304"/>
    <cellStyle name="Note 5 2 4" xfId="1305"/>
    <cellStyle name="Note 5 3" xfId="1306"/>
    <cellStyle name="Note 5 3 2" xfId="1307"/>
    <cellStyle name="Note 5 3 3" xfId="1308"/>
    <cellStyle name="Note 5 4" xfId="1309"/>
    <cellStyle name="Note 5 4 2" xfId="1310"/>
    <cellStyle name="Note 5 5" xfId="1311"/>
    <cellStyle name="Note 5 5 2" xfId="1312"/>
    <cellStyle name="Note 5 6" xfId="1313"/>
    <cellStyle name="Note 6" xfId="1314"/>
    <cellStyle name="Note 6 2" xfId="1315"/>
    <cellStyle name="Note 6 2 2" xfId="1316"/>
    <cellStyle name="Note 6 2 3" xfId="1317"/>
    <cellStyle name="Note 6 3" xfId="1318"/>
    <cellStyle name="Note 6 3 2" xfId="1319"/>
    <cellStyle name="Note 6 3 3" xfId="1320"/>
    <cellStyle name="Note 6 4" xfId="1321"/>
    <cellStyle name="Note 6 5" xfId="1322"/>
    <cellStyle name="Note 7" xfId="1323"/>
    <cellStyle name="Note 7 2" xfId="1324"/>
    <cellStyle name="Note 7 2 2" xfId="1325"/>
    <cellStyle name="Note 7 2 2 2" xfId="1326"/>
    <cellStyle name="Note 7 2 3" xfId="1327"/>
    <cellStyle name="Note 7 2 3 2" xfId="1328"/>
    <cellStyle name="Note 7 2 4" xfId="1329"/>
    <cellStyle name="Note 7 3" xfId="1330"/>
    <cellStyle name="Note 7 3 2" xfId="1331"/>
    <cellStyle name="Note 7 3 3" xfId="1332"/>
    <cellStyle name="Note 7 4" xfId="1333"/>
    <cellStyle name="Note 8" xfId="1334"/>
    <cellStyle name="Note 8 2" xfId="1335"/>
    <cellStyle name="Note 8 2 2" xfId="1336"/>
    <cellStyle name="Note 8 2 3" xfId="1337"/>
    <cellStyle name="Note 8 3" xfId="1338"/>
    <cellStyle name="Note 8 3 2" xfId="1339"/>
    <cellStyle name="Note 8 3 3" xfId="1340"/>
    <cellStyle name="Note 8 4" xfId="1341"/>
    <cellStyle name="Note 8 4 2" xfId="1342"/>
    <cellStyle name="Note 8 5" xfId="1343"/>
    <cellStyle name="Note 8 5 2" xfId="1344"/>
    <cellStyle name="Note 8 6" xfId="1345"/>
    <cellStyle name="Note 9" xfId="1346"/>
    <cellStyle name="Note 9 2" xfId="1347"/>
    <cellStyle name="Note 9 2 2" xfId="1348"/>
    <cellStyle name="Note 9 3" xfId="1349"/>
    <cellStyle name="Note 9 3 2" xfId="1350"/>
    <cellStyle name="Note 9 4" xfId="1351"/>
    <cellStyle name="Output" xfId="1352" builtinId="21" customBuiltin="1"/>
    <cellStyle name="Output 2" xfId="1353"/>
    <cellStyle name="Output 2 2" xfId="1354"/>
    <cellStyle name="Output 2 3" xfId="1355"/>
    <cellStyle name="Output 3" xfId="1356"/>
    <cellStyle name="Output 3 2" xfId="1357"/>
    <cellStyle name="Output 3 3" xfId="1358"/>
    <cellStyle name="Output 4" xfId="1359"/>
    <cellStyle name="Output 4 2" xfId="1360"/>
    <cellStyle name="Output 4 3" xfId="1361"/>
    <cellStyle name="Output 5" xfId="1362"/>
    <cellStyle name="Output 5 2" xfId="1363"/>
    <cellStyle name="Output 5 3" xfId="1364"/>
    <cellStyle name="Output 6" xfId="1365"/>
    <cellStyle name="Output 6 2" xfId="1366"/>
    <cellStyle name="Output 6 3" xfId="1367"/>
    <cellStyle name="Output 7" xfId="1368"/>
    <cellStyle name="Output 7 2" xfId="1369"/>
    <cellStyle name="Output 7 3" xfId="1370"/>
    <cellStyle name="Output 8" xfId="1371"/>
    <cellStyle name="Output 8 2" xfId="1372"/>
    <cellStyle name="Output 8 3" xfId="1373"/>
    <cellStyle name="Output 9" xfId="1374"/>
    <cellStyle name="Percent" xfId="1375" builtinId="5"/>
    <cellStyle name="Percent 15" xfId="1376"/>
    <cellStyle name="Percent 15 2" xfId="1377"/>
    <cellStyle name="Percent 15 3" xfId="1378"/>
    <cellStyle name="Percent 15 3 2" xfId="1379"/>
    <cellStyle name="Percent 16" xfId="1380"/>
    <cellStyle name="Percent 16 2" xfId="1381"/>
    <cellStyle name="Percent 17" xfId="1382"/>
    <cellStyle name="Percent 17 2" xfId="1383"/>
    <cellStyle name="Percent 17 3" xfId="1384"/>
    <cellStyle name="Percent 17 3 2" xfId="1385"/>
    <cellStyle name="Percent 18" xfId="1386"/>
    <cellStyle name="Percent 2" xfId="1387"/>
    <cellStyle name="Percent 2 2" xfId="1388"/>
    <cellStyle name="Percent 2 2 2" xfId="1389"/>
    <cellStyle name="Percent 2 2 2 2" xfId="1390"/>
    <cellStyle name="Percent 2 2 2 2 2" xfId="1391"/>
    <cellStyle name="Percent 2 2 3" xfId="1392"/>
    <cellStyle name="Percent 2 2 3 2" xfId="1393"/>
    <cellStyle name="Percent 2 2 4" xfId="1394"/>
    <cellStyle name="Percent 2 2 4 2" xfId="1395"/>
    <cellStyle name="Percent 2 2 5" xfId="1396"/>
    <cellStyle name="Percent 2 3" xfId="1397"/>
    <cellStyle name="Percent 2 3 2" xfId="1398"/>
    <cellStyle name="Percent 2 3 3" xfId="1399"/>
    <cellStyle name="Percent 2 4" xfId="1400"/>
    <cellStyle name="Percent 2 5" xfId="1401"/>
    <cellStyle name="Percent 2 6" xfId="1402"/>
    <cellStyle name="Percent 3" xfId="1403"/>
    <cellStyle name="Percent 3 2" xfId="1404"/>
    <cellStyle name="Percent 3 3" xfId="1405"/>
    <cellStyle name="Percent 3 4" xfId="1406"/>
    <cellStyle name="Percent 3 5" xfId="1407"/>
    <cellStyle name="Percent 3 5 2" xfId="1408"/>
    <cellStyle name="Percent 3 6" xfId="1409"/>
    <cellStyle name="Percent 3 7" xfId="1410"/>
    <cellStyle name="Percent 4" xfId="1411"/>
    <cellStyle name="Percent 4 2" xfId="1412"/>
    <cellStyle name="Percent 4 2 2" xfId="1413"/>
    <cellStyle name="Percent 4 2 2 2" xfId="1414"/>
    <cellStyle name="Percent 4 2 3" xfId="1415"/>
    <cellStyle name="Percent 4 2 3 2" xfId="1416"/>
    <cellStyle name="Percent 4 2 4" xfId="1417"/>
    <cellStyle name="Percent 4 3" xfId="1418"/>
    <cellStyle name="Percent 4 3 2" xfId="1419"/>
    <cellStyle name="Percent 4 3 2 2" xfId="1420"/>
    <cellStyle name="Percent 4 3 2 3" xfId="1421"/>
    <cellStyle name="Percent 4 3 3" xfId="1422"/>
    <cellStyle name="Percent 4 3 4" xfId="1423"/>
    <cellStyle name="Percent 4 4" xfId="1424"/>
    <cellStyle name="Percent 4 4 2" xfId="1425"/>
    <cellStyle name="Percent 4 4 3" xfId="1426"/>
    <cellStyle name="Percent 5" xfId="1427"/>
    <cellStyle name="Percent 5 2" xfId="1428"/>
    <cellStyle name="Percent 5 3" xfId="1429"/>
    <cellStyle name="Percent 6" xfId="1430"/>
    <cellStyle name="Percent 6 2" xfId="1431"/>
    <cellStyle name="Percent 6 2 2" xfId="1432"/>
    <cellStyle name="Percent 6 3" xfId="1433"/>
    <cellStyle name="Percent 6 4" xfId="1434"/>
    <cellStyle name="Percent 7" xfId="1435"/>
    <cellStyle name="Percent 7 2" xfId="1436"/>
    <cellStyle name="Percent 7 3" xfId="1437"/>
    <cellStyle name="Percent 8" xfId="1438"/>
    <cellStyle name="Percent 9" xfId="1439"/>
    <cellStyle name="Title" xfId="1440" builtinId="15" customBuiltin="1"/>
    <cellStyle name="Title 2" xfId="1441"/>
    <cellStyle name="Title 2 2" xfId="1442"/>
    <cellStyle name="Title 2 3" xfId="1443"/>
    <cellStyle name="Title 3" xfId="1444"/>
    <cellStyle name="Title 3 2" xfId="1445"/>
    <cellStyle name="Title 3 3" xfId="1446"/>
    <cellStyle name="Title 4" xfId="1447"/>
    <cellStyle name="Title 4 2" xfId="1448"/>
    <cellStyle name="Title 4 3" xfId="1449"/>
    <cellStyle name="Title 5" xfId="1450"/>
    <cellStyle name="Title 5 2" xfId="1451"/>
    <cellStyle name="Title 5 3" xfId="1452"/>
    <cellStyle name="Title 6" xfId="1453"/>
    <cellStyle name="Title 6 2" xfId="1454"/>
    <cellStyle name="Title 6 3" xfId="1455"/>
    <cellStyle name="Title 7" xfId="1456"/>
    <cellStyle name="Title 7 2" xfId="1457"/>
    <cellStyle name="Title 7 3" xfId="1458"/>
    <cellStyle name="Title 8" xfId="1459"/>
    <cellStyle name="Title 8 2" xfId="1460"/>
    <cellStyle name="Title 8 3" xfId="1461"/>
    <cellStyle name="Title 9" xfId="1462"/>
    <cellStyle name="Total" xfId="1463" builtinId="25" customBuiltin="1"/>
    <cellStyle name="Total 2" xfId="1464"/>
    <cellStyle name="Total 2 2" xfId="1465"/>
    <cellStyle name="Total 2 3" xfId="1466"/>
    <cellStyle name="Total 3" xfId="1467"/>
    <cellStyle name="Total 3 2" xfId="1468"/>
    <cellStyle name="Total 3 3" xfId="1469"/>
    <cellStyle name="Total 4" xfId="1470"/>
    <cellStyle name="Total 4 2" xfId="1471"/>
    <cellStyle name="Total 4 3" xfId="1472"/>
    <cellStyle name="Total 5" xfId="1473"/>
    <cellStyle name="Total 5 2" xfId="1474"/>
    <cellStyle name="Total 5 3" xfId="1475"/>
    <cellStyle name="Total 6" xfId="1476"/>
    <cellStyle name="Total 6 2" xfId="1477"/>
    <cellStyle name="Total 6 3" xfId="1478"/>
    <cellStyle name="Total 7" xfId="1479"/>
    <cellStyle name="Total 7 2" xfId="1480"/>
    <cellStyle name="Total 7 3" xfId="1481"/>
    <cellStyle name="Total 8" xfId="1482"/>
    <cellStyle name="Total 8 2" xfId="1483"/>
    <cellStyle name="Total 8 3" xfId="1484"/>
    <cellStyle name="Total 9" xfId="1485"/>
    <cellStyle name="Warning Text" xfId="148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catraz\BWA%20Shared\WINDOWS\TEMP\consumption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es"/>
      <sheetName val="Residential"/>
      <sheetName val="Business"/>
      <sheetName val="Sewer"/>
      <sheetName val="Sheet2"/>
      <sheetName val="Sheet3"/>
    </sheetNames>
    <sheetDataSet>
      <sheetData sheetId="0">
        <row r="3">
          <cell r="A3" t="str">
            <v>FOR THE YEAR ENDED JUNE 30, 2001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O66"/>
  <sheetViews>
    <sheetView workbookViewId="0">
      <selection activeCell="O14" sqref="O14"/>
    </sheetView>
  </sheetViews>
  <sheetFormatPr defaultRowHeight="15" outlineLevelRow="1" x14ac:dyDescent="0.25"/>
  <cols>
    <col min="1" max="1" width="3.28515625" bestFit="1" customWidth="1"/>
    <col min="2" max="2" width="41.140625" customWidth="1"/>
    <col min="3" max="3" width="21.42578125" customWidth="1"/>
    <col min="4" max="4" width="12.140625" hidden="1" customWidth="1"/>
    <col min="5" max="5" width="5.42578125" hidden="1" customWidth="1"/>
    <col min="6" max="7" width="15.7109375" customWidth="1"/>
    <col min="8" max="10" width="15.7109375" hidden="1" customWidth="1"/>
    <col min="11" max="11" width="15.7109375" style="509" customWidth="1"/>
    <col min="12" max="12" width="3.28515625" bestFit="1" customWidth="1"/>
    <col min="13" max="13" width="11.28515625" style="367" bestFit="1" customWidth="1"/>
    <col min="15" max="15" width="9.7109375" bestFit="1" customWidth="1"/>
  </cols>
  <sheetData>
    <row r="1" spans="1:15" ht="15.75" x14ac:dyDescent="0.25">
      <c r="A1" s="566" t="s">
        <v>1867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373"/>
      <c r="N1" s="376"/>
      <c r="O1" s="376"/>
    </row>
    <row r="2" spans="1:15" ht="15.75" x14ac:dyDescent="0.25">
      <c r="A2" s="566" t="s">
        <v>1889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373"/>
      <c r="N2" s="376"/>
      <c r="O2" s="376"/>
    </row>
    <row r="3" spans="1:15" ht="15.75" x14ac:dyDescent="0.25">
      <c r="A3" s="566" t="str">
        <f>'All Departments'!A3</f>
        <v>JULY - DECEMBER 2014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373"/>
      <c r="N3" s="376"/>
      <c r="O3" s="376"/>
    </row>
    <row r="4" spans="1:15" ht="15.75" x14ac:dyDescent="0.25">
      <c r="A4" s="375"/>
      <c r="B4" s="375"/>
      <c r="C4" s="375"/>
      <c r="D4" s="375"/>
      <c r="E4" s="375"/>
      <c r="F4" s="375"/>
      <c r="G4" s="375"/>
      <c r="H4" s="375"/>
      <c r="I4" s="375"/>
      <c r="J4" s="375"/>
      <c r="L4" s="375"/>
      <c r="M4" s="372"/>
      <c r="N4" s="375"/>
      <c r="O4" s="375"/>
    </row>
    <row r="5" spans="1:15" ht="15.75" hidden="1" x14ac:dyDescent="0.25">
      <c r="A5" s="377">
        <v>1</v>
      </c>
      <c r="B5" s="378">
        <v>2</v>
      </c>
      <c r="C5" s="379"/>
      <c r="D5" s="378">
        <v>3</v>
      </c>
      <c r="E5" s="380">
        <v>4</v>
      </c>
      <c r="F5" s="378">
        <v>5</v>
      </c>
      <c r="G5" s="380">
        <v>6</v>
      </c>
      <c r="H5" s="378">
        <v>7</v>
      </c>
      <c r="I5" s="377">
        <v>8</v>
      </c>
      <c r="J5" s="380">
        <v>9</v>
      </c>
      <c r="K5" s="380">
        <v>9</v>
      </c>
      <c r="L5" s="377">
        <v>10</v>
      </c>
      <c r="M5" s="371"/>
      <c r="N5" s="381"/>
      <c r="O5" s="381"/>
    </row>
    <row r="6" spans="1:15" ht="15.75" x14ac:dyDescent="0.25">
      <c r="A6" s="377" t="s">
        <v>1868</v>
      </c>
      <c r="B6" s="561"/>
      <c r="C6" s="379"/>
      <c r="D6" s="562" t="s">
        <v>1869</v>
      </c>
      <c r="E6" s="563"/>
      <c r="F6" s="562" t="s">
        <v>1870</v>
      </c>
      <c r="G6" s="563"/>
      <c r="H6" s="378" t="s">
        <v>1871</v>
      </c>
      <c r="I6" s="564" t="s">
        <v>1872</v>
      </c>
      <c r="J6" s="379"/>
      <c r="K6" s="379"/>
      <c r="L6" s="377" t="s">
        <v>1868</v>
      </c>
      <c r="M6" s="373"/>
      <c r="N6" s="376"/>
      <c r="O6" s="376"/>
    </row>
    <row r="7" spans="1:15" ht="15.75" x14ac:dyDescent="0.25">
      <c r="A7" s="386" t="s">
        <v>1873</v>
      </c>
      <c r="B7" s="382" t="s">
        <v>1874</v>
      </c>
      <c r="C7" s="383"/>
      <c r="D7" s="384" t="s">
        <v>1875</v>
      </c>
      <c r="E7" s="385" t="s">
        <v>1876</v>
      </c>
      <c r="F7" s="384" t="s">
        <v>1875</v>
      </c>
      <c r="G7" s="385" t="s">
        <v>1876</v>
      </c>
      <c r="H7" s="384" t="s">
        <v>1875</v>
      </c>
      <c r="I7" s="386" t="s">
        <v>1877</v>
      </c>
      <c r="J7" s="385" t="s">
        <v>29</v>
      </c>
      <c r="K7" s="385" t="s">
        <v>29</v>
      </c>
      <c r="L7" s="386" t="s">
        <v>1873</v>
      </c>
      <c r="M7" s="373"/>
      <c r="N7" s="376"/>
      <c r="O7" s="376"/>
    </row>
    <row r="8" spans="1:15" ht="15.75" x14ac:dyDescent="0.25">
      <c r="A8" s="387">
        <v>1</v>
      </c>
      <c r="B8" s="388" t="s">
        <v>24</v>
      </c>
      <c r="C8" s="388"/>
      <c r="D8" s="389">
        <f>SUM(Revenue!E9:E13,Revenue!E19)</f>
        <v>1908137.83</v>
      </c>
      <c r="E8" s="389">
        <f>SUM(Revenue!K9:K13,Revenue!K19)</f>
        <v>0</v>
      </c>
      <c r="F8" s="389">
        <f>SUM(Revenue!Q9:Q13,Revenue!Q19)</f>
        <v>1728009.19</v>
      </c>
      <c r="G8" s="389">
        <f>SUM(Revenue!W9:W13,Revenue!W19)</f>
        <v>0</v>
      </c>
      <c r="H8" s="390">
        <f>SUM(Revenue!AC9:AC13,Revenue!AC19)</f>
        <v>0</v>
      </c>
      <c r="I8" s="389">
        <f>SUM(Revenue!AI9:AI13,Revenue!AI19)</f>
        <v>0</v>
      </c>
      <c r="J8" s="391">
        <f>SUM(D8:G8)</f>
        <v>3636147.02</v>
      </c>
      <c r="K8" s="391">
        <f>SUM(F8:G8)</f>
        <v>1728009.19</v>
      </c>
      <c r="L8" s="395">
        <v>1</v>
      </c>
      <c r="M8" s="370"/>
      <c r="N8" s="392"/>
      <c r="O8" s="393"/>
    </row>
    <row r="9" spans="1:15" ht="15.75" x14ac:dyDescent="0.25">
      <c r="A9" s="395">
        <v>2</v>
      </c>
      <c r="B9" s="396" t="s">
        <v>9</v>
      </c>
      <c r="C9" s="396"/>
      <c r="D9" s="397">
        <f>Revenue!E18</f>
        <v>0</v>
      </c>
      <c r="E9" s="397">
        <f>Revenue!K18</f>
        <v>0</v>
      </c>
      <c r="F9" s="397">
        <f>Revenue!Q18</f>
        <v>485566.75</v>
      </c>
      <c r="G9" s="397">
        <f>Revenue!W18</f>
        <v>0</v>
      </c>
      <c r="H9" s="398">
        <f>Revenue!AC18</f>
        <v>0</v>
      </c>
      <c r="I9" s="397">
        <f>Revenue!AI18</f>
        <v>0</v>
      </c>
      <c r="J9" s="399">
        <f t="shared" ref="J9:J23" si="0">SUM(D9:G9)</f>
        <v>485566.75</v>
      </c>
      <c r="K9" s="399">
        <f t="shared" ref="K9:K23" si="1">SUM(F9:G9)</f>
        <v>485566.75</v>
      </c>
      <c r="L9" s="395">
        <v>2</v>
      </c>
      <c r="M9" s="370"/>
      <c r="N9" s="392"/>
      <c r="O9" s="393"/>
    </row>
    <row r="10" spans="1:15" ht="15.75" x14ac:dyDescent="0.25">
      <c r="A10" s="395">
        <v>3</v>
      </c>
      <c r="B10" s="396" t="s">
        <v>188</v>
      </c>
      <c r="C10" s="396"/>
      <c r="D10" s="397">
        <f>Revenue!E15</f>
        <v>0</v>
      </c>
      <c r="E10" s="397">
        <f>Revenue!K15</f>
        <v>0</v>
      </c>
      <c r="F10" s="397">
        <f>Revenue!Q15</f>
        <v>959975.36</v>
      </c>
      <c r="G10" s="397">
        <f>Revenue!W15</f>
        <v>0</v>
      </c>
      <c r="H10" s="398">
        <f>Revenue!AC15</f>
        <v>0</v>
      </c>
      <c r="I10" s="397">
        <f>Revenue!AI15</f>
        <v>0</v>
      </c>
      <c r="J10" s="399">
        <f t="shared" si="0"/>
        <v>959975.36</v>
      </c>
      <c r="K10" s="399">
        <f t="shared" si="1"/>
        <v>959975.36</v>
      </c>
      <c r="L10" s="395">
        <v>3</v>
      </c>
      <c r="M10" s="370"/>
      <c r="N10" s="392"/>
      <c r="O10" s="394"/>
    </row>
    <row r="11" spans="1:15" ht="15.75" x14ac:dyDescent="0.25">
      <c r="A11" s="395">
        <v>4</v>
      </c>
      <c r="B11" s="396" t="s">
        <v>22</v>
      </c>
      <c r="C11" s="396"/>
      <c r="D11" s="397">
        <f>SUM(Revenue!E24:E25)</f>
        <v>0</v>
      </c>
      <c r="E11" s="397">
        <f>SUM(Revenue!K24:K25)</f>
        <v>440095.52</v>
      </c>
      <c r="F11" s="397">
        <f>SUM(Revenue!Q24:Q25)</f>
        <v>0</v>
      </c>
      <c r="G11" s="397">
        <f>SUM(Revenue!W24:W25)</f>
        <v>887305.16</v>
      </c>
      <c r="H11" s="398">
        <f>SUM(Revenue!AC24:AC25)</f>
        <v>0</v>
      </c>
      <c r="I11" s="397">
        <f>SUM(Revenue!AI24:AI25)</f>
        <v>0</v>
      </c>
      <c r="J11" s="399">
        <f t="shared" si="0"/>
        <v>1327400.6800000002</v>
      </c>
      <c r="K11" s="399">
        <f t="shared" si="1"/>
        <v>887305.16</v>
      </c>
      <c r="L11" s="395">
        <v>4</v>
      </c>
      <c r="M11" s="370"/>
      <c r="N11" s="392"/>
      <c r="O11" s="393"/>
    </row>
    <row r="12" spans="1:15" ht="15.75" x14ac:dyDescent="0.25">
      <c r="A12" s="395">
        <v>5</v>
      </c>
      <c r="B12" s="396" t="s">
        <v>6</v>
      </c>
      <c r="C12" s="396"/>
      <c r="D12" s="397">
        <f>Revenue!E14</f>
        <v>43857.36</v>
      </c>
      <c r="E12" s="397">
        <f>Revenue!K14</f>
        <v>0</v>
      </c>
      <c r="F12" s="397">
        <f>Revenue!Q14</f>
        <v>58139.81</v>
      </c>
      <c r="G12" s="397">
        <f>Revenue!W14</f>
        <v>0</v>
      </c>
      <c r="H12" s="398">
        <f>Revenue!AC14</f>
        <v>0</v>
      </c>
      <c r="I12" s="397">
        <f>Revenue!AI14</f>
        <v>0</v>
      </c>
      <c r="J12" s="399">
        <f t="shared" si="0"/>
        <v>101997.17</v>
      </c>
      <c r="K12" s="399">
        <f t="shared" si="1"/>
        <v>58139.81</v>
      </c>
      <c r="L12" s="395">
        <v>5</v>
      </c>
      <c r="M12" s="370"/>
      <c r="N12" s="392"/>
      <c r="O12" s="394"/>
    </row>
    <row r="13" spans="1:15" ht="15.75" x14ac:dyDescent="0.25">
      <c r="A13" s="395">
        <v>6</v>
      </c>
      <c r="B13" s="396" t="s">
        <v>1878</v>
      </c>
      <c r="C13" s="396"/>
      <c r="D13" s="397">
        <f>Revenue!E17</f>
        <v>0</v>
      </c>
      <c r="E13" s="397">
        <f>Revenue!K17</f>
        <v>0</v>
      </c>
      <c r="F13" s="397">
        <f>Revenue!Q17</f>
        <v>1605</v>
      </c>
      <c r="G13" s="397">
        <f>Revenue!W17</f>
        <v>0</v>
      </c>
      <c r="H13" s="398">
        <f>Revenue!AC17</f>
        <v>0</v>
      </c>
      <c r="I13" s="397">
        <f>Revenue!AI17</f>
        <v>0</v>
      </c>
      <c r="J13" s="399">
        <f t="shared" si="0"/>
        <v>1605</v>
      </c>
      <c r="K13" s="399">
        <f t="shared" si="1"/>
        <v>1605</v>
      </c>
      <c r="L13" s="395">
        <v>6</v>
      </c>
      <c r="M13" s="370"/>
      <c r="N13" s="392"/>
      <c r="O13" s="394"/>
    </row>
    <row r="14" spans="1:15" ht="15.75" x14ac:dyDescent="0.25">
      <c r="A14" s="395">
        <v>7</v>
      </c>
      <c r="B14" s="396" t="s">
        <v>1879</v>
      </c>
      <c r="C14" s="396"/>
      <c r="D14" s="397">
        <f>Revenue!E16</f>
        <v>10858.59</v>
      </c>
      <c r="E14" s="397">
        <f>Revenue!K16</f>
        <v>0</v>
      </c>
      <c r="F14" s="397">
        <f>Revenue!Q16</f>
        <v>24039.66</v>
      </c>
      <c r="G14" s="397">
        <f>Revenue!W16</f>
        <v>0</v>
      </c>
      <c r="H14" s="398">
        <f>Revenue!AC16</f>
        <v>0</v>
      </c>
      <c r="I14" s="397">
        <f>Revenue!AI16</f>
        <v>0</v>
      </c>
      <c r="J14" s="399">
        <f t="shared" si="0"/>
        <v>34898.25</v>
      </c>
      <c r="K14" s="399">
        <f t="shared" si="1"/>
        <v>24039.66</v>
      </c>
      <c r="L14" s="395">
        <v>7</v>
      </c>
      <c r="M14" s="370"/>
      <c r="N14" s="392"/>
      <c r="O14" s="394"/>
    </row>
    <row r="15" spans="1:15" ht="15.75" x14ac:dyDescent="0.25">
      <c r="A15" s="395">
        <v>8</v>
      </c>
      <c r="B15" s="396" t="s">
        <v>1880</v>
      </c>
      <c r="C15" s="396"/>
      <c r="D15" s="397">
        <f>Revenue!E20</f>
        <v>1320</v>
      </c>
      <c r="E15" s="397">
        <f>Revenue!K20</f>
        <v>1320</v>
      </c>
      <c r="F15" s="397">
        <f>Revenue!Q20</f>
        <v>2237</v>
      </c>
      <c r="G15" s="397">
        <f>Revenue!W20</f>
        <v>2207</v>
      </c>
      <c r="H15" s="398">
        <f>Revenue!AC20</f>
        <v>0</v>
      </c>
      <c r="I15" s="397">
        <f>Revenue!AI20</f>
        <v>0</v>
      </c>
      <c r="J15" s="399">
        <f t="shared" si="0"/>
        <v>7084</v>
      </c>
      <c r="K15" s="399">
        <f t="shared" si="1"/>
        <v>4444</v>
      </c>
      <c r="L15" s="395">
        <v>8</v>
      </c>
      <c r="M15" s="370"/>
      <c r="N15" s="392"/>
      <c r="O15" s="394"/>
    </row>
    <row r="16" spans="1:15" ht="15.75" x14ac:dyDescent="0.25">
      <c r="A16" s="395">
        <v>9</v>
      </c>
      <c r="B16" s="425" t="s">
        <v>181</v>
      </c>
      <c r="C16" s="396"/>
      <c r="D16" s="397">
        <f>Revenue!E22</f>
        <v>0</v>
      </c>
      <c r="E16" s="397">
        <f>Revenue!K22</f>
        <v>0</v>
      </c>
      <c r="F16" s="397">
        <f>Revenue!Q22</f>
        <v>12000</v>
      </c>
      <c r="G16" s="397">
        <f>Revenue!W22</f>
        <v>0</v>
      </c>
      <c r="H16" s="398">
        <f>Revenue!AC22</f>
        <v>0</v>
      </c>
      <c r="I16" s="397">
        <f>Revenue!AI22</f>
        <v>0</v>
      </c>
      <c r="J16" s="399">
        <f t="shared" si="0"/>
        <v>12000</v>
      </c>
      <c r="K16" s="399">
        <f t="shared" si="1"/>
        <v>12000</v>
      </c>
      <c r="L16" s="395">
        <v>9</v>
      </c>
      <c r="M16" s="370"/>
      <c r="N16" s="392"/>
      <c r="O16" s="394"/>
    </row>
    <row r="17" spans="1:15" ht="15.75" x14ac:dyDescent="0.25">
      <c r="A17" s="395">
        <v>10</v>
      </c>
      <c r="B17" s="396" t="s">
        <v>19</v>
      </c>
      <c r="C17" s="396"/>
      <c r="D17" s="397">
        <f>Revenue!E21</f>
        <v>0</v>
      </c>
      <c r="E17" s="397">
        <f>Revenue!K21</f>
        <v>0</v>
      </c>
      <c r="F17" s="397">
        <f>Revenue!Q21</f>
        <v>7441.53</v>
      </c>
      <c r="G17" s="397">
        <f>Revenue!W21</f>
        <v>0</v>
      </c>
      <c r="H17" s="398">
        <f>Revenue!AC21</f>
        <v>0</v>
      </c>
      <c r="I17" s="397">
        <f>Revenue!AI21</f>
        <v>0</v>
      </c>
      <c r="J17" s="399">
        <f t="shared" si="0"/>
        <v>7441.53</v>
      </c>
      <c r="K17" s="399">
        <f t="shared" si="1"/>
        <v>7441.53</v>
      </c>
      <c r="L17" s="395">
        <v>10</v>
      </c>
      <c r="M17" s="370"/>
      <c r="N17" s="392"/>
    </row>
    <row r="18" spans="1:15" ht="15.75" x14ac:dyDescent="0.25">
      <c r="A18" s="395">
        <v>11</v>
      </c>
      <c r="B18" s="426" t="s">
        <v>1881</v>
      </c>
      <c r="C18" s="396"/>
      <c r="D18" s="397">
        <f>SUM(Revenue!E$29:E$30)</f>
        <v>0</v>
      </c>
      <c r="E18" s="397">
        <f>SUM(Revenue!K$29:K$30)</f>
        <v>875.25</v>
      </c>
      <c r="F18" s="397">
        <f>SUM(Revenue!Q$29:Q$30)</f>
        <v>190250.53</v>
      </c>
      <c r="G18" s="397">
        <f>SUM(Revenue!W$29:W$30)</f>
        <v>44435.490000000005</v>
      </c>
      <c r="H18" s="397">
        <f>SUM(Revenue!AC$29:AC$30)</f>
        <v>0</v>
      </c>
      <c r="I18" s="397">
        <f>SUM(Revenue!AI$29:AI$30)</f>
        <v>0</v>
      </c>
      <c r="J18" s="399">
        <f t="shared" si="0"/>
        <v>235561.27000000002</v>
      </c>
      <c r="K18" s="399">
        <f t="shared" si="1"/>
        <v>234686.02000000002</v>
      </c>
      <c r="L18" s="395">
        <v>11</v>
      </c>
      <c r="M18" s="370"/>
      <c r="N18" s="392"/>
    </row>
    <row r="19" spans="1:15" ht="15.75" x14ac:dyDescent="0.25">
      <c r="A19" s="395">
        <v>12</v>
      </c>
      <c r="B19" s="396" t="s">
        <v>17</v>
      </c>
      <c r="C19" s="396"/>
      <c r="D19" s="397">
        <f>SUM(Revenue!E$35:E$36)</f>
        <v>10786.57</v>
      </c>
      <c r="E19" s="397">
        <f>SUM(Revenue!K$35:K$36)</f>
        <v>725.92</v>
      </c>
      <c r="F19" s="397">
        <f>SUM(Revenue!Q$35:Q$36)</f>
        <v>5538.41</v>
      </c>
      <c r="G19" s="397">
        <f>SUM(Revenue!W$35:W$36)</f>
        <v>9508.1299999999992</v>
      </c>
      <c r="H19" s="397">
        <f>SUM(Revenue!AC$35:AC$36)</f>
        <v>0</v>
      </c>
      <c r="I19" s="397">
        <f>SUM(Revenue!AI$35:AI$36)</f>
        <v>0</v>
      </c>
      <c r="J19" s="399">
        <f t="shared" si="0"/>
        <v>26559.03</v>
      </c>
      <c r="K19" s="399">
        <f t="shared" si="1"/>
        <v>15046.539999999999</v>
      </c>
      <c r="L19" s="395">
        <v>12</v>
      </c>
      <c r="M19" s="370"/>
      <c r="N19" s="392"/>
    </row>
    <row r="20" spans="1:15" ht="15.75" x14ac:dyDescent="0.25">
      <c r="A20" s="395">
        <v>13</v>
      </c>
      <c r="B20" s="396" t="s">
        <v>13</v>
      </c>
      <c r="C20" s="396"/>
      <c r="D20" s="397">
        <f>SUM(Revenue!E$31:E$34)</f>
        <v>15827.079999999998</v>
      </c>
      <c r="E20" s="397">
        <f>SUM(Revenue!K$31:K$34)</f>
        <v>5923.54</v>
      </c>
      <c r="F20" s="397">
        <f>SUM(Revenue!Q$31:Q$34)</f>
        <v>40992.01</v>
      </c>
      <c r="G20" s="397">
        <f>SUM(Revenue!W$31:W$34)</f>
        <v>16073.27</v>
      </c>
      <c r="H20" s="397">
        <f>SUM(Revenue!AC$31:AC$34)</f>
        <v>4164.1000000000004</v>
      </c>
      <c r="I20" s="397">
        <f>SUM(Revenue!AI$31:AI$34)</f>
        <v>0</v>
      </c>
      <c r="J20" s="399">
        <f t="shared" si="0"/>
        <v>78815.900000000009</v>
      </c>
      <c r="K20" s="399">
        <f t="shared" si="1"/>
        <v>57065.279999999999</v>
      </c>
      <c r="L20" s="395">
        <v>13</v>
      </c>
      <c r="M20" s="370"/>
      <c r="N20" s="392"/>
    </row>
    <row r="21" spans="1:15" ht="15.75" x14ac:dyDescent="0.25">
      <c r="A21" s="395">
        <v>14</v>
      </c>
      <c r="B21" s="396" t="s">
        <v>1131</v>
      </c>
      <c r="C21" s="396"/>
      <c r="D21" s="397">
        <f>Revenue!E39</f>
        <v>26915.759999999998</v>
      </c>
      <c r="E21" s="397">
        <f>Revenue!K39</f>
        <v>8074.72</v>
      </c>
      <c r="F21" s="397">
        <f>Revenue!Q39</f>
        <v>44859.6</v>
      </c>
      <c r="G21" s="397">
        <f>Revenue!W39</f>
        <v>9869.1200000000008</v>
      </c>
      <c r="H21" s="398">
        <f>Revenue!AC39</f>
        <v>0</v>
      </c>
      <c r="I21" s="397">
        <f>Revenue!AI39</f>
        <v>0</v>
      </c>
      <c r="J21" s="399">
        <f t="shared" si="0"/>
        <v>89719.199999999983</v>
      </c>
      <c r="K21" s="399">
        <f t="shared" si="1"/>
        <v>54728.72</v>
      </c>
      <c r="L21" s="395">
        <v>15</v>
      </c>
      <c r="M21" s="370"/>
      <c r="N21" s="392"/>
    </row>
    <row r="22" spans="1:15" ht="15.75" x14ac:dyDescent="0.25">
      <c r="A22" s="395">
        <v>15</v>
      </c>
      <c r="B22" s="396" t="s">
        <v>21</v>
      </c>
      <c r="C22" s="396"/>
      <c r="D22" s="397">
        <f>Revenue!E23</f>
        <v>0</v>
      </c>
      <c r="E22" s="397">
        <f>Revenue!K23</f>
        <v>0</v>
      </c>
      <c r="F22" s="397">
        <f>Revenue!Q23</f>
        <v>190618.33</v>
      </c>
      <c r="G22" s="397">
        <f>Revenue!W23</f>
        <v>52306.51</v>
      </c>
      <c r="H22" s="398">
        <f>Revenue!AC23</f>
        <v>0</v>
      </c>
      <c r="I22" s="397">
        <f>Revenue!AI23</f>
        <v>0</v>
      </c>
      <c r="J22" s="399">
        <f t="shared" si="0"/>
        <v>242924.84</v>
      </c>
      <c r="K22" s="399">
        <f t="shared" si="1"/>
        <v>242924.84</v>
      </c>
      <c r="L22" s="395">
        <v>16</v>
      </c>
      <c r="M22" s="370"/>
      <c r="N22" s="392"/>
    </row>
    <row r="23" spans="1:15" ht="15.75" customHeight="1" x14ac:dyDescent="0.25">
      <c r="A23" s="395">
        <v>16</v>
      </c>
      <c r="B23" s="396" t="s">
        <v>1882</v>
      </c>
      <c r="C23" s="396"/>
      <c r="D23" s="397">
        <v>0</v>
      </c>
      <c r="E23" s="397">
        <v>0</v>
      </c>
      <c r="F23" s="397">
        <v>0</v>
      </c>
      <c r="G23" s="398">
        <v>0</v>
      </c>
      <c r="H23" s="398">
        <v>0</v>
      </c>
      <c r="I23" s="397">
        <v>0</v>
      </c>
      <c r="J23" s="397">
        <f t="shared" si="0"/>
        <v>0</v>
      </c>
      <c r="K23" s="397">
        <f t="shared" si="1"/>
        <v>0</v>
      </c>
      <c r="L23" s="395">
        <v>17</v>
      </c>
      <c r="M23" s="370"/>
      <c r="N23" s="392"/>
    </row>
    <row r="24" spans="1:15" s="509" customFormat="1" ht="15.75" customHeight="1" x14ac:dyDescent="0.25">
      <c r="A24" s="395">
        <v>17</v>
      </c>
      <c r="B24" s="396"/>
      <c r="C24" s="396"/>
      <c r="D24" s="397"/>
      <c r="E24" s="397"/>
      <c r="F24" s="397"/>
      <c r="G24" s="398"/>
      <c r="H24" s="398"/>
      <c r="I24" s="397"/>
      <c r="J24" s="397"/>
      <c r="K24" s="397"/>
      <c r="L24" s="395"/>
      <c r="M24" s="370"/>
      <c r="N24" s="392"/>
    </row>
    <row r="25" spans="1:15" ht="15.75" customHeight="1" x14ac:dyDescent="0.25">
      <c r="A25" s="395">
        <v>18</v>
      </c>
      <c r="B25" s="396"/>
      <c r="C25" s="396"/>
      <c r="D25" s="397"/>
      <c r="E25" s="397"/>
      <c r="F25" s="397"/>
      <c r="G25" s="397"/>
      <c r="H25" s="398"/>
      <c r="I25" s="397"/>
      <c r="J25" s="399"/>
      <c r="K25" s="399"/>
      <c r="L25" s="395">
        <v>18</v>
      </c>
      <c r="M25" s="370"/>
      <c r="N25" s="392"/>
    </row>
    <row r="26" spans="1:15" ht="15.75" customHeight="1" x14ac:dyDescent="0.25">
      <c r="A26" s="395">
        <v>19</v>
      </c>
      <c r="B26" s="396"/>
      <c r="C26" s="396"/>
      <c r="D26" s="397"/>
      <c r="E26" s="397"/>
      <c r="F26" s="397"/>
      <c r="G26" s="397"/>
      <c r="H26" s="398"/>
      <c r="I26" s="397"/>
      <c r="J26" s="399"/>
      <c r="K26" s="399"/>
      <c r="L26" s="395">
        <v>19</v>
      </c>
      <c r="M26" s="370"/>
      <c r="N26" s="392"/>
    </row>
    <row r="27" spans="1:15" ht="15.75" x14ac:dyDescent="0.25">
      <c r="A27" s="395">
        <v>20</v>
      </c>
      <c r="B27" s="400" t="s">
        <v>30</v>
      </c>
      <c r="C27" s="400"/>
      <c r="D27" s="401">
        <f t="shared" ref="D27:J27" si="2">SUM(D8:D26)</f>
        <v>2017703.1900000004</v>
      </c>
      <c r="E27" s="401">
        <f t="shared" si="2"/>
        <v>457014.94999999995</v>
      </c>
      <c r="F27" s="401">
        <f t="shared" si="2"/>
        <v>3751273.1799999997</v>
      </c>
      <c r="G27" s="401">
        <f t="shared" si="2"/>
        <v>1021704.68</v>
      </c>
      <c r="H27" s="401">
        <f t="shared" si="2"/>
        <v>4164.1000000000004</v>
      </c>
      <c r="I27" s="401">
        <f t="shared" si="2"/>
        <v>0</v>
      </c>
      <c r="J27" s="401">
        <f t="shared" si="2"/>
        <v>7247696.0000000019</v>
      </c>
      <c r="K27" s="401">
        <f>SUM(K8:K26)</f>
        <v>4772977.8600000003</v>
      </c>
      <c r="L27" s="395">
        <v>20</v>
      </c>
      <c r="M27" s="372"/>
      <c r="N27" s="402"/>
      <c r="O27" s="427">
        <f>J27-Revenue!AN45</f>
        <v>-4164.0999999977648</v>
      </c>
    </row>
    <row r="28" spans="1:15" s="509" customFormat="1" ht="15.75" hidden="1" outlineLevel="1" x14ac:dyDescent="0.25">
      <c r="A28" s="395"/>
      <c r="B28" s="404"/>
      <c r="C28" s="404"/>
      <c r="D28" s="405">
        <f>D27-Revenue!E45</f>
        <v>0</v>
      </c>
      <c r="E28" s="405">
        <f>E27-Revenue!K45</f>
        <v>0</v>
      </c>
      <c r="F28" s="405">
        <f>F27-Revenue!Q45</f>
        <v>0</v>
      </c>
      <c r="G28" s="405">
        <f>G27-Revenue!W45</f>
        <v>0</v>
      </c>
      <c r="H28" s="405">
        <f>H27-Revenue!AC45</f>
        <v>0</v>
      </c>
      <c r="I28" s="405">
        <f>I27-Revenue!AI45</f>
        <v>0</v>
      </c>
      <c r="J28" s="405"/>
      <c r="K28" s="405"/>
      <c r="L28" s="395"/>
      <c r="M28" s="372"/>
      <c r="N28" s="402"/>
      <c r="O28" s="507"/>
    </row>
    <row r="29" spans="1:15" ht="15.75" collapsed="1" x14ac:dyDescent="0.25">
      <c r="A29" s="395"/>
      <c r="B29" s="404"/>
      <c r="C29" s="404"/>
      <c r="D29" s="405"/>
      <c r="E29" s="405"/>
      <c r="F29" s="405"/>
      <c r="G29" s="405"/>
      <c r="H29" s="405"/>
      <c r="I29" s="405"/>
      <c r="J29" s="405"/>
      <c r="K29" s="405"/>
      <c r="L29" s="395"/>
      <c r="M29" s="369"/>
      <c r="N29" s="402"/>
    </row>
    <row r="30" spans="1:15" ht="15.75" x14ac:dyDescent="0.25">
      <c r="A30" s="395">
        <v>21</v>
      </c>
      <c r="B30" s="407" t="s">
        <v>1883</v>
      </c>
      <c r="C30" s="388"/>
      <c r="D30" s="389"/>
      <c r="E30" s="391"/>
      <c r="F30" s="389"/>
      <c r="G30" s="391"/>
      <c r="H30" s="390"/>
      <c r="I30" s="389"/>
      <c r="J30" s="389"/>
      <c r="K30" s="389"/>
      <c r="L30" s="395">
        <v>21</v>
      </c>
      <c r="M30" s="370"/>
      <c r="N30" s="394"/>
    </row>
    <row r="31" spans="1:15" ht="15.75" x14ac:dyDescent="0.25">
      <c r="A31" s="395">
        <v>22</v>
      </c>
      <c r="B31" s="403" t="s">
        <v>1884</v>
      </c>
      <c r="C31" s="406"/>
      <c r="D31" s="408">
        <f>'All Departments'!E31</f>
        <v>577977.82999999996</v>
      </c>
      <c r="E31" s="408">
        <f>'All Departments'!K31</f>
        <v>198831.18</v>
      </c>
      <c r="F31" s="408">
        <f>'All Departments'!Q31</f>
        <v>1024227.7299999999</v>
      </c>
      <c r="G31" s="408">
        <f>'All Departments'!W31</f>
        <v>261818.56000000006</v>
      </c>
      <c r="H31" s="408">
        <f>'All Departments'!AC31</f>
        <v>0</v>
      </c>
      <c r="I31" s="408">
        <f>'All Departments'!AI31</f>
        <v>0</v>
      </c>
      <c r="J31" s="399">
        <f t="shared" ref="J31:J42" si="3">SUM(D31:G31)</f>
        <v>2062855.2999999998</v>
      </c>
      <c r="K31" s="399">
        <f t="shared" ref="K31:K42" si="4">SUM(F31:G31)</f>
        <v>1286046.29</v>
      </c>
      <c r="L31" s="395">
        <v>22</v>
      </c>
      <c r="M31" s="370"/>
      <c r="N31" s="394"/>
    </row>
    <row r="32" spans="1:15" ht="15.75" customHeight="1" x14ac:dyDescent="0.25">
      <c r="A32" s="395">
        <v>23</v>
      </c>
      <c r="B32" s="403" t="s">
        <v>1885</v>
      </c>
      <c r="C32" s="410"/>
      <c r="D32" s="408">
        <f>'All Departments'!E72-D33-D34</f>
        <v>370527.30999999994</v>
      </c>
      <c r="E32" s="408">
        <f>'All Departments'!K72-E33-E34</f>
        <v>60062.450000000004</v>
      </c>
      <c r="F32" s="408">
        <f>'All Departments'!Q72-F33-F34</f>
        <v>899067.20999999985</v>
      </c>
      <c r="G32" s="408">
        <f>'All Departments'!W72-G33-G34</f>
        <v>178920.04999999993</v>
      </c>
      <c r="H32" s="408">
        <f>'All Departments'!AC72-H33-H34</f>
        <v>0</v>
      </c>
      <c r="I32" s="408">
        <f>'All Departments'!AI72-I33-I34</f>
        <v>0</v>
      </c>
      <c r="J32" s="399">
        <f t="shared" si="3"/>
        <v>1508577.0199999996</v>
      </c>
      <c r="K32" s="399">
        <f t="shared" si="4"/>
        <v>1077987.2599999998</v>
      </c>
      <c r="L32" s="395">
        <v>23</v>
      </c>
      <c r="M32" s="370"/>
      <c r="N32" s="394"/>
    </row>
    <row r="33" spans="1:15" ht="15.75" customHeight="1" x14ac:dyDescent="0.25">
      <c r="A33" s="395">
        <v>24</v>
      </c>
      <c r="B33" s="403" t="s">
        <v>34</v>
      </c>
      <c r="C33" s="410"/>
      <c r="D33" s="408">
        <f>'All Departments'!E61</f>
        <v>92974.16</v>
      </c>
      <c r="E33" s="408">
        <f>'All Departments'!K61</f>
        <v>48012.219999999994</v>
      </c>
      <c r="F33" s="408">
        <f>'All Departments'!Q61</f>
        <v>435714.77</v>
      </c>
      <c r="G33" s="408">
        <f>'All Departments'!W61</f>
        <v>174540.4</v>
      </c>
      <c r="H33" s="408">
        <f>'All Departments'!AC61</f>
        <v>102653.22</v>
      </c>
      <c r="I33" s="408">
        <f>'All Departments'!AI61</f>
        <v>0</v>
      </c>
      <c r="J33" s="399">
        <f t="shared" si="3"/>
        <v>751241.55</v>
      </c>
      <c r="K33" s="399">
        <f t="shared" si="4"/>
        <v>610255.17000000004</v>
      </c>
      <c r="L33" s="395">
        <v>24</v>
      </c>
      <c r="M33" s="370"/>
      <c r="N33" s="394"/>
    </row>
    <row r="34" spans="1:15" ht="15.75" customHeight="1" x14ac:dyDescent="0.25">
      <c r="A34" s="395">
        <v>25</v>
      </c>
      <c r="B34" s="403" t="s">
        <v>1886</v>
      </c>
      <c r="C34" s="410"/>
      <c r="D34" s="408">
        <f>'All Departments'!E66+'All Departments'!E67</f>
        <v>0</v>
      </c>
      <c r="E34" s="408">
        <f>'All Departments'!K66+'All Departments'!K67</f>
        <v>0</v>
      </c>
      <c r="F34" s="408">
        <f>'All Departments'!Q66+'All Departments'!Q67</f>
        <v>163650.09</v>
      </c>
      <c r="G34" s="408">
        <f>'All Departments'!W66+'All Departments'!W67</f>
        <v>7639.73</v>
      </c>
      <c r="H34" s="408">
        <f>'All Departments'!AC66+'All Departments'!AC67</f>
        <v>0</v>
      </c>
      <c r="I34" s="408">
        <f>'All Departments'!AI66+'All Departments'!AI67</f>
        <v>0</v>
      </c>
      <c r="J34" s="399">
        <f t="shared" si="3"/>
        <v>171289.82</v>
      </c>
      <c r="K34" s="399">
        <f t="shared" si="4"/>
        <v>171289.82</v>
      </c>
      <c r="L34" s="395">
        <v>25</v>
      </c>
      <c r="M34" s="370"/>
      <c r="N34" s="394"/>
      <c r="O34" s="393">
        <f>J31+J32+J33+J34-'All Departments'!AN74</f>
        <v>-102653.22000000067</v>
      </c>
    </row>
    <row r="35" spans="1:15" ht="15.75" customHeight="1" x14ac:dyDescent="0.25">
      <c r="A35" s="395">
        <v>26</v>
      </c>
      <c r="B35" s="411"/>
      <c r="C35" s="412"/>
      <c r="D35" s="408"/>
      <c r="E35" s="408"/>
      <c r="F35" s="408"/>
      <c r="G35" s="408"/>
      <c r="H35" s="413"/>
      <c r="I35" s="408"/>
      <c r="J35" s="414"/>
      <c r="K35" s="414"/>
      <c r="L35" s="395">
        <v>26</v>
      </c>
      <c r="M35" s="370"/>
      <c r="N35" s="394"/>
      <c r="O35" s="394"/>
    </row>
    <row r="36" spans="1:15" ht="15.75" customHeight="1" x14ac:dyDescent="0.25">
      <c r="A36" s="395">
        <v>27</v>
      </c>
      <c r="B36" s="415" t="s">
        <v>1887</v>
      </c>
      <c r="C36" s="412"/>
      <c r="D36" s="408">
        <f>'General CIP'!E14+CIP!E36</f>
        <v>28146.34</v>
      </c>
      <c r="E36" s="408">
        <f>'General CIP'!K14+CIP!K36</f>
        <v>11812.65</v>
      </c>
      <c r="F36" s="408">
        <f>'General CIP'!Q14+CIP!Q36</f>
        <v>1014366.1599999999</v>
      </c>
      <c r="G36" s="408">
        <f>'General CIP'!W14+CIP!W36</f>
        <v>14210.25</v>
      </c>
      <c r="H36" s="408">
        <f>'General CIP'!AC14+CIP!AC36</f>
        <v>0</v>
      </c>
      <c r="I36" s="408">
        <f>'General CIP'!AI14+CIP!AI36</f>
        <v>945633.8</v>
      </c>
      <c r="J36" s="399">
        <f t="shared" si="3"/>
        <v>1068535.3999999999</v>
      </c>
      <c r="K36" s="399">
        <f t="shared" si="4"/>
        <v>1028576.4099999999</v>
      </c>
      <c r="L36" s="395">
        <v>27</v>
      </c>
      <c r="N36" s="394"/>
      <c r="O36" s="370">
        <f>J36-CIP!AN36-'General CIP'!AN14</f>
        <v>-945633.8</v>
      </c>
    </row>
    <row r="37" spans="1:15" ht="15.75" customHeight="1" x14ac:dyDescent="0.25">
      <c r="A37" s="395">
        <v>28</v>
      </c>
      <c r="B37" s="415"/>
      <c r="C37" s="412"/>
      <c r="D37" s="408"/>
      <c r="E37" s="408"/>
      <c r="F37" s="408"/>
      <c r="G37" s="408"/>
      <c r="H37" s="413"/>
      <c r="I37" s="408"/>
      <c r="J37" s="409"/>
      <c r="K37" s="409"/>
      <c r="L37" s="395">
        <v>28</v>
      </c>
      <c r="M37" s="370"/>
      <c r="N37" s="394"/>
      <c r="O37" s="394"/>
    </row>
    <row r="38" spans="1:15" ht="15.75" customHeight="1" x14ac:dyDescent="0.25">
      <c r="A38" s="395">
        <v>29</v>
      </c>
      <c r="B38" s="415" t="s">
        <v>1890</v>
      </c>
      <c r="C38" s="412"/>
      <c r="D38" s="408">
        <v>0</v>
      </c>
      <c r="E38" s="408">
        <v>0</v>
      </c>
      <c r="F38" s="408">
        <v>0</v>
      </c>
      <c r="G38" s="408">
        <v>0</v>
      </c>
      <c r="H38" s="413">
        <v>0</v>
      </c>
      <c r="I38" s="408">
        <v>0</v>
      </c>
      <c r="J38" s="399">
        <f t="shared" si="3"/>
        <v>0</v>
      </c>
      <c r="K38" s="399">
        <f t="shared" si="4"/>
        <v>0</v>
      </c>
      <c r="L38" s="395">
        <v>29</v>
      </c>
      <c r="M38" s="370"/>
      <c r="N38" s="394"/>
      <c r="O38" s="394"/>
    </row>
    <row r="39" spans="1:15" ht="15.75" customHeight="1" x14ac:dyDescent="0.25">
      <c r="A39" s="395">
        <v>30</v>
      </c>
      <c r="B39" s="415"/>
      <c r="C39" s="412"/>
      <c r="D39" s="408"/>
      <c r="E39" s="408"/>
      <c r="F39" s="408"/>
      <c r="G39" s="408"/>
      <c r="H39" s="413"/>
      <c r="I39" s="408"/>
      <c r="J39" s="409"/>
      <c r="K39" s="409"/>
      <c r="L39" s="395">
        <v>30</v>
      </c>
      <c r="M39" s="370"/>
      <c r="N39" s="394"/>
      <c r="O39" s="394"/>
    </row>
    <row r="40" spans="1:15" ht="15.75" customHeight="1" x14ac:dyDescent="0.25">
      <c r="A40" s="395">
        <v>31</v>
      </c>
      <c r="B40" s="415" t="s">
        <v>1892</v>
      </c>
      <c r="C40" s="412"/>
      <c r="D40" s="408">
        <v>0</v>
      </c>
      <c r="E40" s="408">
        <v>0</v>
      </c>
      <c r="F40" s="408">
        <v>0</v>
      </c>
      <c r="G40" s="408">
        <v>0</v>
      </c>
      <c r="H40" s="413">
        <v>0</v>
      </c>
      <c r="I40" s="408">
        <v>0</v>
      </c>
      <c r="J40" s="399">
        <f t="shared" si="3"/>
        <v>0</v>
      </c>
      <c r="K40" s="399">
        <f t="shared" si="4"/>
        <v>0</v>
      </c>
      <c r="L40" s="395">
        <v>31</v>
      </c>
      <c r="M40" s="370"/>
      <c r="N40" s="394"/>
      <c r="O40" s="394"/>
    </row>
    <row r="41" spans="1:15" ht="15.75" customHeight="1" x14ac:dyDescent="0.25">
      <c r="A41" s="395">
        <v>32</v>
      </c>
      <c r="B41" s="415"/>
      <c r="C41" s="412"/>
      <c r="D41" s="408"/>
      <c r="E41" s="408"/>
      <c r="F41" s="408"/>
      <c r="G41" s="408"/>
      <c r="H41" s="413"/>
      <c r="I41" s="408"/>
      <c r="J41" s="409"/>
      <c r="K41" s="409"/>
      <c r="L41" s="395">
        <v>32</v>
      </c>
      <c r="M41" s="370"/>
      <c r="N41" s="394"/>
      <c r="O41" s="394"/>
    </row>
    <row r="42" spans="1:15" ht="15.75" customHeight="1" x14ac:dyDescent="0.25">
      <c r="A42" s="395">
        <v>33</v>
      </c>
      <c r="B42" s="403" t="s">
        <v>1891</v>
      </c>
      <c r="C42" s="412"/>
      <c r="D42" s="408">
        <v>0</v>
      </c>
      <c r="E42" s="408">
        <v>0</v>
      </c>
      <c r="F42" s="408">
        <v>0</v>
      </c>
      <c r="G42" s="408">
        <v>0</v>
      </c>
      <c r="H42" s="413">
        <v>0</v>
      </c>
      <c r="I42" s="408">
        <v>0</v>
      </c>
      <c r="J42" s="399">
        <f t="shared" si="3"/>
        <v>0</v>
      </c>
      <c r="K42" s="399">
        <f t="shared" si="4"/>
        <v>0</v>
      </c>
      <c r="L42" s="395">
        <v>33</v>
      </c>
      <c r="M42" s="370"/>
      <c r="N42" s="394"/>
      <c r="O42" s="394"/>
    </row>
    <row r="43" spans="1:15" ht="15.75" customHeight="1" x14ac:dyDescent="0.25">
      <c r="A43" s="395">
        <v>34</v>
      </c>
      <c r="B43" s="415"/>
      <c r="C43" s="412"/>
      <c r="D43" s="416"/>
      <c r="E43" s="416"/>
      <c r="F43" s="416"/>
      <c r="G43" s="416"/>
      <c r="H43" s="413"/>
      <c r="I43" s="416"/>
      <c r="J43" s="414"/>
      <c r="K43" s="414"/>
      <c r="L43" s="395">
        <v>34</v>
      </c>
      <c r="M43" s="370"/>
      <c r="N43" s="394"/>
      <c r="O43" s="394"/>
    </row>
    <row r="44" spans="1:15" ht="15.75" x14ac:dyDescent="0.25">
      <c r="A44" s="395">
        <v>35</v>
      </c>
      <c r="B44" s="400" t="s">
        <v>1888</v>
      </c>
      <c r="C44" s="400"/>
      <c r="D44" s="401">
        <f>SUM(D31:D43)</f>
        <v>1069625.6399999999</v>
      </c>
      <c r="E44" s="401">
        <f t="shared" ref="E44:J44" si="5">SUM(E31:E43)</f>
        <v>318718.5</v>
      </c>
      <c r="F44" s="401">
        <f t="shared" si="5"/>
        <v>3537025.96</v>
      </c>
      <c r="G44" s="401">
        <f t="shared" si="5"/>
        <v>637128.99</v>
      </c>
      <c r="H44" s="401">
        <f t="shared" si="5"/>
        <v>102653.22</v>
      </c>
      <c r="I44" s="401">
        <f t="shared" si="5"/>
        <v>945633.8</v>
      </c>
      <c r="J44" s="401">
        <f t="shared" si="5"/>
        <v>5562499.0899999999</v>
      </c>
      <c r="K44" s="401">
        <f>SUM(K31:K43)</f>
        <v>4174154.9499999993</v>
      </c>
      <c r="L44" s="395">
        <v>35</v>
      </c>
      <c r="M44" s="370"/>
      <c r="N44" s="394"/>
      <c r="O44" s="394"/>
    </row>
    <row r="45" spans="1:15" s="509" customFormat="1" ht="15.75" hidden="1" outlineLevel="1" x14ac:dyDescent="0.25">
      <c r="A45" s="395"/>
      <c r="B45" s="404"/>
      <c r="C45" s="404"/>
      <c r="D45" s="405">
        <f>D44-'All Departments'!E74-'General CIP'!E14-CIP!E36</f>
        <v>-3.2741809263825417E-11</v>
      </c>
      <c r="E45" s="405">
        <f>E44-'All Departments'!K74-'General CIP'!K14-CIP!K36</f>
        <v>2.3646862246096134E-11</v>
      </c>
      <c r="F45" s="405">
        <f>F44-'All Departments'!Q74-'General CIP'!Q14-CIP!Q36</f>
        <v>0</v>
      </c>
      <c r="G45" s="405">
        <f>G44-'All Departments'!W74-'General CIP'!W14-CIP!W36</f>
        <v>0</v>
      </c>
      <c r="H45" s="405">
        <f>H44-'All Departments'!AC74</f>
        <v>0</v>
      </c>
      <c r="I45" s="405">
        <f>I44-'All Departments'!AI74-CIP!AI36</f>
        <v>0</v>
      </c>
      <c r="J45" s="516"/>
      <c r="K45" s="516"/>
      <c r="L45" s="406"/>
      <c r="M45" s="370"/>
      <c r="N45" s="394"/>
      <c r="O45" s="394"/>
    </row>
    <row r="46" spans="1:15" ht="15.75" collapsed="1" x14ac:dyDescent="0.25">
      <c r="A46" s="395"/>
      <c r="B46" s="404"/>
      <c r="C46" s="412"/>
      <c r="D46" s="399"/>
      <c r="E46" s="399"/>
      <c r="F46" s="399"/>
      <c r="G46" s="399"/>
      <c r="H46" s="399"/>
      <c r="I46" s="399"/>
      <c r="J46" s="517"/>
      <c r="K46" s="517"/>
      <c r="L46" s="406"/>
      <c r="M46" s="368"/>
      <c r="N46" s="396"/>
      <c r="O46" s="396"/>
    </row>
    <row r="47" spans="1:15" ht="16.5" thickBot="1" x14ac:dyDescent="0.3">
      <c r="A47" s="417">
        <v>36</v>
      </c>
      <c r="B47" s="418" t="s">
        <v>1781</v>
      </c>
      <c r="C47" s="418"/>
      <c r="D47" s="374">
        <f>D27-D44</f>
        <v>948077.55000000051</v>
      </c>
      <c r="E47" s="374">
        <f t="shared" ref="E47:J47" si="6">E27-E44</f>
        <v>138296.44999999995</v>
      </c>
      <c r="F47" s="374">
        <f t="shared" si="6"/>
        <v>214247.21999999974</v>
      </c>
      <c r="G47" s="374">
        <f t="shared" si="6"/>
        <v>384575.69000000006</v>
      </c>
      <c r="H47" s="374">
        <f t="shared" si="6"/>
        <v>-98489.12</v>
      </c>
      <c r="I47" s="374">
        <f t="shared" si="6"/>
        <v>-945633.8</v>
      </c>
      <c r="J47" s="374">
        <f t="shared" si="6"/>
        <v>1685196.910000002</v>
      </c>
      <c r="K47" s="374">
        <f>K27-K44</f>
        <v>598822.91000000108</v>
      </c>
      <c r="L47" s="417">
        <v>36</v>
      </c>
      <c r="M47" s="370"/>
      <c r="N47" s="394"/>
      <c r="O47" s="394"/>
    </row>
    <row r="48" spans="1:15" ht="16.5" thickTop="1" x14ac:dyDescent="0.25">
      <c r="A48" s="375"/>
      <c r="B48" s="404"/>
      <c r="C48" s="419"/>
      <c r="D48" s="420"/>
      <c r="E48" s="420"/>
      <c r="F48" s="420"/>
      <c r="G48" s="420"/>
      <c r="H48" s="420"/>
      <c r="I48" s="420"/>
      <c r="J48" s="405"/>
      <c r="K48" s="405"/>
      <c r="L48" s="375"/>
      <c r="N48" s="375"/>
      <c r="O48" s="375"/>
    </row>
    <row r="49" spans="1:15" ht="18" x14ac:dyDescent="0.25">
      <c r="A49" s="375"/>
      <c r="B49" s="431" t="s">
        <v>1894</v>
      </c>
      <c r="C49" s="404"/>
      <c r="D49" s="421"/>
      <c r="E49" s="421"/>
      <c r="F49" s="405"/>
      <c r="G49" s="405"/>
      <c r="H49" s="421"/>
      <c r="I49" s="421"/>
      <c r="J49" s="421"/>
      <c r="K49" s="421"/>
      <c r="L49" s="375"/>
      <c r="N49" s="422"/>
      <c r="O49" s="423"/>
    </row>
    <row r="50" spans="1:15" ht="18.75" x14ac:dyDescent="0.25">
      <c r="A50" s="375"/>
      <c r="B50" s="439" t="s">
        <v>1893</v>
      </c>
      <c r="C50" s="375"/>
      <c r="D50" s="424"/>
      <c r="E50" s="424"/>
      <c r="F50" s="424"/>
      <c r="G50" s="424"/>
      <c r="H50" s="424"/>
      <c r="I50" s="424"/>
      <c r="J50" s="424"/>
      <c r="K50" s="424"/>
      <c r="L50" s="375"/>
      <c r="N50" s="375"/>
      <c r="O50" s="375"/>
    </row>
    <row r="51" spans="1:15" ht="18.75" x14ac:dyDescent="0.25">
      <c r="B51" s="439" t="s">
        <v>1895</v>
      </c>
      <c r="D51" s="424"/>
      <c r="E51" s="424"/>
      <c r="F51" s="424"/>
      <c r="G51" s="424"/>
      <c r="H51" s="424"/>
      <c r="I51" s="424"/>
      <c r="J51" s="424"/>
      <c r="K51" s="424"/>
      <c r="L51" s="375"/>
      <c r="N51" s="423"/>
    </row>
    <row r="52" spans="1:15" ht="15.75" x14ac:dyDescent="0.25">
      <c r="B52" s="439"/>
      <c r="D52" s="424"/>
      <c r="E52" s="424"/>
      <c r="F52" s="424"/>
      <c r="G52" s="424"/>
      <c r="H52" s="424"/>
      <c r="I52" s="424"/>
      <c r="J52" s="424"/>
      <c r="K52" s="424"/>
      <c r="L52" s="375"/>
      <c r="N52" s="375"/>
    </row>
    <row r="53" spans="1:15" ht="15.75" x14ac:dyDescent="0.25">
      <c r="D53" s="424"/>
      <c r="E53" s="424"/>
      <c r="F53" s="424"/>
      <c r="G53" s="424"/>
      <c r="H53" s="424"/>
      <c r="I53" s="424"/>
      <c r="J53" s="424"/>
      <c r="K53" s="424"/>
      <c r="L53" s="375"/>
      <c r="N53" s="375"/>
    </row>
    <row r="54" spans="1:15" ht="15.75" x14ac:dyDescent="0.25">
      <c r="D54" s="424"/>
      <c r="E54" s="424"/>
      <c r="F54" s="424"/>
      <c r="G54" s="424"/>
      <c r="H54" s="424"/>
      <c r="I54" s="424"/>
      <c r="J54" s="424"/>
      <c r="K54" s="424"/>
      <c r="L54" s="375"/>
      <c r="N54" s="375"/>
    </row>
    <row r="55" spans="1:15" ht="15.75" x14ac:dyDescent="0.25">
      <c r="D55" s="424"/>
      <c r="E55" s="424"/>
      <c r="F55" s="424"/>
      <c r="G55" s="424"/>
      <c r="H55" s="424"/>
      <c r="I55" s="424"/>
      <c r="J55" s="424"/>
      <c r="K55" s="424"/>
      <c r="L55" s="375"/>
      <c r="N55" s="375"/>
    </row>
    <row r="56" spans="1:15" ht="15.75" x14ac:dyDescent="0.25">
      <c r="D56" s="424"/>
      <c r="E56" s="424"/>
      <c r="F56" s="424"/>
      <c r="G56" s="424"/>
      <c r="H56" s="424"/>
      <c r="I56" s="424"/>
      <c r="J56" s="424"/>
      <c r="K56" s="424"/>
      <c r="L56" s="375"/>
      <c r="N56" s="375"/>
    </row>
    <row r="57" spans="1:15" ht="15.75" x14ac:dyDescent="0.25">
      <c r="D57" s="424"/>
      <c r="E57" s="424"/>
      <c r="F57" s="424"/>
      <c r="G57" s="424"/>
      <c r="H57" s="424"/>
      <c r="I57" s="424"/>
      <c r="J57" s="424"/>
      <c r="K57" s="424"/>
      <c r="L57" s="375"/>
      <c r="N57" s="375"/>
    </row>
    <row r="58" spans="1:15" ht="15.75" x14ac:dyDescent="0.25">
      <c r="D58" s="424"/>
      <c r="E58" s="424"/>
      <c r="F58" s="424"/>
      <c r="G58" s="424"/>
      <c r="H58" s="424"/>
      <c r="I58" s="424"/>
      <c r="J58" s="424"/>
      <c r="K58" s="424"/>
      <c r="L58" s="375"/>
      <c r="N58" s="375"/>
    </row>
    <row r="59" spans="1:15" ht="15.75" x14ac:dyDescent="0.25">
      <c r="D59" s="424"/>
      <c r="E59" s="424"/>
      <c r="F59" s="424"/>
      <c r="G59" s="424"/>
      <c r="H59" s="424"/>
      <c r="I59" s="424"/>
      <c r="J59" s="424"/>
      <c r="K59" s="424"/>
      <c r="L59" s="375"/>
      <c r="N59" s="375"/>
    </row>
    <row r="60" spans="1:15" ht="15.75" x14ac:dyDescent="0.25">
      <c r="D60" s="424"/>
      <c r="E60" s="424"/>
      <c r="F60" s="424"/>
      <c r="G60" s="424"/>
      <c r="H60" s="424"/>
      <c r="I60" s="424"/>
      <c r="J60" s="424"/>
      <c r="K60" s="424"/>
      <c r="L60" s="375"/>
      <c r="N60" s="375"/>
    </row>
    <row r="61" spans="1:15" ht="15.75" x14ac:dyDescent="0.25">
      <c r="D61" s="424"/>
      <c r="E61" s="424"/>
      <c r="F61" s="424"/>
      <c r="G61" s="424"/>
      <c r="H61" s="424"/>
      <c r="I61" s="424"/>
      <c r="J61" s="424"/>
      <c r="K61" s="424"/>
      <c r="L61" s="375"/>
      <c r="N61" s="375"/>
    </row>
    <row r="62" spans="1:15" ht="15.75" x14ac:dyDescent="0.25">
      <c r="D62" s="424"/>
      <c r="E62" s="424"/>
      <c r="F62" s="424"/>
      <c r="G62" s="424"/>
      <c r="H62" s="424"/>
      <c r="I62" s="424"/>
      <c r="J62" s="424"/>
      <c r="K62" s="424"/>
      <c r="L62" s="375"/>
      <c r="N62" s="375"/>
    </row>
    <row r="63" spans="1:15" ht="15.75" x14ac:dyDescent="0.25">
      <c r="D63" s="424"/>
      <c r="E63" s="424"/>
      <c r="F63" s="424"/>
      <c r="G63" s="424"/>
      <c r="H63" s="424"/>
      <c r="I63" s="424"/>
      <c r="J63" s="424"/>
      <c r="K63" s="424"/>
      <c r="L63" s="375"/>
      <c r="N63" s="375"/>
    </row>
    <row r="64" spans="1:15" ht="15.75" x14ac:dyDescent="0.25">
      <c r="D64" s="424"/>
      <c r="E64" s="424"/>
      <c r="F64" s="424"/>
      <c r="G64" s="424"/>
      <c r="H64" s="424"/>
      <c r="I64" s="424"/>
      <c r="J64" s="424"/>
      <c r="K64" s="424"/>
      <c r="L64" s="375"/>
      <c r="N64" s="375"/>
    </row>
    <row r="65" spans="4:14" ht="15.75" x14ac:dyDescent="0.25">
      <c r="D65" s="424"/>
      <c r="E65" s="424"/>
      <c r="F65" s="424"/>
      <c r="G65" s="424"/>
      <c r="H65" s="424"/>
      <c r="I65" s="424"/>
      <c r="J65" s="424"/>
      <c r="K65" s="424"/>
      <c r="L65" s="375"/>
      <c r="N65" s="375"/>
    </row>
    <row r="66" spans="4:14" ht="15.75" x14ac:dyDescent="0.25">
      <c r="D66" s="424"/>
      <c r="E66" s="424"/>
      <c r="F66" s="424"/>
      <c r="G66" s="424"/>
      <c r="H66" s="424"/>
      <c r="I66" s="424"/>
      <c r="J66" s="424"/>
      <c r="K66" s="424"/>
      <c r="L66" s="375"/>
      <c r="N66" s="375"/>
    </row>
  </sheetData>
  <sheetProtection password="CFD3" sheet="1" objects="1" scenarios="1" selectLockedCells="1" selectUnlockedCells="1"/>
  <mergeCells count="3">
    <mergeCell ref="A1:L1"/>
    <mergeCell ref="A2:L2"/>
    <mergeCell ref="A3:L3"/>
  </mergeCells>
  <pageMargins left="0.7" right="0.7" top="0.75" bottom="0.75" header="0.3" footer="0.3"/>
  <pageSetup scale="77" orientation="portrait" useFirstPageNumber="1" r:id="rId1"/>
  <headerFooter>
    <oddFooter>&amp;L&amp;F - &amp;A&amp;CMarina Coast Water District&amp;R&amp;P</oddFooter>
  </headerFooter>
  <ignoredErrors>
    <ignoredError sqref="J23:K23 J38:J42 K38 K40 K4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37"/>
  <sheetViews>
    <sheetView zoomScaleNormal="10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 activeCell="O2" sqref="O2"/>
    </sheetView>
  </sheetViews>
  <sheetFormatPr defaultColWidth="9.140625" defaultRowHeight="15" outlineLevelRow="1" outlineLevelCol="1" x14ac:dyDescent="0.25"/>
  <cols>
    <col min="1" max="1" width="54.7109375" style="263" bestFit="1" customWidth="1"/>
    <col min="2" max="2" width="13.28515625" style="263" hidden="1" customWidth="1" outlineLevel="1"/>
    <col min="3" max="3" width="12.28515625" style="263" hidden="1" customWidth="1" collapsed="1"/>
    <col min="4" max="5" width="11.5703125" style="263" hidden="1" customWidth="1"/>
    <col min="6" max="7" width="17.28515625" style="263" hidden="1" customWidth="1"/>
    <col min="8" max="8" width="14.7109375" style="263" hidden="1" customWidth="1" outlineLevel="1"/>
    <col min="9" max="9" width="11.5703125" style="263" hidden="1" customWidth="1" collapsed="1"/>
    <col min="10" max="11" width="11.5703125" style="263" hidden="1" customWidth="1"/>
    <col min="12" max="13" width="17.28515625" style="263" hidden="1" customWidth="1"/>
    <col min="14" max="14" width="13.28515625" style="263" hidden="1" customWidth="1" outlineLevel="1"/>
    <col min="15" max="15" width="11.5703125" style="263" customWidth="1" collapsed="1"/>
    <col min="16" max="17" width="11.5703125" style="263" customWidth="1"/>
    <col min="18" max="19" width="17.28515625" style="263" customWidth="1"/>
    <col min="20" max="20" width="14.7109375" style="263" hidden="1" customWidth="1" outlineLevel="1"/>
    <col min="21" max="21" width="11.5703125" style="263" customWidth="1" collapsed="1"/>
    <col min="22" max="23" width="11.5703125" style="263" customWidth="1"/>
    <col min="24" max="25" width="17.28515625" style="263" customWidth="1"/>
    <col min="26" max="26" width="14.7109375" style="263" hidden="1" customWidth="1" outlineLevel="1"/>
    <col min="27" max="27" width="11.5703125" style="263" hidden="1" customWidth="1" collapsed="1"/>
    <col min="28" max="29" width="11.5703125" style="263" hidden="1" customWidth="1"/>
    <col min="30" max="31" width="17.28515625" style="263" hidden="1" customWidth="1"/>
    <col min="32" max="32" width="14.7109375" style="263" hidden="1" customWidth="1" outlineLevel="1"/>
    <col min="33" max="33" width="11.5703125" style="263" hidden="1" customWidth="1" collapsed="1"/>
    <col min="34" max="35" width="11.5703125" style="263" hidden="1" customWidth="1"/>
    <col min="36" max="37" width="17.28515625" style="263" hidden="1" customWidth="1"/>
    <col min="38" max="38" width="12.7109375" style="263" hidden="1" customWidth="1"/>
    <col min="39" max="40" width="11.5703125" style="263" hidden="1" customWidth="1"/>
    <col min="41" max="42" width="17.28515625" style="263" hidden="1" customWidth="1"/>
    <col min="43" max="16384" width="9.140625" style="263"/>
  </cols>
  <sheetData>
    <row r="1" spans="1:42" ht="15.75" x14ac:dyDescent="0.25">
      <c r="A1" s="1" t="s">
        <v>31</v>
      </c>
      <c r="B1" s="1"/>
      <c r="C1" s="1"/>
      <c r="D1" s="25"/>
      <c r="E1" s="25"/>
      <c r="F1" s="1"/>
      <c r="G1" s="1"/>
      <c r="H1" s="1"/>
      <c r="I1" s="1"/>
      <c r="J1" s="25"/>
      <c r="K1" s="25"/>
      <c r="L1" s="1"/>
      <c r="M1" s="1"/>
      <c r="N1" s="1"/>
      <c r="O1" s="1"/>
      <c r="P1" s="25"/>
      <c r="Q1" s="25"/>
      <c r="R1" s="1"/>
      <c r="S1" s="1"/>
      <c r="T1" s="1"/>
      <c r="U1" s="1"/>
      <c r="V1" s="25"/>
      <c r="W1" s="25"/>
      <c r="X1" s="1"/>
      <c r="Y1" s="1"/>
      <c r="Z1" s="1"/>
      <c r="AA1" s="1"/>
      <c r="AB1" s="25"/>
      <c r="AC1" s="25"/>
      <c r="AD1" s="1"/>
      <c r="AE1" s="1"/>
      <c r="AF1" s="1"/>
      <c r="AG1" s="25"/>
      <c r="AH1" s="25"/>
      <c r="AI1" s="25"/>
      <c r="AJ1" s="1"/>
      <c r="AK1" s="1"/>
      <c r="AL1" s="1"/>
      <c r="AM1" s="1"/>
      <c r="AN1" s="1"/>
      <c r="AO1" s="1"/>
      <c r="AP1" s="1"/>
    </row>
    <row r="2" spans="1:42" ht="15.75" x14ac:dyDescent="0.25">
      <c r="A2" s="1" t="s">
        <v>1836</v>
      </c>
      <c r="B2" s="1"/>
      <c r="C2" s="1"/>
      <c r="D2" s="25"/>
      <c r="E2" s="25"/>
      <c r="F2" s="1"/>
      <c r="G2" s="1"/>
      <c r="H2" s="1"/>
      <c r="I2" s="1"/>
      <c r="J2" s="25"/>
      <c r="K2" s="25"/>
      <c r="L2" s="1"/>
      <c r="M2" s="1"/>
      <c r="N2" s="1"/>
      <c r="O2" s="1"/>
      <c r="P2" s="25"/>
      <c r="Q2" s="25"/>
      <c r="R2" s="1"/>
      <c r="S2" s="1"/>
      <c r="T2" s="1"/>
      <c r="U2" s="1"/>
      <c r="V2" s="25"/>
      <c r="W2" s="25"/>
      <c r="X2" s="1"/>
      <c r="Y2" s="1"/>
      <c r="Z2" s="1"/>
      <c r="AA2" s="1"/>
      <c r="AB2" s="25"/>
      <c r="AC2" s="25"/>
      <c r="AD2" s="1"/>
      <c r="AE2" s="1"/>
      <c r="AF2" s="1"/>
      <c r="AG2" s="25"/>
      <c r="AH2" s="25"/>
      <c r="AI2" s="25"/>
      <c r="AJ2" s="1"/>
      <c r="AK2" s="1"/>
      <c r="AL2" s="1"/>
      <c r="AM2" s="1"/>
      <c r="AN2" s="1"/>
      <c r="AO2" s="1"/>
      <c r="AP2" s="1"/>
    </row>
    <row r="3" spans="1:42" ht="15.75" x14ac:dyDescent="0.25">
      <c r="A3" s="1" t="str">
        <f>'All Departments'!A3</f>
        <v>JULY - DECEMBER 2014</v>
      </c>
      <c r="B3" s="1"/>
      <c r="C3" s="1"/>
      <c r="D3" s="25"/>
      <c r="E3" s="25"/>
      <c r="F3" s="1"/>
      <c r="G3" s="1"/>
      <c r="H3" s="1"/>
      <c r="I3" s="1"/>
      <c r="J3" s="25"/>
      <c r="K3" s="25"/>
      <c r="L3" s="1"/>
      <c r="M3" s="1"/>
      <c r="N3" s="1"/>
      <c r="O3" s="1"/>
      <c r="P3" s="25"/>
      <c r="Q3" s="25"/>
      <c r="R3" s="1"/>
      <c r="S3" s="1"/>
      <c r="T3" s="1"/>
      <c r="U3" s="1"/>
      <c r="V3" s="25"/>
      <c r="W3" s="25"/>
      <c r="X3" s="1"/>
      <c r="Y3" s="1"/>
      <c r="Z3" s="1"/>
      <c r="AA3" s="1"/>
      <c r="AB3" s="25"/>
      <c r="AC3" s="25"/>
      <c r="AD3" s="1"/>
      <c r="AE3" s="1"/>
      <c r="AF3" s="1"/>
      <c r="AG3" s="25"/>
      <c r="AH3" s="25"/>
      <c r="AI3" s="25"/>
      <c r="AJ3" s="1"/>
      <c r="AK3" s="1"/>
      <c r="AL3" s="1"/>
      <c r="AM3" s="1"/>
      <c r="AN3" s="1"/>
      <c r="AO3" s="1"/>
      <c r="AP3" s="1"/>
    </row>
    <row r="4" spans="1:42" ht="15.75" x14ac:dyDescent="0.25">
      <c r="A4" s="1"/>
      <c r="B4" s="1"/>
      <c r="C4" s="1"/>
      <c r="D4" s="25"/>
      <c r="E4" s="25"/>
      <c r="F4" s="1"/>
      <c r="G4" s="1"/>
      <c r="H4" s="1"/>
      <c r="I4" s="1"/>
      <c r="J4" s="25"/>
      <c r="K4" s="25"/>
      <c r="L4" s="1"/>
      <c r="M4" s="1"/>
      <c r="N4" s="1"/>
      <c r="O4" s="1"/>
      <c r="P4" s="25"/>
      <c r="Q4" s="25"/>
      <c r="R4" s="1"/>
      <c r="S4" s="1"/>
      <c r="T4" s="1"/>
      <c r="U4" s="1"/>
      <c r="V4" s="25"/>
      <c r="W4" s="25"/>
      <c r="X4" s="1"/>
      <c r="Y4" s="1"/>
      <c r="Z4" s="1"/>
      <c r="AA4" s="1"/>
      <c r="AB4" s="25"/>
      <c r="AC4" s="25"/>
      <c r="AD4" s="1"/>
      <c r="AE4" s="1"/>
      <c r="AF4" s="1"/>
      <c r="AG4" s="25"/>
      <c r="AH4" s="25"/>
      <c r="AI4" s="25"/>
      <c r="AJ4" s="1"/>
      <c r="AK4" s="1"/>
      <c r="AL4" s="1"/>
      <c r="AM4" s="1"/>
      <c r="AN4" s="1"/>
      <c r="AO4" s="1"/>
      <c r="AP4" s="1"/>
    </row>
    <row r="5" spans="1:42" s="3" customFormat="1" ht="15.75" x14ac:dyDescent="0.25">
      <c r="A5" s="2" t="s">
        <v>0</v>
      </c>
      <c r="B5" s="80"/>
      <c r="C5" s="567" t="s">
        <v>25</v>
      </c>
      <c r="D5" s="567"/>
      <c r="E5" s="567"/>
      <c r="F5" s="567"/>
      <c r="G5" s="568"/>
      <c r="H5" s="76"/>
      <c r="I5" s="567" t="s">
        <v>26</v>
      </c>
      <c r="J5" s="567"/>
      <c r="K5" s="567"/>
      <c r="L5" s="567"/>
      <c r="M5" s="568"/>
      <c r="N5" s="76"/>
      <c r="O5" s="567" t="s">
        <v>27</v>
      </c>
      <c r="P5" s="567"/>
      <c r="Q5" s="567"/>
      <c r="R5" s="567"/>
      <c r="S5" s="568"/>
      <c r="T5" s="76"/>
      <c r="U5" s="567" t="s">
        <v>28</v>
      </c>
      <c r="V5" s="567"/>
      <c r="W5" s="567"/>
      <c r="X5" s="567"/>
      <c r="Y5" s="568"/>
      <c r="Z5" s="76"/>
      <c r="AA5" s="567" t="s">
        <v>184</v>
      </c>
      <c r="AB5" s="567"/>
      <c r="AC5" s="567"/>
      <c r="AD5" s="567"/>
      <c r="AE5" s="568"/>
      <c r="AF5" s="76"/>
      <c r="AG5" s="567" t="s">
        <v>187</v>
      </c>
      <c r="AH5" s="567"/>
      <c r="AI5" s="567"/>
      <c r="AJ5" s="567"/>
      <c r="AK5" s="568"/>
      <c r="AL5" s="567" t="s">
        <v>29</v>
      </c>
      <c r="AM5" s="567"/>
      <c r="AN5" s="567"/>
      <c r="AO5" s="567"/>
      <c r="AP5" s="568"/>
    </row>
    <row r="6" spans="1:42" ht="15.75" x14ac:dyDescent="0.25">
      <c r="A6" s="4" t="s">
        <v>23</v>
      </c>
      <c r="B6" s="77" t="s">
        <v>952</v>
      </c>
      <c r="C6" s="24" t="s">
        <v>1094</v>
      </c>
      <c r="D6" s="24" t="s">
        <v>1092</v>
      </c>
      <c r="E6" s="24" t="s">
        <v>1092</v>
      </c>
      <c r="F6" s="24" t="s">
        <v>1095</v>
      </c>
      <c r="G6" s="36" t="s">
        <v>1095</v>
      </c>
      <c r="H6" s="77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24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24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77" t="s">
        <v>952</v>
      </c>
      <c r="AA6" s="24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77" t="s">
        <v>952</v>
      </c>
      <c r="AG6" s="24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24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ht="15.75" x14ac:dyDescent="0.25">
      <c r="A7" s="5"/>
      <c r="B7" s="78" t="s">
        <v>953</v>
      </c>
      <c r="C7" s="6" t="s">
        <v>1093</v>
      </c>
      <c r="D7" s="6" t="s">
        <v>1093</v>
      </c>
      <c r="E7" s="6" t="s">
        <v>845</v>
      </c>
      <c r="F7" s="6" t="s">
        <v>1096</v>
      </c>
      <c r="G7" s="7" t="s">
        <v>35</v>
      </c>
      <c r="H7" s="78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6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6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78" t="s">
        <v>953</v>
      </c>
      <c r="AA7" s="6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78" t="s">
        <v>953</v>
      </c>
      <c r="AG7" s="6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6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ht="15.75" x14ac:dyDescent="0.25">
      <c r="A8" s="8"/>
      <c r="B8" s="8"/>
      <c r="C8" s="9"/>
      <c r="D8" s="119"/>
      <c r="E8" s="119"/>
      <c r="F8" s="9"/>
      <c r="G8" s="11"/>
      <c r="H8" s="8"/>
      <c r="I8" s="9"/>
      <c r="J8" s="119"/>
      <c r="K8" s="119"/>
      <c r="L8" s="9"/>
      <c r="M8" s="11"/>
      <c r="N8" s="8"/>
      <c r="O8" s="9"/>
      <c r="P8" s="119"/>
      <c r="Q8" s="119"/>
      <c r="R8" s="9"/>
      <c r="S8" s="11"/>
      <c r="T8" s="8"/>
      <c r="U8" s="9"/>
      <c r="V8" s="119"/>
      <c r="W8" s="119"/>
      <c r="X8" s="9"/>
      <c r="Y8" s="11"/>
      <c r="Z8" s="8"/>
      <c r="AA8" s="9"/>
      <c r="AB8" s="119"/>
      <c r="AC8" s="119"/>
      <c r="AD8" s="9"/>
      <c r="AE8" s="11"/>
      <c r="AF8" s="8"/>
      <c r="AG8" s="119"/>
      <c r="AH8" s="119"/>
      <c r="AI8" s="119"/>
      <c r="AJ8" s="9"/>
      <c r="AK8" s="11"/>
      <c r="AL8" s="9"/>
      <c r="AM8" s="9"/>
      <c r="AN8" s="9"/>
      <c r="AO8" s="9"/>
      <c r="AP8" s="11"/>
    </row>
    <row r="9" spans="1:42" ht="15.75" hidden="1" outlineLevel="1" x14ac:dyDescent="0.25">
      <c r="A9" s="536" t="s">
        <v>1519</v>
      </c>
      <c r="B9" s="537" t="s">
        <v>1518</v>
      </c>
      <c r="C9" s="538">
        <f>VLOOKUP(B9,'TB - Fixed Assets and CIP'!$C$5:$K$208,3,FALSE)</f>
        <v>0</v>
      </c>
      <c r="D9" s="538">
        <f>C9/2</f>
        <v>0</v>
      </c>
      <c r="E9" s="538">
        <f>VLOOKUP(B9,'TB - Fixed Assets and CIP'!$C$5:$K$208,9,FALSE)</f>
        <v>0</v>
      </c>
      <c r="F9" s="539">
        <f>E9-D9</f>
        <v>0</v>
      </c>
      <c r="G9" s="540" t="str">
        <f>IF(AND(D9&lt;&gt;0,F9&lt;&gt;0,ISNUMBER(D9),ISNUMBER(F9)),F9/D9,"-    ")</f>
        <v xml:space="preserve">-    </v>
      </c>
      <c r="H9" s="537" t="s">
        <v>979</v>
      </c>
      <c r="I9" s="538">
        <f>VLOOKUP(H9,'TB - Fixed Assets and CIP'!$C$5:$K$208,3,FALSE)</f>
        <v>0</v>
      </c>
      <c r="J9" s="538">
        <f>I9/2</f>
        <v>0</v>
      </c>
      <c r="K9" s="538">
        <f>VLOOKUP(H9,'TB - Fixed Assets and CIP'!$C$5:$K$208,9,FALSE)</f>
        <v>0</v>
      </c>
      <c r="L9" s="539">
        <f>K9-J9</f>
        <v>0</v>
      </c>
      <c r="M9" s="540" t="str">
        <f>IF(AND(J9&lt;&gt;0,L9&lt;&gt;0,ISNUMBER(J9),ISNUMBER(L9)),L9/J9,"-    ")</f>
        <v xml:space="preserve">-    </v>
      </c>
      <c r="N9" s="537" t="s">
        <v>979</v>
      </c>
      <c r="O9" s="538">
        <f>VLOOKUP(N9,'TB - Fixed Assets and CIP'!$C$5:$K$208,3,FALSE)</f>
        <v>0</v>
      </c>
      <c r="P9" s="538">
        <f>O9/2</f>
        <v>0</v>
      </c>
      <c r="Q9" s="538">
        <f>VLOOKUP(N9,'TB - Fixed Assets and CIP'!$C$5:$K$208,9,FALSE)</f>
        <v>0</v>
      </c>
      <c r="R9" s="539">
        <f>Q9-P9</f>
        <v>0</v>
      </c>
      <c r="S9" s="540" t="str">
        <f>IF(AND(P9&lt;&gt;0,R9&lt;&gt;0,ISNUMBER(P9),ISNUMBER(R9)),R9/P9,"-    ")</f>
        <v xml:space="preserve">-    </v>
      </c>
      <c r="T9" s="537" t="s">
        <v>979</v>
      </c>
      <c r="U9" s="538">
        <f>VLOOKUP(T9,'TB - Fixed Assets and CIP'!$C$5:$K$208,3,FALSE)</f>
        <v>0</v>
      </c>
      <c r="V9" s="538">
        <f>U9/2</f>
        <v>0</v>
      </c>
      <c r="W9" s="538">
        <f>VLOOKUP(T9,'TB - Fixed Assets and CIP'!$C$5:$K$208,9,FALSE)</f>
        <v>0</v>
      </c>
      <c r="X9" s="539">
        <f>W9-V9</f>
        <v>0</v>
      </c>
      <c r="Y9" s="540" t="str">
        <f>IF(AND(V9&lt;&gt;0,X9&lt;&gt;0,ISNUMBER(V9),ISNUMBER(X9)),X9/V9,"-    ")</f>
        <v xml:space="preserve">-    </v>
      </c>
      <c r="Z9" s="537" t="s">
        <v>979</v>
      </c>
      <c r="AA9" s="538">
        <f>VLOOKUP(Z9,'TB - Fixed Assets and CIP'!$C$5:$K$208,3,FALSE)</f>
        <v>0</v>
      </c>
      <c r="AB9" s="538">
        <f>AA9/2</f>
        <v>0</v>
      </c>
      <c r="AC9" s="538">
        <f>VLOOKUP(Z9,'TB - Fixed Assets and CIP'!$C$5:$K$208,9,FALSE)</f>
        <v>0</v>
      </c>
      <c r="AD9" s="539">
        <f>AC9-AB9</f>
        <v>0</v>
      </c>
      <c r="AE9" s="540" t="str">
        <f>IF(AND(AB9&lt;&gt;0,AD9&lt;&gt;0,ISNUMBER(AB9),ISNUMBER(AD9)),AD9/AB9,"-    ")</f>
        <v xml:space="preserve">-    </v>
      </c>
      <c r="AF9" s="537" t="s">
        <v>979</v>
      </c>
      <c r="AG9" s="538">
        <f>VLOOKUP(AF9,'TB - Fixed Assets and CIP'!$C$5:$K$208,3,FALSE)</f>
        <v>0</v>
      </c>
      <c r="AH9" s="538">
        <f>AG9/2</f>
        <v>0</v>
      </c>
      <c r="AI9" s="538">
        <f>VLOOKUP(AF9,'TB - Fixed Assets and CIP'!$C$5:$K$208,9,FALSE)</f>
        <v>0</v>
      </c>
      <c r="AJ9" s="539">
        <f>AI9-AH9</f>
        <v>0</v>
      </c>
      <c r="AK9" s="540" t="str">
        <f>IF(AND(AH9&lt;&gt;0,AJ9&lt;&gt;0,ISNUMBER(AH9),ISNUMBER(AJ9)),AJ9/AH9,"-    ")</f>
        <v xml:space="preserve">-    </v>
      </c>
      <c r="AL9" s="538">
        <f>C9+I9+O9+U9+AA9+AG9</f>
        <v>0</v>
      </c>
      <c r="AM9" s="538">
        <f>D9+J9+P9+V9+AB9+AH9</f>
        <v>0</v>
      </c>
      <c r="AN9" s="538">
        <f>E9+K9+Q9+W9+AC9+AI9</f>
        <v>0</v>
      </c>
      <c r="AO9" s="539">
        <f>AN9-AM9</f>
        <v>0</v>
      </c>
      <c r="AP9" s="540" t="str">
        <f>IF(AND(AM9&lt;&gt;0,AO9&lt;&gt;0,ISNUMBER(AM9),ISNUMBER(AO9)),AO9/AM9,"-    ")</f>
        <v xml:space="preserve">-    </v>
      </c>
    </row>
    <row r="10" spans="1:42" ht="15.75" hidden="1" outlineLevel="1" x14ac:dyDescent="0.25">
      <c r="A10" s="536" t="s">
        <v>1839</v>
      </c>
      <c r="B10" s="537" t="s">
        <v>1512</v>
      </c>
      <c r="C10" s="538">
        <f>VLOOKUP(B10,'TB - Fixed Assets and CIP'!$C$5:$K$208,3,FALSE)</f>
        <v>0</v>
      </c>
      <c r="D10" s="538">
        <f t="shared" ref="D10:D34" si="0">C10/2</f>
        <v>0</v>
      </c>
      <c r="E10" s="538">
        <f>VLOOKUP(B10,'TB - Fixed Assets and CIP'!$C$5:$K$208,9,FALSE)</f>
        <v>0</v>
      </c>
      <c r="F10" s="539">
        <f t="shared" ref="F10:F34" si="1">E10-D10</f>
        <v>0</v>
      </c>
      <c r="G10" s="540" t="str">
        <f t="shared" ref="G10:G36" si="2">IF(AND(D10&lt;&gt;0,F10&lt;&gt;0,ISNUMBER(D10),ISNUMBER(F10)),F10/D10,"-    ")</f>
        <v xml:space="preserve">-    </v>
      </c>
      <c r="H10" s="537" t="s">
        <v>979</v>
      </c>
      <c r="I10" s="538">
        <f>VLOOKUP(H10,'TB - Fixed Assets and CIP'!$C$5:$K$208,3,FALSE)</f>
        <v>0</v>
      </c>
      <c r="J10" s="538">
        <f t="shared" ref="J10:J34" si="3">I10/2</f>
        <v>0</v>
      </c>
      <c r="K10" s="538">
        <f>VLOOKUP(H10,'TB - Fixed Assets and CIP'!$C$5:$K$208,9,FALSE)</f>
        <v>0</v>
      </c>
      <c r="L10" s="539">
        <f t="shared" ref="L10:L34" si="4">K10-J10</f>
        <v>0</v>
      </c>
      <c r="M10" s="540" t="str">
        <f t="shared" ref="M10:M34" si="5">IF(AND(J10&lt;&gt;0,L10&lt;&gt;0,ISNUMBER(J10),ISNUMBER(L10)),L10/J10,"-    ")</f>
        <v xml:space="preserve">-    </v>
      </c>
      <c r="N10" s="537" t="s">
        <v>979</v>
      </c>
      <c r="O10" s="538">
        <f>VLOOKUP(N10,'TB - Fixed Assets and CIP'!$C$5:$K$208,3,FALSE)</f>
        <v>0</v>
      </c>
      <c r="P10" s="538">
        <f t="shared" ref="P10:P34" si="6">O10/2</f>
        <v>0</v>
      </c>
      <c r="Q10" s="538">
        <f>VLOOKUP(N10,'TB - Fixed Assets and CIP'!$C$5:$K$208,9,FALSE)</f>
        <v>0</v>
      </c>
      <c r="R10" s="539">
        <f t="shared" ref="R10:R34" si="7">Q10-P10</f>
        <v>0</v>
      </c>
      <c r="S10" s="540" t="str">
        <f t="shared" ref="S10:S33" si="8">IF(AND(P10&lt;&gt;0,R10&lt;&gt;0,ISNUMBER(P10),ISNUMBER(R10)),R10/P10,"-    ")</f>
        <v xml:space="preserve">-    </v>
      </c>
      <c r="T10" s="537" t="s">
        <v>979</v>
      </c>
      <c r="U10" s="538">
        <f>VLOOKUP(T10,'TB - Fixed Assets and CIP'!$C$5:$K$208,3,FALSE)</f>
        <v>0</v>
      </c>
      <c r="V10" s="538">
        <f t="shared" ref="V10:V34" si="9">U10/2</f>
        <v>0</v>
      </c>
      <c r="W10" s="538">
        <f>VLOOKUP(T10,'TB - Fixed Assets and CIP'!$C$5:$K$208,9,FALSE)</f>
        <v>0</v>
      </c>
      <c r="X10" s="539">
        <f t="shared" ref="X10:X34" si="10">W10-V10</f>
        <v>0</v>
      </c>
      <c r="Y10" s="540" t="str">
        <f t="shared" ref="Y10:Y34" si="11">IF(AND(V10&lt;&gt;0,X10&lt;&gt;0,ISNUMBER(V10),ISNUMBER(X10)),X10/V10,"-    ")</f>
        <v xml:space="preserve">-    </v>
      </c>
      <c r="Z10" s="537" t="s">
        <v>979</v>
      </c>
      <c r="AA10" s="538">
        <f>VLOOKUP(Z10,'TB - Fixed Assets and CIP'!$C$5:$K$208,3,FALSE)</f>
        <v>0</v>
      </c>
      <c r="AB10" s="538">
        <f t="shared" ref="AB10:AB34" si="12">AA10/2</f>
        <v>0</v>
      </c>
      <c r="AC10" s="538">
        <f>VLOOKUP(Z10,'TB - Fixed Assets and CIP'!$C$5:$K$208,9,FALSE)</f>
        <v>0</v>
      </c>
      <c r="AD10" s="539">
        <f t="shared" ref="AD10:AD34" si="13">AC10-AB10</f>
        <v>0</v>
      </c>
      <c r="AE10" s="540" t="str">
        <f t="shared" ref="AE10:AE34" si="14">IF(AND(AB10&lt;&gt;0,AD10&lt;&gt;0,ISNUMBER(AB10),ISNUMBER(AD10)),AD10/AB10,"-    ")</f>
        <v xml:space="preserve">-    </v>
      </c>
      <c r="AF10" s="537" t="s">
        <v>979</v>
      </c>
      <c r="AG10" s="538">
        <f>VLOOKUP(AF10,'TB - Fixed Assets and CIP'!$C$5:$K$208,3,FALSE)</f>
        <v>0</v>
      </c>
      <c r="AH10" s="538">
        <f t="shared" ref="AH10:AH34" si="15">AG10/2</f>
        <v>0</v>
      </c>
      <c r="AI10" s="538">
        <f>VLOOKUP(AF10,'TB - Fixed Assets and CIP'!$C$5:$K$208,9,FALSE)</f>
        <v>0</v>
      </c>
      <c r="AJ10" s="539">
        <f t="shared" ref="AJ10:AJ34" si="16">AI10-AH10</f>
        <v>0</v>
      </c>
      <c r="AK10" s="540" t="str">
        <f t="shared" ref="AK10:AK34" si="17">IF(AND(AH10&lt;&gt;0,AJ10&lt;&gt;0,ISNUMBER(AH10),ISNUMBER(AJ10)),AJ10/AH10,"-    ")</f>
        <v xml:space="preserve">-    </v>
      </c>
      <c r="AL10" s="538">
        <f t="shared" ref="AL10:AL34" si="18">C10+I10+O10+U10+AA10+AG10</f>
        <v>0</v>
      </c>
      <c r="AM10" s="538">
        <f t="shared" ref="AM10:AM34" si="19">D10+J10+P10+V10+AB10+AH10</f>
        <v>0</v>
      </c>
      <c r="AN10" s="538">
        <f t="shared" ref="AN10:AN34" si="20">E10+K10+Q10+W10+AC10+AI10</f>
        <v>0</v>
      </c>
      <c r="AO10" s="539">
        <f t="shared" ref="AO10:AO34" si="21">AN10-AM10</f>
        <v>0</v>
      </c>
      <c r="AP10" s="540" t="str">
        <f t="shared" ref="AP10:AP33" si="22">IF(AND(AM10&lt;&gt;0,AO10&lt;&gt;0,ISNUMBER(AM10),ISNUMBER(AO10)),AO10/AM10,"-    ")</f>
        <v xml:space="preserve">-    </v>
      </c>
    </row>
    <row r="11" spans="1:42" ht="15.75" hidden="1" customHeight="1" outlineLevel="1" x14ac:dyDescent="0.25">
      <c r="A11" s="536" t="s">
        <v>1515</v>
      </c>
      <c r="B11" s="537" t="s">
        <v>1514</v>
      </c>
      <c r="C11" s="538">
        <f>VLOOKUP(B11,'TB - Fixed Assets and CIP'!$C$5:$K$208,3,FALSE)</f>
        <v>0</v>
      </c>
      <c r="D11" s="538">
        <f t="shared" si="0"/>
        <v>0</v>
      </c>
      <c r="E11" s="538">
        <f>VLOOKUP(B11,'TB - Fixed Assets and CIP'!$C$5:$K$208,9,FALSE)</f>
        <v>0</v>
      </c>
      <c r="F11" s="539">
        <f t="shared" si="1"/>
        <v>0</v>
      </c>
      <c r="G11" s="540" t="str">
        <f t="shared" si="2"/>
        <v xml:space="preserve">-    </v>
      </c>
      <c r="H11" s="537" t="s">
        <v>979</v>
      </c>
      <c r="I11" s="538">
        <f>VLOOKUP(H11,'TB - Fixed Assets and CIP'!$C$5:$K$208,3,FALSE)</f>
        <v>0</v>
      </c>
      <c r="J11" s="538">
        <f t="shared" si="3"/>
        <v>0</v>
      </c>
      <c r="K11" s="538">
        <f>VLOOKUP(H11,'TB - Fixed Assets and CIP'!$C$5:$K$208,9,FALSE)</f>
        <v>0</v>
      </c>
      <c r="L11" s="539">
        <f t="shared" si="4"/>
        <v>0</v>
      </c>
      <c r="M11" s="540" t="str">
        <f t="shared" si="5"/>
        <v xml:space="preserve">-    </v>
      </c>
      <c r="N11" s="537" t="s">
        <v>979</v>
      </c>
      <c r="O11" s="538">
        <f>VLOOKUP(N11,'TB - Fixed Assets and CIP'!$C$5:$K$208,3,FALSE)</f>
        <v>0</v>
      </c>
      <c r="P11" s="538">
        <f t="shared" si="6"/>
        <v>0</v>
      </c>
      <c r="Q11" s="538">
        <f>VLOOKUP(N11,'TB - Fixed Assets and CIP'!$C$5:$K$208,9,FALSE)</f>
        <v>0</v>
      </c>
      <c r="R11" s="539">
        <f t="shared" si="7"/>
        <v>0</v>
      </c>
      <c r="S11" s="540" t="str">
        <f t="shared" si="8"/>
        <v xml:space="preserve">-    </v>
      </c>
      <c r="T11" s="537" t="s">
        <v>979</v>
      </c>
      <c r="U11" s="538">
        <f>VLOOKUP(T11,'TB - Fixed Assets and CIP'!$C$5:$K$208,3,FALSE)</f>
        <v>0</v>
      </c>
      <c r="V11" s="538">
        <f t="shared" si="9"/>
        <v>0</v>
      </c>
      <c r="W11" s="538">
        <f>VLOOKUP(T11,'TB - Fixed Assets and CIP'!$C$5:$K$208,9,FALSE)</f>
        <v>0</v>
      </c>
      <c r="X11" s="539">
        <f t="shared" si="10"/>
        <v>0</v>
      </c>
      <c r="Y11" s="540" t="str">
        <f t="shared" si="11"/>
        <v xml:space="preserve">-    </v>
      </c>
      <c r="Z11" s="537" t="s">
        <v>979</v>
      </c>
      <c r="AA11" s="538">
        <f>VLOOKUP(Z11,'TB - Fixed Assets and CIP'!$C$5:$K$208,3,FALSE)</f>
        <v>0</v>
      </c>
      <c r="AB11" s="538">
        <f t="shared" si="12"/>
        <v>0</v>
      </c>
      <c r="AC11" s="538">
        <f>VLOOKUP(Z11,'TB - Fixed Assets and CIP'!$C$5:$K$208,9,FALSE)</f>
        <v>0</v>
      </c>
      <c r="AD11" s="539">
        <f t="shared" si="13"/>
        <v>0</v>
      </c>
      <c r="AE11" s="540" t="str">
        <f t="shared" si="14"/>
        <v xml:space="preserve">-    </v>
      </c>
      <c r="AF11" s="537" t="s">
        <v>979</v>
      </c>
      <c r="AG11" s="538">
        <f>VLOOKUP(AF11,'TB - Fixed Assets and CIP'!$C$5:$K$208,3,FALSE)</f>
        <v>0</v>
      </c>
      <c r="AH11" s="538">
        <f t="shared" si="15"/>
        <v>0</v>
      </c>
      <c r="AI11" s="538">
        <f>VLOOKUP(AF11,'TB - Fixed Assets and CIP'!$C$5:$K$208,9,FALSE)</f>
        <v>0</v>
      </c>
      <c r="AJ11" s="539">
        <f t="shared" si="16"/>
        <v>0</v>
      </c>
      <c r="AK11" s="540" t="str">
        <f t="shared" si="17"/>
        <v xml:space="preserve">-    </v>
      </c>
      <c r="AL11" s="538">
        <f t="shared" si="18"/>
        <v>0</v>
      </c>
      <c r="AM11" s="538">
        <f t="shared" si="19"/>
        <v>0</v>
      </c>
      <c r="AN11" s="538">
        <f t="shared" si="20"/>
        <v>0</v>
      </c>
      <c r="AO11" s="539">
        <f t="shared" si="21"/>
        <v>0</v>
      </c>
      <c r="AP11" s="540" t="str">
        <f t="shared" si="22"/>
        <v xml:space="preserve">-    </v>
      </c>
    </row>
    <row r="12" spans="1:42" ht="15.75" hidden="1" collapsed="1" x14ac:dyDescent="0.25">
      <c r="A12" s="13" t="s">
        <v>1840</v>
      </c>
      <c r="B12" s="131" t="s">
        <v>979</v>
      </c>
      <c r="C12" s="14">
        <f>VLOOKUP(B12,'TB - Fixed Assets and CIP'!$C$5:$K$208,3,FALSE)</f>
        <v>0</v>
      </c>
      <c r="D12" s="14">
        <f t="shared" si="0"/>
        <v>0</v>
      </c>
      <c r="E12" s="14">
        <f>VLOOKUP(B12,'TB - Fixed Assets and CIP'!$C$5:$K$208,9,FALSE)</f>
        <v>0</v>
      </c>
      <c r="F12" s="92">
        <f t="shared" si="1"/>
        <v>0</v>
      </c>
      <c r="G12" s="48" t="str">
        <f t="shared" si="2"/>
        <v xml:space="preserve">-    </v>
      </c>
      <c r="H12" s="131" t="s">
        <v>1580</v>
      </c>
      <c r="I12" s="14">
        <f>VLOOKUP(H12,'TB - Fixed Assets and CIP'!$C$5:$K$208,3,FALSE)</f>
        <v>487477</v>
      </c>
      <c r="J12" s="14">
        <f t="shared" si="3"/>
        <v>243738.5</v>
      </c>
      <c r="K12" s="14">
        <f>VLOOKUP(H12,'TB - Fixed Assets and CIP'!$C$5:$K$208,9,FALSE)</f>
        <v>2926.96</v>
      </c>
      <c r="L12" s="92">
        <f t="shared" si="4"/>
        <v>-240811.54</v>
      </c>
      <c r="M12" s="48">
        <f t="shared" si="5"/>
        <v>-0.98799139241441136</v>
      </c>
      <c r="N12" s="131" t="s">
        <v>979</v>
      </c>
      <c r="O12" s="14">
        <f>VLOOKUP(N12,'TB - Fixed Assets and CIP'!$C$5:$K$208,3,FALSE)</f>
        <v>0</v>
      </c>
      <c r="P12" s="14">
        <f t="shared" si="6"/>
        <v>0</v>
      </c>
      <c r="Q12" s="14">
        <f>VLOOKUP(N12,'TB - Fixed Assets and CIP'!$C$5:$K$208,9,FALSE)</f>
        <v>0</v>
      </c>
      <c r="R12" s="92">
        <f t="shared" si="7"/>
        <v>0</v>
      </c>
      <c r="S12" s="48" t="str">
        <f t="shared" si="8"/>
        <v xml:space="preserve">-    </v>
      </c>
      <c r="T12" s="131" t="s">
        <v>979</v>
      </c>
      <c r="U12" s="14">
        <f>VLOOKUP(T12,'TB - Fixed Assets and CIP'!$C$5:$K$208,3,FALSE)</f>
        <v>0</v>
      </c>
      <c r="V12" s="14">
        <f t="shared" si="9"/>
        <v>0</v>
      </c>
      <c r="W12" s="14">
        <f>VLOOKUP(T12,'TB - Fixed Assets and CIP'!$C$5:$K$208,9,FALSE)</f>
        <v>0</v>
      </c>
      <c r="X12" s="92">
        <f t="shared" si="10"/>
        <v>0</v>
      </c>
      <c r="Y12" s="48" t="str">
        <f t="shared" si="11"/>
        <v xml:space="preserve">-    </v>
      </c>
      <c r="Z12" s="131" t="s">
        <v>979</v>
      </c>
      <c r="AA12" s="14">
        <f>VLOOKUP(Z12,'TB - Fixed Assets and CIP'!$C$5:$K$208,3,FALSE)</f>
        <v>0</v>
      </c>
      <c r="AB12" s="14">
        <f t="shared" si="12"/>
        <v>0</v>
      </c>
      <c r="AC12" s="14">
        <f>VLOOKUP(Z12,'TB - Fixed Assets and CIP'!$C$5:$K$208,9,FALSE)</f>
        <v>0</v>
      </c>
      <c r="AD12" s="92">
        <f t="shared" si="13"/>
        <v>0</v>
      </c>
      <c r="AE12" s="48" t="str">
        <f t="shared" si="14"/>
        <v xml:space="preserve">-    </v>
      </c>
      <c r="AF12" s="131" t="s">
        <v>979</v>
      </c>
      <c r="AG12" s="14">
        <f>VLOOKUP(AF12,'TB - Fixed Assets and CIP'!$C$5:$K$208,3,FALSE)</f>
        <v>0</v>
      </c>
      <c r="AH12" s="14">
        <f t="shared" si="15"/>
        <v>0</v>
      </c>
      <c r="AI12" s="14">
        <f>VLOOKUP(AF12,'TB - Fixed Assets and CIP'!$C$5:$K$208,9,FALSE)</f>
        <v>0</v>
      </c>
      <c r="AJ12" s="92">
        <f t="shared" si="16"/>
        <v>0</v>
      </c>
      <c r="AK12" s="48" t="str">
        <f t="shared" si="17"/>
        <v xml:space="preserve">-    </v>
      </c>
      <c r="AL12" s="14">
        <f t="shared" si="18"/>
        <v>487477</v>
      </c>
      <c r="AM12" s="14">
        <f t="shared" si="19"/>
        <v>243738.5</v>
      </c>
      <c r="AN12" s="14">
        <f t="shared" si="20"/>
        <v>2926.96</v>
      </c>
      <c r="AO12" s="92">
        <f t="shared" si="21"/>
        <v>-240811.54</v>
      </c>
      <c r="AP12" s="48">
        <f t="shared" si="22"/>
        <v>-0.98799139241441136</v>
      </c>
    </row>
    <row r="13" spans="1:42" ht="15.75" hidden="1" x14ac:dyDescent="0.25">
      <c r="A13" s="13" t="s">
        <v>1841</v>
      </c>
      <c r="B13" s="131" t="s">
        <v>979</v>
      </c>
      <c r="C13" s="14">
        <f>VLOOKUP(B13,'TB - Fixed Assets and CIP'!$C$5:$K$208,3,FALSE)</f>
        <v>0</v>
      </c>
      <c r="D13" s="14">
        <f t="shared" si="0"/>
        <v>0</v>
      </c>
      <c r="E13" s="14">
        <f>VLOOKUP(B13,'TB - Fixed Assets and CIP'!$C$5:$K$208,9,FALSE)</f>
        <v>0</v>
      </c>
      <c r="F13" s="92">
        <f t="shared" si="1"/>
        <v>0</v>
      </c>
      <c r="G13" s="48" t="str">
        <f t="shared" si="2"/>
        <v xml:space="preserve">-    </v>
      </c>
      <c r="H13" s="131" t="s">
        <v>1597</v>
      </c>
      <c r="I13" s="14">
        <f>VLOOKUP(H13,'TB - Fixed Assets and CIP'!$C$5:$K$208,3,FALSE)</f>
        <v>381217</v>
      </c>
      <c r="J13" s="14">
        <f t="shared" si="3"/>
        <v>190608.5</v>
      </c>
      <c r="K13" s="14">
        <f>VLOOKUP(H13,'TB - Fixed Assets and CIP'!$C$5:$K$208,9,FALSE)</f>
        <v>2045.86</v>
      </c>
      <c r="L13" s="92">
        <f t="shared" si="4"/>
        <v>-188562.64</v>
      </c>
      <c r="M13" s="48">
        <f t="shared" si="5"/>
        <v>-0.9892666906250247</v>
      </c>
      <c r="N13" s="131" t="s">
        <v>979</v>
      </c>
      <c r="O13" s="14">
        <f>VLOOKUP(N13,'TB - Fixed Assets and CIP'!$C$5:$K$208,3,FALSE)</f>
        <v>0</v>
      </c>
      <c r="P13" s="14">
        <f t="shared" si="6"/>
        <v>0</v>
      </c>
      <c r="Q13" s="14">
        <f>VLOOKUP(N13,'TB - Fixed Assets and CIP'!$C$5:$K$208,9,FALSE)</f>
        <v>0</v>
      </c>
      <c r="R13" s="92">
        <f t="shared" si="7"/>
        <v>0</v>
      </c>
      <c r="S13" s="48" t="str">
        <f t="shared" si="8"/>
        <v xml:space="preserve">-    </v>
      </c>
      <c r="T13" s="131" t="s">
        <v>979</v>
      </c>
      <c r="U13" s="14">
        <f>VLOOKUP(T13,'TB - Fixed Assets and CIP'!$C$5:$K$208,3,FALSE)</f>
        <v>0</v>
      </c>
      <c r="V13" s="14">
        <f t="shared" si="9"/>
        <v>0</v>
      </c>
      <c r="W13" s="14">
        <f>VLOOKUP(T13,'TB - Fixed Assets and CIP'!$C$5:$K$208,9,FALSE)</f>
        <v>0</v>
      </c>
      <c r="X13" s="92">
        <f t="shared" si="10"/>
        <v>0</v>
      </c>
      <c r="Y13" s="48" t="str">
        <f t="shared" si="11"/>
        <v xml:space="preserve">-    </v>
      </c>
      <c r="Z13" s="131" t="s">
        <v>979</v>
      </c>
      <c r="AA13" s="14">
        <f>VLOOKUP(Z13,'TB - Fixed Assets and CIP'!$C$5:$K$208,3,FALSE)</f>
        <v>0</v>
      </c>
      <c r="AB13" s="14">
        <f t="shared" si="12"/>
        <v>0</v>
      </c>
      <c r="AC13" s="14">
        <f>VLOOKUP(Z13,'TB - Fixed Assets and CIP'!$C$5:$K$208,9,FALSE)</f>
        <v>0</v>
      </c>
      <c r="AD13" s="92">
        <f t="shared" si="13"/>
        <v>0</v>
      </c>
      <c r="AE13" s="48" t="str">
        <f t="shared" si="14"/>
        <v xml:space="preserve">-    </v>
      </c>
      <c r="AF13" s="131" t="s">
        <v>979</v>
      </c>
      <c r="AG13" s="14">
        <f>VLOOKUP(AF13,'TB - Fixed Assets and CIP'!$C$5:$K$208,3,FALSE)</f>
        <v>0</v>
      </c>
      <c r="AH13" s="14">
        <f t="shared" si="15"/>
        <v>0</v>
      </c>
      <c r="AI13" s="14">
        <f>VLOOKUP(AF13,'TB - Fixed Assets and CIP'!$C$5:$K$208,9,FALSE)</f>
        <v>0</v>
      </c>
      <c r="AJ13" s="92">
        <f t="shared" si="16"/>
        <v>0</v>
      </c>
      <c r="AK13" s="48" t="str">
        <f t="shared" si="17"/>
        <v xml:space="preserve">-    </v>
      </c>
      <c r="AL13" s="14">
        <f t="shared" si="18"/>
        <v>381217</v>
      </c>
      <c r="AM13" s="14">
        <f t="shared" si="19"/>
        <v>190608.5</v>
      </c>
      <c r="AN13" s="14">
        <f t="shared" si="20"/>
        <v>2045.86</v>
      </c>
      <c r="AO13" s="92">
        <f t="shared" si="21"/>
        <v>-188562.64</v>
      </c>
      <c r="AP13" s="48">
        <f t="shared" si="22"/>
        <v>-0.9892666906250247</v>
      </c>
    </row>
    <row r="14" spans="1:42" s="509" customFormat="1" ht="15.75" hidden="1" outlineLevel="1" x14ac:dyDescent="0.25">
      <c r="A14" s="536" t="s">
        <v>1651</v>
      </c>
      <c r="B14" s="537" t="s">
        <v>979</v>
      </c>
      <c r="C14" s="538">
        <f>VLOOKUP(B14,'TB - Fixed Assets and CIP'!$C$5:$K$208,3,FALSE)</f>
        <v>0</v>
      </c>
      <c r="D14" s="538">
        <f t="shared" si="0"/>
        <v>0</v>
      </c>
      <c r="E14" s="538">
        <f>VLOOKUP(B14,'TB - Fixed Assets and CIP'!$C$5:$K$208,9,FALSE)</f>
        <v>0</v>
      </c>
      <c r="F14" s="539">
        <f t="shared" si="1"/>
        <v>0</v>
      </c>
      <c r="G14" s="540" t="str">
        <f t="shared" si="2"/>
        <v xml:space="preserve">-    </v>
      </c>
      <c r="H14" s="537" t="s">
        <v>979</v>
      </c>
      <c r="I14" s="538">
        <f>VLOOKUP(H14,'TB - Fixed Assets and CIP'!$C$5:$K$208,3,FALSE)</f>
        <v>0</v>
      </c>
      <c r="J14" s="538">
        <f t="shared" si="3"/>
        <v>0</v>
      </c>
      <c r="K14" s="538">
        <f>VLOOKUP(H14,'TB - Fixed Assets and CIP'!$C$5:$K$208,9,FALSE)</f>
        <v>0</v>
      </c>
      <c r="L14" s="539">
        <f t="shared" si="4"/>
        <v>0</v>
      </c>
      <c r="M14" s="540" t="str">
        <f t="shared" si="5"/>
        <v xml:space="preserve">-    </v>
      </c>
      <c r="N14" s="537" t="s">
        <v>1650</v>
      </c>
      <c r="O14" s="538">
        <f>VLOOKUP(N14,'TB - Fixed Assets and CIP'!$C$5:$K$208,3,FALSE)</f>
        <v>0</v>
      </c>
      <c r="P14" s="538">
        <f t="shared" si="6"/>
        <v>0</v>
      </c>
      <c r="Q14" s="538">
        <f>VLOOKUP(N14,'TB - Fixed Assets and CIP'!$C$5:$K$208,9,FALSE)</f>
        <v>0</v>
      </c>
      <c r="R14" s="539">
        <f t="shared" si="7"/>
        <v>0</v>
      </c>
      <c r="S14" s="540" t="str">
        <f t="shared" si="8"/>
        <v xml:space="preserve">-    </v>
      </c>
      <c r="T14" s="537" t="s">
        <v>979</v>
      </c>
      <c r="U14" s="538">
        <f>VLOOKUP(T14,'TB - Fixed Assets and CIP'!$C$5:$K$208,3,FALSE)</f>
        <v>0</v>
      </c>
      <c r="V14" s="538">
        <f t="shared" si="9"/>
        <v>0</v>
      </c>
      <c r="W14" s="538">
        <f>VLOOKUP(T14,'TB - Fixed Assets and CIP'!$C$5:$K$208,9,FALSE)</f>
        <v>0</v>
      </c>
      <c r="X14" s="539">
        <f t="shared" si="10"/>
        <v>0</v>
      </c>
      <c r="Y14" s="540" t="str">
        <f t="shared" si="11"/>
        <v xml:space="preserve">-    </v>
      </c>
      <c r="Z14" s="537" t="s">
        <v>979</v>
      </c>
      <c r="AA14" s="538">
        <f>VLOOKUP(Z14,'TB - Fixed Assets and CIP'!$C$5:$K$208,3,FALSE)</f>
        <v>0</v>
      </c>
      <c r="AB14" s="538">
        <f t="shared" si="12"/>
        <v>0</v>
      </c>
      <c r="AC14" s="538">
        <f>VLOOKUP(Z14,'TB - Fixed Assets and CIP'!$C$5:$K$208,9,FALSE)</f>
        <v>0</v>
      </c>
      <c r="AD14" s="539">
        <f t="shared" si="13"/>
        <v>0</v>
      </c>
      <c r="AE14" s="540" t="str">
        <f t="shared" si="14"/>
        <v xml:space="preserve">-    </v>
      </c>
      <c r="AF14" s="537" t="s">
        <v>979</v>
      </c>
      <c r="AG14" s="538">
        <f>VLOOKUP(AF14,'TB - Fixed Assets and CIP'!$C$5:$K$208,3,FALSE)</f>
        <v>0</v>
      </c>
      <c r="AH14" s="538">
        <f t="shared" si="15"/>
        <v>0</v>
      </c>
      <c r="AI14" s="538">
        <f>VLOOKUP(AF14,'TB - Fixed Assets and CIP'!$C$5:$K$208,9,FALSE)</f>
        <v>0</v>
      </c>
      <c r="AJ14" s="539">
        <f t="shared" si="16"/>
        <v>0</v>
      </c>
      <c r="AK14" s="540" t="str">
        <f t="shared" si="17"/>
        <v xml:space="preserve">-    </v>
      </c>
      <c r="AL14" s="538">
        <f t="shared" si="18"/>
        <v>0</v>
      </c>
      <c r="AM14" s="538">
        <f t="shared" si="19"/>
        <v>0</v>
      </c>
      <c r="AN14" s="538">
        <f t="shared" si="20"/>
        <v>0</v>
      </c>
      <c r="AO14" s="539">
        <f t="shared" si="21"/>
        <v>0</v>
      </c>
      <c r="AP14" s="540" t="str">
        <f t="shared" si="22"/>
        <v xml:space="preserve">-    </v>
      </c>
    </row>
    <row r="15" spans="1:42" s="509" customFormat="1" ht="15.75" hidden="1" outlineLevel="1" x14ac:dyDescent="0.25">
      <c r="A15" s="536" t="s">
        <v>1866</v>
      </c>
      <c r="B15" s="537" t="s">
        <v>979</v>
      </c>
      <c r="C15" s="538">
        <f>VLOOKUP(B15,'TB - Fixed Assets and CIP'!$C$5:$K$208,3,FALSE)</f>
        <v>0</v>
      </c>
      <c r="D15" s="538">
        <f t="shared" si="0"/>
        <v>0</v>
      </c>
      <c r="E15" s="538">
        <f>VLOOKUP(B15,'TB - Fixed Assets and CIP'!$C$5:$K$208,9,FALSE)</f>
        <v>0</v>
      </c>
      <c r="F15" s="539">
        <f t="shared" si="1"/>
        <v>0</v>
      </c>
      <c r="G15" s="540" t="str">
        <f t="shared" si="2"/>
        <v xml:space="preserve">-    </v>
      </c>
      <c r="H15" s="537" t="s">
        <v>979</v>
      </c>
      <c r="I15" s="538">
        <f>VLOOKUP(H15,'TB - Fixed Assets and CIP'!$C$5:$K$208,3,FALSE)</f>
        <v>0</v>
      </c>
      <c r="J15" s="538">
        <f t="shared" si="3"/>
        <v>0</v>
      </c>
      <c r="K15" s="538">
        <f>VLOOKUP(H15,'TB - Fixed Assets and CIP'!$C$5:$K$208,9,FALSE)</f>
        <v>0</v>
      </c>
      <c r="L15" s="539">
        <f t="shared" si="4"/>
        <v>0</v>
      </c>
      <c r="M15" s="540" t="str">
        <f t="shared" si="5"/>
        <v xml:space="preserve">-    </v>
      </c>
      <c r="N15" s="537" t="s">
        <v>1656</v>
      </c>
      <c r="O15" s="538">
        <f>VLOOKUP(N15,'TB - Fixed Assets and CIP'!$C$5:$K$208,3,FALSE)</f>
        <v>0</v>
      </c>
      <c r="P15" s="538">
        <f t="shared" si="6"/>
        <v>0</v>
      </c>
      <c r="Q15" s="538">
        <f>VLOOKUP(N15,'TB - Fixed Assets and CIP'!$C$5:$K$208,9,FALSE)</f>
        <v>0</v>
      </c>
      <c r="R15" s="539">
        <f t="shared" si="7"/>
        <v>0</v>
      </c>
      <c r="S15" s="540" t="str">
        <f t="shared" si="8"/>
        <v xml:space="preserve">-    </v>
      </c>
      <c r="T15" s="537" t="s">
        <v>979</v>
      </c>
      <c r="U15" s="538">
        <f>VLOOKUP(T15,'TB - Fixed Assets and CIP'!$C$5:$K$208,3,FALSE)</f>
        <v>0</v>
      </c>
      <c r="V15" s="538">
        <f t="shared" si="9"/>
        <v>0</v>
      </c>
      <c r="W15" s="538">
        <f>VLOOKUP(T15,'TB - Fixed Assets and CIP'!$C$5:$K$208,9,FALSE)</f>
        <v>0</v>
      </c>
      <c r="X15" s="539">
        <f t="shared" si="10"/>
        <v>0</v>
      </c>
      <c r="Y15" s="540" t="str">
        <f t="shared" si="11"/>
        <v xml:space="preserve">-    </v>
      </c>
      <c r="Z15" s="537" t="s">
        <v>979</v>
      </c>
      <c r="AA15" s="538">
        <f>VLOOKUP(Z15,'TB - Fixed Assets and CIP'!$C$5:$K$208,3,FALSE)</f>
        <v>0</v>
      </c>
      <c r="AB15" s="538">
        <f t="shared" si="12"/>
        <v>0</v>
      </c>
      <c r="AC15" s="538">
        <f>VLOOKUP(Z15,'TB - Fixed Assets and CIP'!$C$5:$K$208,9,FALSE)</f>
        <v>0</v>
      </c>
      <c r="AD15" s="539">
        <f t="shared" si="13"/>
        <v>0</v>
      </c>
      <c r="AE15" s="540" t="str">
        <f t="shared" si="14"/>
        <v xml:space="preserve">-    </v>
      </c>
      <c r="AF15" s="537" t="s">
        <v>979</v>
      </c>
      <c r="AG15" s="538">
        <f>VLOOKUP(AF15,'TB - Fixed Assets and CIP'!$C$5:$K$208,3,FALSE)</f>
        <v>0</v>
      </c>
      <c r="AH15" s="538">
        <f t="shared" si="15"/>
        <v>0</v>
      </c>
      <c r="AI15" s="538">
        <f>VLOOKUP(AF15,'TB - Fixed Assets and CIP'!$C$5:$K$208,9,FALSE)</f>
        <v>0</v>
      </c>
      <c r="AJ15" s="539">
        <f t="shared" si="16"/>
        <v>0</v>
      </c>
      <c r="AK15" s="540" t="str">
        <f t="shared" si="17"/>
        <v xml:space="preserve">-    </v>
      </c>
      <c r="AL15" s="538">
        <f t="shared" si="18"/>
        <v>0</v>
      </c>
      <c r="AM15" s="538">
        <f t="shared" si="19"/>
        <v>0</v>
      </c>
      <c r="AN15" s="538">
        <f t="shared" si="20"/>
        <v>0</v>
      </c>
      <c r="AO15" s="539">
        <f t="shared" si="21"/>
        <v>0</v>
      </c>
      <c r="AP15" s="540" t="str">
        <f t="shared" si="22"/>
        <v xml:space="preserve">-    </v>
      </c>
    </row>
    <row r="16" spans="1:42" s="509" customFormat="1" ht="15.75" hidden="1" outlineLevel="1" x14ac:dyDescent="0.25">
      <c r="A16" s="536" t="s">
        <v>1667</v>
      </c>
      <c r="B16" s="537" t="s">
        <v>979</v>
      </c>
      <c r="C16" s="538">
        <f>VLOOKUP(B16,'TB - Fixed Assets and CIP'!$C$5:$K$208,3,FALSE)</f>
        <v>0</v>
      </c>
      <c r="D16" s="538">
        <f t="shared" si="0"/>
        <v>0</v>
      </c>
      <c r="E16" s="538">
        <f>VLOOKUP(B16,'TB - Fixed Assets and CIP'!$C$5:$K$208,9,FALSE)</f>
        <v>0</v>
      </c>
      <c r="F16" s="539">
        <f t="shared" si="1"/>
        <v>0</v>
      </c>
      <c r="G16" s="540" t="str">
        <f t="shared" si="2"/>
        <v xml:space="preserve">-    </v>
      </c>
      <c r="H16" s="537" t="s">
        <v>979</v>
      </c>
      <c r="I16" s="538">
        <f>VLOOKUP(H16,'TB - Fixed Assets and CIP'!$C$5:$K$208,3,FALSE)</f>
        <v>0</v>
      </c>
      <c r="J16" s="538">
        <f t="shared" si="3"/>
        <v>0</v>
      </c>
      <c r="K16" s="538">
        <f>VLOOKUP(H16,'TB - Fixed Assets and CIP'!$C$5:$K$208,9,FALSE)</f>
        <v>0</v>
      </c>
      <c r="L16" s="539">
        <f t="shared" si="4"/>
        <v>0</v>
      </c>
      <c r="M16" s="540" t="str">
        <f t="shared" si="5"/>
        <v xml:space="preserve">-    </v>
      </c>
      <c r="N16" s="537" t="s">
        <v>1666</v>
      </c>
      <c r="O16" s="538">
        <f>VLOOKUP(N16,'TB - Fixed Assets and CIP'!$C$5:$K$208,3,FALSE)</f>
        <v>0</v>
      </c>
      <c r="P16" s="538">
        <f t="shared" si="6"/>
        <v>0</v>
      </c>
      <c r="Q16" s="538">
        <f>VLOOKUP(N16,'TB - Fixed Assets and CIP'!$C$5:$K$208,9,FALSE)</f>
        <v>0</v>
      </c>
      <c r="R16" s="539">
        <f t="shared" si="7"/>
        <v>0</v>
      </c>
      <c r="S16" s="540" t="str">
        <f t="shared" si="8"/>
        <v xml:space="preserve">-    </v>
      </c>
      <c r="T16" s="537" t="s">
        <v>979</v>
      </c>
      <c r="U16" s="538">
        <f>VLOOKUP(T16,'TB - Fixed Assets and CIP'!$C$5:$K$208,3,FALSE)</f>
        <v>0</v>
      </c>
      <c r="V16" s="538">
        <f t="shared" si="9"/>
        <v>0</v>
      </c>
      <c r="W16" s="538">
        <f>VLOOKUP(T16,'TB - Fixed Assets and CIP'!$C$5:$K$208,9,FALSE)</f>
        <v>0</v>
      </c>
      <c r="X16" s="539">
        <f t="shared" si="10"/>
        <v>0</v>
      </c>
      <c r="Y16" s="540" t="str">
        <f t="shared" si="11"/>
        <v xml:space="preserve">-    </v>
      </c>
      <c r="Z16" s="537" t="s">
        <v>979</v>
      </c>
      <c r="AA16" s="538">
        <f>VLOOKUP(Z16,'TB - Fixed Assets and CIP'!$C$5:$K$208,3,FALSE)</f>
        <v>0</v>
      </c>
      <c r="AB16" s="538">
        <f t="shared" si="12"/>
        <v>0</v>
      </c>
      <c r="AC16" s="538">
        <f>VLOOKUP(Z16,'TB - Fixed Assets and CIP'!$C$5:$K$208,9,FALSE)</f>
        <v>0</v>
      </c>
      <c r="AD16" s="539">
        <f t="shared" si="13"/>
        <v>0</v>
      </c>
      <c r="AE16" s="540" t="str">
        <f t="shared" si="14"/>
        <v xml:space="preserve">-    </v>
      </c>
      <c r="AF16" s="537" t="s">
        <v>979</v>
      </c>
      <c r="AG16" s="538">
        <f>VLOOKUP(AF16,'TB - Fixed Assets and CIP'!$C$5:$K$208,3,FALSE)</f>
        <v>0</v>
      </c>
      <c r="AH16" s="538">
        <f t="shared" si="15"/>
        <v>0</v>
      </c>
      <c r="AI16" s="538">
        <f>VLOOKUP(AF16,'TB - Fixed Assets and CIP'!$C$5:$K$208,9,FALSE)</f>
        <v>0</v>
      </c>
      <c r="AJ16" s="539">
        <f t="shared" si="16"/>
        <v>0</v>
      </c>
      <c r="AK16" s="540" t="str">
        <f t="shared" si="17"/>
        <v xml:space="preserve">-    </v>
      </c>
      <c r="AL16" s="538">
        <f t="shared" si="18"/>
        <v>0</v>
      </c>
      <c r="AM16" s="538">
        <f t="shared" si="19"/>
        <v>0</v>
      </c>
      <c r="AN16" s="538">
        <f t="shared" si="20"/>
        <v>0</v>
      </c>
      <c r="AO16" s="539">
        <f t="shared" si="21"/>
        <v>0</v>
      </c>
      <c r="AP16" s="540" t="str">
        <f t="shared" si="22"/>
        <v xml:space="preserve">-    </v>
      </c>
    </row>
    <row r="17" spans="1:42" s="509" customFormat="1" ht="15.75" collapsed="1" x14ac:dyDescent="0.25">
      <c r="A17" s="13" t="s">
        <v>3457</v>
      </c>
      <c r="B17" s="131" t="s">
        <v>979</v>
      </c>
      <c r="C17" s="14">
        <f>VLOOKUP(B17,'TB - Fixed Assets and CIP'!$C$5:$K$208,3,FALSE)</f>
        <v>0</v>
      </c>
      <c r="D17" s="14">
        <f t="shared" si="0"/>
        <v>0</v>
      </c>
      <c r="E17" s="14">
        <f>VLOOKUP(B17,'TB - Fixed Assets and CIP'!$C$5:$K$208,9,FALSE)</f>
        <v>0</v>
      </c>
      <c r="F17" s="92">
        <f t="shared" si="1"/>
        <v>0</v>
      </c>
      <c r="G17" s="48" t="str">
        <f t="shared" si="2"/>
        <v xml:space="preserve">-    </v>
      </c>
      <c r="H17" s="131" t="s">
        <v>979</v>
      </c>
      <c r="I17" s="14">
        <f>VLOOKUP(H17,'TB - Fixed Assets and CIP'!$C$5:$K$208,3,FALSE)</f>
        <v>0</v>
      </c>
      <c r="J17" s="14">
        <f t="shared" si="3"/>
        <v>0</v>
      </c>
      <c r="K17" s="14">
        <f>VLOOKUP(H17,'TB - Fixed Assets and CIP'!$C$5:$K$208,9,FALSE)</f>
        <v>0</v>
      </c>
      <c r="L17" s="92">
        <f t="shared" si="4"/>
        <v>0</v>
      </c>
      <c r="M17" s="48" t="str">
        <f t="shared" si="5"/>
        <v xml:space="preserve">-    </v>
      </c>
      <c r="N17" s="131" t="s">
        <v>3456</v>
      </c>
      <c r="O17" s="14">
        <f>VLOOKUP(N17,'TB - Fixed Assets and CIP'!$C$5:$K$208,3,FALSE)</f>
        <v>1800</v>
      </c>
      <c r="P17" s="14">
        <f t="shared" si="6"/>
        <v>900</v>
      </c>
      <c r="Q17" s="14">
        <f>VLOOKUP(N17,'TB - Fixed Assets and CIP'!$C$5:$K$208,9,FALSE)</f>
        <v>0</v>
      </c>
      <c r="R17" s="92">
        <f t="shared" si="7"/>
        <v>-900</v>
      </c>
      <c r="S17" s="48">
        <f t="shared" si="8"/>
        <v>-1</v>
      </c>
      <c r="T17" s="131" t="s">
        <v>979</v>
      </c>
      <c r="U17" s="14">
        <f>VLOOKUP(T17,'TB - Fixed Assets and CIP'!$C$5:$K$208,3,FALSE)</f>
        <v>0</v>
      </c>
      <c r="V17" s="14">
        <f t="shared" si="9"/>
        <v>0</v>
      </c>
      <c r="W17" s="14">
        <f>VLOOKUP(T17,'TB - Fixed Assets and CIP'!$C$5:$K$208,9,FALSE)</f>
        <v>0</v>
      </c>
      <c r="X17" s="92">
        <f t="shared" si="10"/>
        <v>0</v>
      </c>
      <c r="Y17" s="48" t="str">
        <f t="shared" si="11"/>
        <v xml:space="preserve">-    </v>
      </c>
      <c r="Z17" s="131" t="s">
        <v>979</v>
      </c>
      <c r="AA17" s="14">
        <f>VLOOKUP(Z17,'TB - Fixed Assets and CIP'!$C$5:$K$208,3,FALSE)</f>
        <v>0</v>
      </c>
      <c r="AB17" s="14">
        <f t="shared" si="12"/>
        <v>0</v>
      </c>
      <c r="AC17" s="14">
        <f>VLOOKUP(Z17,'TB - Fixed Assets and CIP'!$C$5:$K$208,9,FALSE)</f>
        <v>0</v>
      </c>
      <c r="AD17" s="92">
        <f t="shared" si="13"/>
        <v>0</v>
      </c>
      <c r="AE17" s="48" t="str">
        <f t="shared" si="14"/>
        <v xml:space="preserve">-    </v>
      </c>
      <c r="AF17" s="131" t="s">
        <v>979</v>
      </c>
      <c r="AG17" s="14">
        <f>VLOOKUP(AF17,'TB - Fixed Assets and CIP'!$C$5:$K$208,3,FALSE)</f>
        <v>0</v>
      </c>
      <c r="AH17" s="14">
        <f t="shared" si="15"/>
        <v>0</v>
      </c>
      <c r="AI17" s="14">
        <f>VLOOKUP(AF17,'TB - Fixed Assets and CIP'!$C$5:$K$208,9,FALSE)</f>
        <v>0</v>
      </c>
      <c r="AJ17" s="92">
        <f t="shared" si="16"/>
        <v>0</v>
      </c>
      <c r="AK17" s="48" t="str">
        <f t="shared" si="17"/>
        <v xml:space="preserve">-    </v>
      </c>
      <c r="AL17" s="14">
        <f t="shared" si="18"/>
        <v>1800</v>
      </c>
      <c r="AM17" s="14">
        <f t="shared" si="19"/>
        <v>900</v>
      </c>
      <c r="AN17" s="14">
        <f t="shared" si="20"/>
        <v>0</v>
      </c>
      <c r="AO17" s="92">
        <f t="shared" si="21"/>
        <v>-900</v>
      </c>
      <c r="AP17" s="48">
        <f t="shared" si="22"/>
        <v>-1</v>
      </c>
    </row>
    <row r="18" spans="1:42" s="509" customFormat="1" ht="15.75" hidden="1" outlineLevel="1" x14ac:dyDescent="0.25">
      <c r="A18" s="536" t="s">
        <v>1673</v>
      </c>
      <c r="B18" s="537" t="s">
        <v>979</v>
      </c>
      <c r="C18" s="538">
        <f>VLOOKUP(B18,'TB - Fixed Assets and CIP'!$C$5:$K$208,3,FALSE)</f>
        <v>0</v>
      </c>
      <c r="D18" s="538">
        <f t="shared" si="0"/>
        <v>0</v>
      </c>
      <c r="E18" s="538">
        <f>VLOOKUP(B18,'TB - Fixed Assets and CIP'!$C$5:$K$208,9,FALSE)</f>
        <v>0</v>
      </c>
      <c r="F18" s="539">
        <f t="shared" si="1"/>
        <v>0</v>
      </c>
      <c r="G18" s="540" t="str">
        <f t="shared" si="2"/>
        <v xml:space="preserve">-    </v>
      </c>
      <c r="H18" s="537" t="s">
        <v>979</v>
      </c>
      <c r="I18" s="538">
        <f>VLOOKUP(H18,'TB - Fixed Assets and CIP'!$C$5:$K$208,3,FALSE)</f>
        <v>0</v>
      </c>
      <c r="J18" s="538">
        <f t="shared" si="3"/>
        <v>0</v>
      </c>
      <c r="K18" s="538">
        <f>VLOOKUP(H18,'TB - Fixed Assets and CIP'!$C$5:$K$208,9,FALSE)</f>
        <v>0</v>
      </c>
      <c r="L18" s="539">
        <f t="shared" si="4"/>
        <v>0</v>
      </c>
      <c r="M18" s="540" t="str">
        <f t="shared" si="5"/>
        <v xml:space="preserve">-    </v>
      </c>
      <c r="N18" s="537" t="s">
        <v>1672</v>
      </c>
      <c r="O18" s="538">
        <f>VLOOKUP(N18,'TB - Fixed Assets and CIP'!$C$5:$K$208,3,FALSE)</f>
        <v>0</v>
      </c>
      <c r="P18" s="538">
        <f t="shared" si="6"/>
        <v>0</v>
      </c>
      <c r="Q18" s="538">
        <f>VLOOKUP(N18,'TB - Fixed Assets and CIP'!$C$5:$K$208,9,FALSE)</f>
        <v>0</v>
      </c>
      <c r="R18" s="539">
        <f t="shared" si="7"/>
        <v>0</v>
      </c>
      <c r="S18" s="540" t="str">
        <f t="shared" si="8"/>
        <v xml:space="preserve">-    </v>
      </c>
      <c r="T18" s="537" t="s">
        <v>979</v>
      </c>
      <c r="U18" s="538">
        <f>VLOOKUP(T18,'TB - Fixed Assets and CIP'!$C$5:$K$208,3,FALSE)</f>
        <v>0</v>
      </c>
      <c r="V18" s="538">
        <f t="shared" si="9"/>
        <v>0</v>
      </c>
      <c r="W18" s="538">
        <f>VLOOKUP(T18,'TB - Fixed Assets and CIP'!$C$5:$K$208,9,FALSE)</f>
        <v>0</v>
      </c>
      <c r="X18" s="539">
        <f t="shared" si="10"/>
        <v>0</v>
      </c>
      <c r="Y18" s="540" t="str">
        <f t="shared" si="11"/>
        <v xml:space="preserve">-    </v>
      </c>
      <c r="Z18" s="537" t="s">
        <v>979</v>
      </c>
      <c r="AA18" s="538">
        <f>VLOOKUP(Z18,'TB - Fixed Assets and CIP'!$C$5:$K$208,3,FALSE)</f>
        <v>0</v>
      </c>
      <c r="AB18" s="538">
        <f t="shared" si="12"/>
        <v>0</v>
      </c>
      <c r="AC18" s="538">
        <f>VLOOKUP(Z18,'TB - Fixed Assets and CIP'!$C$5:$K$208,9,FALSE)</f>
        <v>0</v>
      </c>
      <c r="AD18" s="539">
        <f t="shared" si="13"/>
        <v>0</v>
      </c>
      <c r="AE18" s="540" t="str">
        <f t="shared" si="14"/>
        <v xml:space="preserve">-    </v>
      </c>
      <c r="AF18" s="537" t="s">
        <v>979</v>
      </c>
      <c r="AG18" s="538">
        <f>VLOOKUP(AF18,'TB - Fixed Assets and CIP'!$C$5:$K$208,3,FALSE)</f>
        <v>0</v>
      </c>
      <c r="AH18" s="538">
        <f t="shared" si="15"/>
        <v>0</v>
      </c>
      <c r="AI18" s="538">
        <f>VLOOKUP(AF18,'TB - Fixed Assets and CIP'!$C$5:$K$208,9,FALSE)</f>
        <v>0</v>
      </c>
      <c r="AJ18" s="539">
        <f t="shared" si="16"/>
        <v>0</v>
      </c>
      <c r="AK18" s="540" t="str">
        <f t="shared" si="17"/>
        <v xml:space="preserve">-    </v>
      </c>
      <c r="AL18" s="538">
        <f t="shared" si="18"/>
        <v>0</v>
      </c>
      <c r="AM18" s="538">
        <f t="shared" si="19"/>
        <v>0</v>
      </c>
      <c r="AN18" s="538">
        <f t="shared" si="20"/>
        <v>0</v>
      </c>
      <c r="AO18" s="539">
        <f t="shared" si="21"/>
        <v>0</v>
      </c>
      <c r="AP18" s="540" t="str">
        <f t="shared" si="22"/>
        <v xml:space="preserve">-    </v>
      </c>
    </row>
    <row r="19" spans="1:42" s="509" customFormat="1" ht="15.75" hidden="1" outlineLevel="1" x14ac:dyDescent="0.25">
      <c r="A19" s="536" t="s">
        <v>1842</v>
      </c>
      <c r="B19" s="537" t="s">
        <v>979</v>
      </c>
      <c r="C19" s="538">
        <f>VLOOKUP(B19,'TB - Fixed Assets and CIP'!$C$5:$K$208,3,FALSE)</f>
        <v>0</v>
      </c>
      <c r="D19" s="538">
        <f t="shared" si="0"/>
        <v>0</v>
      </c>
      <c r="E19" s="538">
        <f>VLOOKUP(B19,'TB - Fixed Assets and CIP'!$C$5:$K$208,9,FALSE)</f>
        <v>0</v>
      </c>
      <c r="F19" s="539">
        <f t="shared" si="1"/>
        <v>0</v>
      </c>
      <c r="G19" s="540" t="str">
        <f t="shared" si="2"/>
        <v xml:space="preserve">-    </v>
      </c>
      <c r="H19" s="537" t="s">
        <v>979</v>
      </c>
      <c r="I19" s="538">
        <f>VLOOKUP(H19,'TB - Fixed Assets and CIP'!$C$5:$K$208,3,FALSE)</f>
        <v>0</v>
      </c>
      <c r="J19" s="538">
        <f t="shared" si="3"/>
        <v>0</v>
      </c>
      <c r="K19" s="538">
        <f>VLOOKUP(H19,'TB - Fixed Assets and CIP'!$C$5:$K$208,9,FALSE)</f>
        <v>0</v>
      </c>
      <c r="L19" s="539">
        <f t="shared" si="4"/>
        <v>0</v>
      </c>
      <c r="M19" s="540" t="str">
        <f t="shared" si="5"/>
        <v xml:space="preserve">-    </v>
      </c>
      <c r="N19" s="537" t="s">
        <v>979</v>
      </c>
      <c r="O19" s="538">
        <f>VLOOKUP(N19,'TB - Fixed Assets and CIP'!$C$5:$K$208,3,FALSE)</f>
        <v>0</v>
      </c>
      <c r="P19" s="538">
        <f t="shared" si="6"/>
        <v>0</v>
      </c>
      <c r="Q19" s="538">
        <f>VLOOKUP(N19,'TB - Fixed Assets and CIP'!$C$5:$K$208,9,FALSE)</f>
        <v>0</v>
      </c>
      <c r="R19" s="539">
        <f t="shared" si="7"/>
        <v>0</v>
      </c>
      <c r="S19" s="540" t="str">
        <f t="shared" si="8"/>
        <v xml:space="preserve">-    </v>
      </c>
      <c r="T19" s="537" t="s">
        <v>979</v>
      </c>
      <c r="U19" s="538">
        <f>VLOOKUP(T19,'TB - Fixed Assets and CIP'!$C$5:$K$208,3,FALSE)</f>
        <v>0</v>
      </c>
      <c r="V19" s="538">
        <f t="shared" si="9"/>
        <v>0</v>
      </c>
      <c r="W19" s="538">
        <f>VLOOKUP(T19,'TB - Fixed Assets and CIP'!$C$5:$K$208,9,FALSE)</f>
        <v>0</v>
      </c>
      <c r="X19" s="539">
        <f t="shared" si="10"/>
        <v>0</v>
      </c>
      <c r="Y19" s="540" t="str">
        <f t="shared" si="11"/>
        <v xml:space="preserve">-    </v>
      </c>
      <c r="Z19" s="537" t="s">
        <v>979</v>
      </c>
      <c r="AA19" s="538">
        <f>VLOOKUP(Z19,'TB - Fixed Assets and CIP'!$C$5:$K$208,3,FALSE)</f>
        <v>0</v>
      </c>
      <c r="AB19" s="538">
        <f t="shared" si="12"/>
        <v>0</v>
      </c>
      <c r="AC19" s="538">
        <f>VLOOKUP(Z19,'TB - Fixed Assets and CIP'!$C$5:$K$208,9,FALSE)</f>
        <v>0</v>
      </c>
      <c r="AD19" s="539">
        <f t="shared" si="13"/>
        <v>0</v>
      </c>
      <c r="AE19" s="540" t="str">
        <f t="shared" si="14"/>
        <v xml:space="preserve">-    </v>
      </c>
      <c r="AF19" s="537" t="s">
        <v>979</v>
      </c>
      <c r="AG19" s="538">
        <f>VLOOKUP(AF19,'TB - Fixed Assets and CIP'!$C$5:$K$208,3,FALSE)</f>
        <v>0</v>
      </c>
      <c r="AH19" s="538">
        <f t="shared" si="15"/>
        <v>0</v>
      </c>
      <c r="AI19" s="538">
        <f>VLOOKUP(AF19,'TB - Fixed Assets and CIP'!$C$5:$K$208,9,FALSE)</f>
        <v>0</v>
      </c>
      <c r="AJ19" s="539">
        <f t="shared" si="16"/>
        <v>0</v>
      </c>
      <c r="AK19" s="540" t="str">
        <f t="shared" si="17"/>
        <v xml:space="preserve">-    </v>
      </c>
      <c r="AL19" s="538">
        <f t="shared" si="18"/>
        <v>0</v>
      </c>
      <c r="AM19" s="538">
        <f t="shared" si="19"/>
        <v>0</v>
      </c>
      <c r="AN19" s="538">
        <f t="shared" si="20"/>
        <v>0</v>
      </c>
      <c r="AO19" s="539">
        <f t="shared" si="21"/>
        <v>0</v>
      </c>
      <c r="AP19" s="540" t="str">
        <f t="shared" si="22"/>
        <v xml:space="preserve">-    </v>
      </c>
    </row>
    <row r="20" spans="1:42" s="509" customFormat="1" ht="15.75" collapsed="1" x14ac:dyDescent="0.25">
      <c r="A20" s="498" t="s">
        <v>3462</v>
      </c>
      <c r="B20" s="131" t="s">
        <v>979</v>
      </c>
      <c r="C20" s="14">
        <f>VLOOKUP(B20,'TB - Fixed Assets and CIP'!$C$5:$K$208,3,FALSE)</f>
        <v>0</v>
      </c>
      <c r="D20" s="14">
        <f t="shared" si="0"/>
        <v>0</v>
      </c>
      <c r="E20" s="14">
        <f>VLOOKUP(B20,'TB - Fixed Assets and CIP'!$C$5:$K$208,9,FALSE)</f>
        <v>0</v>
      </c>
      <c r="F20" s="92">
        <f t="shared" si="1"/>
        <v>0</v>
      </c>
      <c r="G20" s="48" t="str">
        <f t="shared" si="2"/>
        <v xml:space="preserve">-    </v>
      </c>
      <c r="H20" s="131" t="s">
        <v>979</v>
      </c>
      <c r="I20" s="14">
        <f>VLOOKUP(H20,'TB - Fixed Assets and CIP'!$C$5:$K$208,3,FALSE)</f>
        <v>0</v>
      </c>
      <c r="J20" s="14">
        <f t="shared" si="3"/>
        <v>0</v>
      </c>
      <c r="K20" s="14">
        <f>VLOOKUP(H20,'TB - Fixed Assets and CIP'!$C$5:$K$208,9,FALSE)</f>
        <v>0</v>
      </c>
      <c r="L20" s="92">
        <f t="shared" si="4"/>
        <v>0</v>
      </c>
      <c r="M20" s="48" t="str">
        <f t="shared" si="5"/>
        <v xml:space="preserve">-    </v>
      </c>
      <c r="N20" s="131" t="s">
        <v>2590</v>
      </c>
      <c r="O20" s="14">
        <f>VLOOKUP(N20,'TB - Fixed Assets and CIP'!$C$5:$K$208,3,FALSE)</f>
        <v>210000</v>
      </c>
      <c r="P20" s="14">
        <f t="shared" si="6"/>
        <v>105000</v>
      </c>
      <c r="Q20" s="14">
        <f>VLOOKUP(N20,'TB - Fixed Assets and CIP'!$C$5:$K$208,9,FALSE)</f>
        <v>1391.2</v>
      </c>
      <c r="R20" s="92">
        <f t="shared" si="7"/>
        <v>-103608.8</v>
      </c>
      <c r="S20" s="48">
        <f t="shared" si="8"/>
        <v>-0.98675047619047618</v>
      </c>
      <c r="T20" s="131" t="s">
        <v>979</v>
      </c>
      <c r="U20" s="14">
        <f>VLOOKUP(T20,'TB - Fixed Assets and CIP'!$C$5:$K$208,3,FALSE)</f>
        <v>0</v>
      </c>
      <c r="V20" s="14">
        <f t="shared" si="9"/>
        <v>0</v>
      </c>
      <c r="W20" s="14">
        <f>VLOOKUP(T20,'TB - Fixed Assets and CIP'!$C$5:$K$208,9,FALSE)</f>
        <v>0</v>
      </c>
      <c r="X20" s="92">
        <f t="shared" si="10"/>
        <v>0</v>
      </c>
      <c r="Y20" s="48" t="str">
        <f t="shared" si="11"/>
        <v xml:space="preserve">-    </v>
      </c>
      <c r="Z20" s="131" t="s">
        <v>979</v>
      </c>
      <c r="AA20" s="14">
        <f>VLOOKUP(Z20,'TB - Fixed Assets and CIP'!$C$5:$K$208,3,FALSE)</f>
        <v>0</v>
      </c>
      <c r="AB20" s="14">
        <f t="shared" si="12"/>
        <v>0</v>
      </c>
      <c r="AC20" s="14">
        <f>VLOOKUP(Z20,'TB - Fixed Assets and CIP'!$C$5:$K$208,9,FALSE)</f>
        <v>0</v>
      </c>
      <c r="AD20" s="92">
        <f t="shared" si="13"/>
        <v>0</v>
      </c>
      <c r="AE20" s="48" t="str">
        <f t="shared" si="14"/>
        <v xml:space="preserve">-    </v>
      </c>
      <c r="AF20" s="131" t="s">
        <v>979</v>
      </c>
      <c r="AG20" s="14">
        <f>VLOOKUP(AF20,'TB - Fixed Assets and CIP'!$C$5:$K$208,3,FALSE)</f>
        <v>0</v>
      </c>
      <c r="AH20" s="14">
        <f t="shared" si="15"/>
        <v>0</v>
      </c>
      <c r="AI20" s="14">
        <f>VLOOKUP(AF20,'TB - Fixed Assets and CIP'!$C$5:$K$208,9,FALSE)</f>
        <v>0</v>
      </c>
      <c r="AJ20" s="92">
        <f t="shared" si="16"/>
        <v>0</v>
      </c>
      <c r="AK20" s="48" t="str">
        <f t="shared" si="17"/>
        <v xml:space="preserve">-    </v>
      </c>
      <c r="AL20" s="14">
        <f t="shared" si="18"/>
        <v>210000</v>
      </c>
      <c r="AM20" s="14">
        <f t="shared" si="19"/>
        <v>105000</v>
      </c>
      <c r="AN20" s="14">
        <f t="shared" si="20"/>
        <v>1391.2</v>
      </c>
      <c r="AO20" s="92">
        <f t="shared" si="21"/>
        <v>-103608.8</v>
      </c>
      <c r="AP20" s="48">
        <f t="shared" si="22"/>
        <v>-0.98675047619047618</v>
      </c>
    </row>
    <row r="21" spans="1:42" s="509" customFormat="1" ht="15.75" hidden="1" outlineLevel="1" x14ac:dyDescent="0.25">
      <c r="A21" s="536" t="s">
        <v>1845</v>
      </c>
      <c r="B21" s="537" t="s">
        <v>979</v>
      </c>
      <c r="C21" s="538">
        <f>VLOOKUP(B21,'TB - Fixed Assets and CIP'!$C$5:$K$208,3,FALSE)</f>
        <v>0</v>
      </c>
      <c r="D21" s="538">
        <f t="shared" si="0"/>
        <v>0</v>
      </c>
      <c r="E21" s="538">
        <f>VLOOKUP(B21,'TB - Fixed Assets and CIP'!$C$5:$K$208,9,FALSE)</f>
        <v>0</v>
      </c>
      <c r="F21" s="539">
        <f t="shared" si="1"/>
        <v>0</v>
      </c>
      <c r="G21" s="540" t="str">
        <f t="shared" si="2"/>
        <v xml:space="preserve">-    </v>
      </c>
      <c r="H21" s="537" t="s">
        <v>979</v>
      </c>
      <c r="I21" s="538">
        <f>VLOOKUP(H21,'TB - Fixed Assets and CIP'!$C$5:$K$208,3,FALSE)</f>
        <v>0</v>
      </c>
      <c r="J21" s="538">
        <f t="shared" si="3"/>
        <v>0</v>
      </c>
      <c r="K21" s="538">
        <f>VLOOKUP(H21,'TB - Fixed Assets and CIP'!$C$5:$K$208,9,FALSE)</f>
        <v>0</v>
      </c>
      <c r="L21" s="539">
        <f t="shared" si="4"/>
        <v>0</v>
      </c>
      <c r="M21" s="540" t="str">
        <f t="shared" si="5"/>
        <v xml:space="preserve">-    </v>
      </c>
      <c r="N21" s="537" t="s">
        <v>979</v>
      </c>
      <c r="O21" s="538">
        <f>VLOOKUP(N21,'TB - Fixed Assets and CIP'!$C$5:$K$208,3,FALSE)</f>
        <v>0</v>
      </c>
      <c r="P21" s="538">
        <f t="shared" si="6"/>
        <v>0</v>
      </c>
      <c r="Q21" s="538">
        <f>VLOOKUP(N21,'TB - Fixed Assets and CIP'!$C$5:$K$208,9,FALSE)</f>
        <v>0</v>
      </c>
      <c r="R21" s="539">
        <f t="shared" si="7"/>
        <v>0</v>
      </c>
      <c r="S21" s="540" t="str">
        <f t="shared" si="8"/>
        <v xml:space="preserve">-    </v>
      </c>
      <c r="T21" s="537" t="s">
        <v>1723</v>
      </c>
      <c r="U21" s="538">
        <f>VLOOKUP(T21,'TB - Fixed Assets and CIP'!$C$5:$K$208,3,FALSE)</f>
        <v>0</v>
      </c>
      <c r="V21" s="538">
        <f t="shared" si="9"/>
        <v>0</v>
      </c>
      <c r="W21" s="538">
        <f>VLOOKUP(T21,'TB - Fixed Assets and CIP'!$C$5:$K$208,9,FALSE)</f>
        <v>0</v>
      </c>
      <c r="X21" s="539">
        <f t="shared" si="10"/>
        <v>0</v>
      </c>
      <c r="Y21" s="540" t="str">
        <f t="shared" si="11"/>
        <v xml:space="preserve">-    </v>
      </c>
      <c r="Z21" s="537" t="s">
        <v>979</v>
      </c>
      <c r="AA21" s="538">
        <f>VLOOKUP(Z21,'TB - Fixed Assets and CIP'!$C$5:$K$208,3,FALSE)</f>
        <v>0</v>
      </c>
      <c r="AB21" s="538">
        <f t="shared" si="12"/>
        <v>0</v>
      </c>
      <c r="AC21" s="538">
        <f>VLOOKUP(Z21,'TB - Fixed Assets and CIP'!$C$5:$K$208,9,FALSE)</f>
        <v>0</v>
      </c>
      <c r="AD21" s="539">
        <f t="shared" si="13"/>
        <v>0</v>
      </c>
      <c r="AE21" s="540" t="str">
        <f t="shared" si="14"/>
        <v xml:space="preserve">-    </v>
      </c>
      <c r="AF21" s="537" t="s">
        <v>979</v>
      </c>
      <c r="AG21" s="538">
        <f>VLOOKUP(AF21,'TB - Fixed Assets and CIP'!$C$5:$K$208,3,FALSE)</f>
        <v>0</v>
      </c>
      <c r="AH21" s="538">
        <f t="shared" si="15"/>
        <v>0</v>
      </c>
      <c r="AI21" s="538">
        <f>VLOOKUP(AF21,'TB - Fixed Assets and CIP'!$C$5:$K$208,9,FALSE)</f>
        <v>0</v>
      </c>
      <c r="AJ21" s="539">
        <f t="shared" si="16"/>
        <v>0</v>
      </c>
      <c r="AK21" s="540" t="str">
        <f t="shared" si="17"/>
        <v xml:space="preserve">-    </v>
      </c>
      <c r="AL21" s="538">
        <f t="shared" si="18"/>
        <v>0</v>
      </c>
      <c r="AM21" s="538">
        <f t="shared" si="19"/>
        <v>0</v>
      </c>
      <c r="AN21" s="538">
        <f t="shared" si="20"/>
        <v>0</v>
      </c>
      <c r="AO21" s="539">
        <f t="shared" si="21"/>
        <v>0</v>
      </c>
      <c r="AP21" s="540" t="str">
        <f t="shared" si="22"/>
        <v xml:space="preserve">-    </v>
      </c>
    </row>
    <row r="22" spans="1:42" ht="15.75" collapsed="1" x14ac:dyDescent="0.25">
      <c r="A22" s="13" t="s">
        <v>1844</v>
      </c>
      <c r="B22" s="131" t="s">
        <v>979</v>
      </c>
      <c r="C22" s="14">
        <f>VLOOKUP(B22,'TB - Fixed Assets and CIP'!$C$5:$K$208,3,FALSE)</f>
        <v>0</v>
      </c>
      <c r="D22" s="14">
        <f t="shared" si="0"/>
        <v>0</v>
      </c>
      <c r="E22" s="14">
        <f>VLOOKUP(B22,'TB - Fixed Assets and CIP'!$C$5:$K$208,9,FALSE)</f>
        <v>0</v>
      </c>
      <c r="F22" s="92">
        <f t="shared" si="1"/>
        <v>0</v>
      </c>
      <c r="G22" s="48" t="str">
        <f t="shared" si="2"/>
        <v xml:space="preserve">-    </v>
      </c>
      <c r="H22" s="131" t="s">
        <v>979</v>
      </c>
      <c r="I22" s="14">
        <f>VLOOKUP(H22,'TB - Fixed Assets and CIP'!$C$5:$K$208,3,FALSE)</f>
        <v>0</v>
      </c>
      <c r="J22" s="14">
        <f t="shared" si="3"/>
        <v>0</v>
      </c>
      <c r="K22" s="14">
        <f>VLOOKUP(H22,'TB - Fixed Assets and CIP'!$C$5:$K$208,9,FALSE)</f>
        <v>0</v>
      </c>
      <c r="L22" s="92">
        <f t="shared" si="4"/>
        <v>0</v>
      </c>
      <c r="M22" s="48" t="str">
        <f t="shared" si="5"/>
        <v xml:space="preserve">-    </v>
      </c>
      <c r="N22" s="131" t="s">
        <v>979</v>
      </c>
      <c r="O22" s="14">
        <f>VLOOKUP(N22,'TB - Fixed Assets and CIP'!$C$5:$K$208,3,FALSE)</f>
        <v>0</v>
      </c>
      <c r="P22" s="14">
        <f t="shared" si="6"/>
        <v>0</v>
      </c>
      <c r="Q22" s="14">
        <f>VLOOKUP(N22,'TB - Fixed Assets and CIP'!$C$5:$K$208,9,FALSE)</f>
        <v>0</v>
      </c>
      <c r="R22" s="92">
        <f t="shared" si="7"/>
        <v>0</v>
      </c>
      <c r="S22" s="48" t="str">
        <f t="shared" si="8"/>
        <v xml:space="preserve">-    </v>
      </c>
      <c r="T22" s="131" t="s">
        <v>1725</v>
      </c>
      <c r="U22" s="14">
        <f>VLOOKUP(T22,'TB - Fixed Assets and CIP'!$C$5:$K$208,3,FALSE)</f>
        <v>287902</v>
      </c>
      <c r="V22" s="14">
        <f t="shared" si="9"/>
        <v>143951</v>
      </c>
      <c r="W22" s="14">
        <f>VLOOKUP(T22,'TB - Fixed Assets and CIP'!$C$5:$K$208,9,FALSE)</f>
        <v>3275.61</v>
      </c>
      <c r="X22" s="92">
        <f t="shared" si="10"/>
        <v>-140675.39000000001</v>
      </c>
      <c r="Y22" s="48">
        <f t="shared" si="11"/>
        <v>-0.97724496530069271</v>
      </c>
      <c r="Z22" s="131" t="s">
        <v>979</v>
      </c>
      <c r="AA22" s="14">
        <f>VLOOKUP(Z22,'TB - Fixed Assets and CIP'!$C$5:$K$208,3,FALSE)</f>
        <v>0</v>
      </c>
      <c r="AB22" s="14">
        <f t="shared" si="12"/>
        <v>0</v>
      </c>
      <c r="AC22" s="14">
        <f>VLOOKUP(Z22,'TB - Fixed Assets and CIP'!$C$5:$K$208,9,FALSE)</f>
        <v>0</v>
      </c>
      <c r="AD22" s="92">
        <f t="shared" si="13"/>
        <v>0</v>
      </c>
      <c r="AE22" s="48" t="str">
        <f t="shared" si="14"/>
        <v xml:space="preserve">-    </v>
      </c>
      <c r="AF22" s="131" t="s">
        <v>979</v>
      </c>
      <c r="AG22" s="14">
        <f>VLOOKUP(AF22,'TB - Fixed Assets and CIP'!$C$5:$K$208,3,FALSE)</f>
        <v>0</v>
      </c>
      <c r="AH22" s="14">
        <f t="shared" si="15"/>
        <v>0</v>
      </c>
      <c r="AI22" s="14">
        <f>VLOOKUP(AF22,'TB - Fixed Assets and CIP'!$C$5:$K$208,9,FALSE)</f>
        <v>0</v>
      </c>
      <c r="AJ22" s="92">
        <f t="shared" si="16"/>
        <v>0</v>
      </c>
      <c r="AK22" s="48" t="str">
        <f t="shared" si="17"/>
        <v xml:space="preserve">-    </v>
      </c>
      <c r="AL22" s="14">
        <f t="shared" si="18"/>
        <v>287902</v>
      </c>
      <c r="AM22" s="14">
        <f t="shared" si="19"/>
        <v>143951</v>
      </c>
      <c r="AN22" s="14">
        <f t="shared" si="20"/>
        <v>3275.61</v>
      </c>
      <c r="AO22" s="92">
        <f t="shared" si="21"/>
        <v>-140675.39000000001</v>
      </c>
      <c r="AP22" s="48">
        <f t="shared" si="22"/>
        <v>-0.97724496530069271</v>
      </c>
    </row>
    <row r="23" spans="1:42" s="509" customFormat="1" ht="15.75" x14ac:dyDescent="0.25">
      <c r="A23" s="13" t="s">
        <v>3459</v>
      </c>
      <c r="B23" s="131" t="s">
        <v>979</v>
      </c>
      <c r="C23" s="14">
        <f>VLOOKUP(B23,'TB - Fixed Assets and CIP'!$C$5:$K$208,3,FALSE)</f>
        <v>0</v>
      </c>
      <c r="D23" s="14">
        <f t="shared" si="0"/>
        <v>0</v>
      </c>
      <c r="E23" s="14">
        <f>VLOOKUP(B23,'TB - Fixed Assets and CIP'!$C$5:$K$208,9,FALSE)</f>
        <v>0</v>
      </c>
      <c r="F23" s="92">
        <f t="shared" si="1"/>
        <v>0</v>
      </c>
      <c r="G23" s="48" t="str">
        <f t="shared" si="2"/>
        <v xml:space="preserve">-    </v>
      </c>
      <c r="H23" s="131" t="s">
        <v>979</v>
      </c>
      <c r="I23" s="14">
        <f>VLOOKUP(H23,'TB - Fixed Assets and CIP'!$C$5:$K$208,3,FALSE)</f>
        <v>0</v>
      </c>
      <c r="J23" s="14">
        <f t="shared" si="3"/>
        <v>0</v>
      </c>
      <c r="K23" s="14">
        <f>VLOOKUP(H23,'TB - Fixed Assets and CIP'!$C$5:$K$208,9,FALSE)</f>
        <v>0</v>
      </c>
      <c r="L23" s="92">
        <f t="shared" si="4"/>
        <v>0</v>
      </c>
      <c r="M23" s="48" t="str">
        <f t="shared" si="5"/>
        <v xml:space="preserve">-    </v>
      </c>
      <c r="N23" s="131" t="s">
        <v>979</v>
      </c>
      <c r="O23" s="14">
        <f>VLOOKUP(N23,'TB - Fixed Assets and CIP'!$C$5:$K$208,3,FALSE)</f>
        <v>0</v>
      </c>
      <c r="P23" s="14">
        <f t="shared" si="6"/>
        <v>0</v>
      </c>
      <c r="Q23" s="14">
        <f>VLOOKUP(N23,'TB - Fixed Assets and CIP'!$C$5:$K$208,9,FALSE)</f>
        <v>0</v>
      </c>
      <c r="R23" s="92">
        <f t="shared" si="7"/>
        <v>0</v>
      </c>
      <c r="S23" s="48" t="str">
        <f t="shared" si="8"/>
        <v xml:space="preserve">-    </v>
      </c>
      <c r="T23" s="131" t="s">
        <v>3458</v>
      </c>
      <c r="U23" s="14">
        <f>VLOOKUP(T23,'TB - Fixed Assets and CIP'!$C$5:$K$208,3,FALSE)</f>
        <v>28000</v>
      </c>
      <c r="V23" s="14">
        <f t="shared" si="9"/>
        <v>14000</v>
      </c>
      <c r="W23" s="14">
        <f>VLOOKUP(T23,'TB - Fixed Assets and CIP'!$C$5:$K$208,9,FALSE)</f>
        <v>0</v>
      </c>
      <c r="X23" s="92">
        <f t="shared" si="10"/>
        <v>-14000</v>
      </c>
      <c r="Y23" s="48">
        <f t="shared" si="11"/>
        <v>-1</v>
      </c>
      <c r="Z23" s="131" t="s">
        <v>979</v>
      </c>
      <c r="AA23" s="14">
        <f>VLOOKUP(Z23,'TB - Fixed Assets and CIP'!$C$5:$K$208,3,FALSE)</f>
        <v>0</v>
      </c>
      <c r="AB23" s="14">
        <f t="shared" si="12"/>
        <v>0</v>
      </c>
      <c r="AC23" s="14">
        <f>VLOOKUP(Z23,'TB - Fixed Assets and CIP'!$C$5:$K$208,9,FALSE)</f>
        <v>0</v>
      </c>
      <c r="AD23" s="92">
        <f t="shared" si="13"/>
        <v>0</v>
      </c>
      <c r="AE23" s="48" t="str">
        <f t="shared" si="14"/>
        <v xml:space="preserve">-    </v>
      </c>
      <c r="AF23" s="131" t="s">
        <v>979</v>
      </c>
      <c r="AG23" s="14">
        <f>VLOOKUP(AF23,'TB - Fixed Assets and CIP'!$C$5:$K$208,3,FALSE)</f>
        <v>0</v>
      </c>
      <c r="AH23" s="14">
        <f t="shared" si="15"/>
        <v>0</v>
      </c>
      <c r="AI23" s="14">
        <f>VLOOKUP(AF23,'TB - Fixed Assets and CIP'!$C$5:$K$208,9,FALSE)</f>
        <v>0</v>
      </c>
      <c r="AJ23" s="92">
        <f t="shared" si="16"/>
        <v>0</v>
      </c>
      <c r="AK23" s="48" t="str">
        <f t="shared" si="17"/>
        <v xml:space="preserve">-    </v>
      </c>
      <c r="AL23" s="14">
        <f t="shared" si="18"/>
        <v>28000</v>
      </c>
      <c r="AM23" s="14">
        <f t="shared" si="19"/>
        <v>14000</v>
      </c>
      <c r="AN23" s="14">
        <f t="shared" si="20"/>
        <v>0</v>
      </c>
      <c r="AO23" s="92">
        <f t="shared" si="21"/>
        <v>-14000</v>
      </c>
      <c r="AP23" s="48">
        <f t="shared" si="22"/>
        <v>-1</v>
      </c>
    </row>
    <row r="24" spans="1:42" s="509" customFormat="1" ht="15.75" x14ac:dyDescent="0.25">
      <c r="A24" s="13" t="s">
        <v>2845</v>
      </c>
      <c r="B24" s="131" t="s">
        <v>979</v>
      </c>
      <c r="C24" s="14">
        <f>VLOOKUP(B24,'TB - Fixed Assets and CIP'!$C$5:$K$208,3,FALSE)</f>
        <v>0</v>
      </c>
      <c r="D24" s="14">
        <f t="shared" si="0"/>
        <v>0</v>
      </c>
      <c r="E24" s="14">
        <f>VLOOKUP(B24,'TB - Fixed Assets and CIP'!$C$5:$K$208,9,FALSE)</f>
        <v>0</v>
      </c>
      <c r="F24" s="92">
        <f t="shared" si="1"/>
        <v>0</v>
      </c>
      <c r="G24" s="48" t="str">
        <f t="shared" si="2"/>
        <v xml:space="preserve">-    </v>
      </c>
      <c r="H24" s="131" t="s">
        <v>979</v>
      </c>
      <c r="I24" s="14">
        <f>VLOOKUP(H24,'TB - Fixed Assets and CIP'!$C$5:$K$208,3,FALSE)</f>
        <v>0</v>
      </c>
      <c r="J24" s="14">
        <f t="shared" si="3"/>
        <v>0</v>
      </c>
      <c r="K24" s="14">
        <f>VLOOKUP(H24,'TB - Fixed Assets and CIP'!$C$5:$K$208,9,FALSE)</f>
        <v>0</v>
      </c>
      <c r="L24" s="92">
        <f t="shared" si="4"/>
        <v>0</v>
      </c>
      <c r="M24" s="48" t="str">
        <f t="shared" si="5"/>
        <v xml:space="preserve">-    </v>
      </c>
      <c r="N24" s="131" t="s">
        <v>979</v>
      </c>
      <c r="O24" s="14">
        <f>VLOOKUP(N24,'TB - Fixed Assets and CIP'!$C$5:$K$208,3,FALSE)</f>
        <v>0</v>
      </c>
      <c r="P24" s="14">
        <f t="shared" si="6"/>
        <v>0</v>
      </c>
      <c r="Q24" s="14">
        <f>VLOOKUP(N24,'TB - Fixed Assets and CIP'!$C$5:$K$208,9,FALSE)</f>
        <v>0</v>
      </c>
      <c r="R24" s="92">
        <f t="shared" si="7"/>
        <v>0</v>
      </c>
      <c r="S24" s="48" t="str">
        <f t="shared" si="8"/>
        <v xml:space="preserve">-    </v>
      </c>
      <c r="T24" s="499" t="s">
        <v>1729</v>
      </c>
      <c r="U24" s="14">
        <f>VLOOKUP(T24,'TB - Fixed Assets and CIP'!$C$5:$K$208,3,FALSE)</f>
        <v>0</v>
      </c>
      <c r="V24" s="14">
        <f t="shared" si="9"/>
        <v>0</v>
      </c>
      <c r="W24" s="14">
        <f>VLOOKUP(T24,'TB - Fixed Assets and CIP'!$C$5:$K$208,9,FALSE)</f>
        <v>711</v>
      </c>
      <c r="X24" s="92">
        <f t="shared" si="10"/>
        <v>711</v>
      </c>
      <c r="Y24" s="48">
        <v>1</v>
      </c>
      <c r="Z24" s="131" t="s">
        <v>979</v>
      </c>
      <c r="AA24" s="14">
        <f>VLOOKUP(Z24,'TB - Fixed Assets and CIP'!$C$5:$K$208,3,FALSE)</f>
        <v>0</v>
      </c>
      <c r="AB24" s="14">
        <f t="shared" si="12"/>
        <v>0</v>
      </c>
      <c r="AC24" s="14">
        <f>VLOOKUP(Z24,'TB - Fixed Assets and CIP'!$C$5:$K$208,9,FALSE)</f>
        <v>0</v>
      </c>
      <c r="AD24" s="92">
        <f t="shared" si="13"/>
        <v>0</v>
      </c>
      <c r="AE24" s="48" t="str">
        <f t="shared" si="14"/>
        <v xml:space="preserve">-    </v>
      </c>
      <c r="AF24" s="131" t="s">
        <v>979</v>
      </c>
      <c r="AG24" s="14">
        <f>VLOOKUP(AF24,'TB - Fixed Assets and CIP'!$C$5:$K$208,3,FALSE)</f>
        <v>0</v>
      </c>
      <c r="AH24" s="14">
        <f t="shared" si="15"/>
        <v>0</v>
      </c>
      <c r="AI24" s="14">
        <f>VLOOKUP(AF24,'TB - Fixed Assets and CIP'!$C$5:$K$208,9,FALSE)</f>
        <v>0</v>
      </c>
      <c r="AJ24" s="92">
        <f t="shared" si="16"/>
        <v>0</v>
      </c>
      <c r="AK24" s="48" t="str">
        <f t="shared" si="17"/>
        <v xml:space="preserve">-    </v>
      </c>
      <c r="AL24" s="14">
        <f t="shared" si="18"/>
        <v>0</v>
      </c>
      <c r="AM24" s="14">
        <f t="shared" si="19"/>
        <v>0</v>
      </c>
      <c r="AN24" s="14">
        <f t="shared" si="20"/>
        <v>711</v>
      </c>
      <c r="AO24" s="92">
        <f t="shared" si="21"/>
        <v>711</v>
      </c>
      <c r="AP24" s="48">
        <v>1</v>
      </c>
    </row>
    <row r="25" spans="1:42" ht="15.75" x14ac:dyDescent="0.25">
      <c r="A25" s="13" t="s">
        <v>1527</v>
      </c>
      <c r="B25" s="131" t="s">
        <v>1526</v>
      </c>
      <c r="C25" s="14">
        <f>VLOOKUP(B25,'TB - Fixed Assets and CIP'!$C$5:$K$208,3,FALSE)</f>
        <v>103050</v>
      </c>
      <c r="D25" s="14">
        <f t="shared" si="0"/>
        <v>51525</v>
      </c>
      <c r="E25" s="14">
        <f>VLOOKUP(B25,'TB - Fixed Assets and CIP'!$C$5:$K$208,9,FALSE)</f>
        <v>3682.98</v>
      </c>
      <c r="F25" s="92">
        <f t="shared" si="1"/>
        <v>-47842.02</v>
      </c>
      <c r="G25" s="48">
        <f t="shared" si="2"/>
        <v>-0.92852052401746721</v>
      </c>
      <c r="H25" s="131" t="s">
        <v>979</v>
      </c>
      <c r="I25" s="14">
        <f>VLOOKUP(H25,'TB - Fixed Assets and CIP'!$C$5:$K$208,3,FALSE)</f>
        <v>0</v>
      </c>
      <c r="J25" s="14">
        <f t="shared" si="3"/>
        <v>0</v>
      </c>
      <c r="K25" s="14">
        <f>VLOOKUP(H25,'TB - Fixed Assets and CIP'!$C$5:$K$208,9,FALSE)</f>
        <v>0</v>
      </c>
      <c r="L25" s="92">
        <f t="shared" si="4"/>
        <v>0</v>
      </c>
      <c r="M25" s="48" t="str">
        <f t="shared" si="5"/>
        <v xml:space="preserve">-    </v>
      </c>
      <c r="N25" s="131" t="s">
        <v>1655</v>
      </c>
      <c r="O25" s="14">
        <f>VLOOKUP(N25,'TB - Fixed Assets and CIP'!$C$5:$K$208,3,FALSE)</f>
        <v>175464</v>
      </c>
      <c r="P25" s="14">
        <f t="shared" si="6"/>
        <v>87732</v>
      </c>
      <c r="Q25" s="14">
        <f>VLOOKUP(N25,'TB - Fixed Assets and CIP'!$C$5:$K$208,9,FALSE)</f>
        <v>9264.02</v>
      </c>
      <c r="R25" s="92">
        <f t="shared" si="7"/>
        <v>-78467.98</v>
      </c>
      <c r="S25" s="48">
        <f t="shared" si="8"/>
        <v>-0.89440546208908944</v>
      </c>
      <c r="T25" s="131" t="s">
        <v>979</v>
      </c>
      <c r="U25" s="14">
        <f>VLOOKUP(T25,'TB - Fixed Assets and CIP'!$C$5:$K$208,3,FALSE)</f>
        <v>0</v>
      </c>
      <c r="V25" s="14">
        <f t="shared" si="9"/>
        <v>0</v>
      </c>
      <c r="W25" s="14">
        <f>VLOOKUP(T25,'TB - Fixed Assets and CIP'!$C$5:$K$208,9,FALSE)</f>
        <v>0</v>
      </c>
      <c r="X25" s="92">
        <f t="shared" si="10"/>
        <v>0</v>
      </c>
      <c r="Y25" s="48" t="str">
        <f t="shared" si="11"/>
        <v xml:space="preserve">-    </v>
      </c>
      <c r="Z25" s="131" t="s">
        <v>979</v>
      </c>
      <c r="AA25" s="14">
        <f>VLOOKUP(Z25,'TB - Fixed Assets and CIP'!$C$5:$K$208,3,FALSE)</f>
        <v>0</v>
      </c>
      <c r="AB25" s="14">
        <f t="shared" si="12"/>
        <v>0</v>
      </c>
      <c r="AC25" s="14">
        <f>VLOOKUP(Z25,'TB - Fixed Assets and CIP'!$C$5:$K$208,9,FALSE)</f>
        <v>0</v>
      </c>
      <c r="AD25" s="92">
        <f t="shared" si="13"/>
        <v>0</v>
      </c>
      <c r="AE25" s="48" t="str">
        <f t="shared" si="14"/>
        <v xml:space="preserve">-    </v>
      </c>
      <c r="AF25" s="131" t="s">
        <v>979</v>
      </c>
      <c r="AG25" s="14">
        <f>VLOOKUP(AF25,'TB - Fixed Assets and CIP'!$C$5:$K$208,3,FALSE)</f>
        <v>0</v>
      </c>
      <c r="AH25" s="14">
        <f t="shared" si="15"/>
        <v>0</v>
      </c>
      <c r="AI25" s="14">
        <f>VLOOKUP(AF25,'TB - Fixed Assets and CIP'!$C$5:$K$208,9,FALSE)</f>
        <v>0</v>
      </c>
      <c r="AJ25" s="92">
        <f t="shared" si="16"/>
        <v>0</v>
      </c>
      <c r="AK25" s="48" t="str">
        <f t="shared" si="17"/>
        <v xml:space="preserve">-    </v>
      </c>
      <c r="AL25" s="14">
        <f t="shared" si="18"/>
        <v>278514</v>
      </c>
      <c r="AM25" s="14">
        <f t="shared" si="19"/>
        <v>139257</v>
      </c>
      <c r="AN25" s="14">
        <f t="shared" si="20"/>
        <v>12947</v>
      </c>
      <c r="AO25" s="92">
        <f t="shared" si="21"/>
        <v>-126310</v>
      </c>
      <c r="AP25" s="48">
        <f t="shared" si="22"/>
        <v>-0.90702801295446545</v>
      </c>
    </row>
    <row r="26" spans="1:42" ht="15.75" x14ac:dyDescent="0.25">
      <c r="A26" s="13" t="s">
        <v>1757</v>
      </c>
      <c r="B26" s="131" t="s">
        <v>979</v>
      </c>
      <c r="C26" s="14">
        <f>VLOOKUP(B26,'TB - Fixed Assets and CIP'!$C$5:$K$208,3,FALSE)</f>
        <v>0</v>
      </c>
      <c r="D26" s="14">
        <f t="shared" si="0"/>
        <v>0</v>
      </c>
      <c r="E26" s="14">
        <f>VLOOKUP(B26,'TB - Fixed Assets and CIP'!$C$5:$K$208,9,FALSE)</f>
        <v>0</v>
      </c>
      <c r="F26" s="92">
        <f t="shared" si="1"/>
        <v>0</v>
      </c>
      <c r="G26" s="48" t="str">
        <f t="shared" si="2"/>
        <v xml:space="preserve">-    </v>
      </c>
      <c r="H26" s="131" t="s">
        <v>979</v>
      </c>
      <c r="I26" s="14">
        <f>VLOOKUP(H26,'TB - Fixed Assets and CIP'!$C$5:$K$208,3,FALSE)</f>
        <v>0</v>
      </c>
      <c r="J26" s="14">
        <f t="shared" si="3"/>
        <v>0</v>
      </c>
      <c r="K26" s="14">
        <f>VLOOKUP(H26,'TB - Fixed Assets and CIP'!$C$5:$K$208,9,FALSE)</f>
        <v>0</v>
      </c>
      <c r="L26" s="92">
        <f t="shared" si="4"/>
        <v>0</v>
      </c>
      <c r="M26" s="48" t="str">
        <f t="shared" si="5"/>
        <v xml:space="preserve">-    </v>
      </c>
      <c r="N26" s="131" t="s">
        <v>979</v>
      </c>
      <c r="O26" s="14">
        <f>VLOOKUP(N26,'TB - Fixed Assets and CIP'!$C$5:$K$208,3,FALSE)</f>
        <v>0</v>
      </c>
      <c r="P26" s="14">
        <f t="shared" si="6"/>
        <v>0</v>
      </c>
      <c r="Q26" s="14">
        <f>VLOOKUP(N26,'TB - Fixed Assets and CIP'!$C$5:$K$208,9,FALSE)</f>
        <v>0</v>
      </c>
      <c r="R26" s="92">
        <f t="shared" si="7"/>
        <v>0</v>
      </c>
      <c r="S26" s="48" t="str">
        <f t="shared" si="8"/>
        <v xml:space="preserve">-    </v>
      </c>
      <c r="T26" s="131" t="s">
        <v>979</v>
      </c>
      <c r="U26" s="14">
        <f>VLOOKUP(T26,'TB - Fixed Assets and CIP'!$C$5:$K$208,3,FALSE)</f>
        <v>0</v>
      </c>
      <c r="V26" s="14">
        <f t="shared" si="9"/>
        <v>0</v>
      </c>
      <c r="W26" s="14">
        <f>VLOOKUP(T26,'TB - Fixed Assets and CIP'!$C$5:$K$208,9,FALSE)</f>
        <v>0</v>
      </c>
      <c r="X26" s="92">
        <f t="shared" si="10"/>
        <v>0</v>
      </c>
      <c r="Y26" s="48" t="str">
        <f t="shared" si="11"/>
        <v xml:space="preserve">-    </v>
      </c>
      <c r="Z26" s="131" t="s">
        <v>1756</v>
      </c>
      <c r="AA26" s="14">
        <f>VLOOKUP(Z26,'TB - Fixed Assets and CIP'!$C$5:$K$208,3,FALSE)</f>
        <v>0</v>
      </c>
      <c r="AB26" s="14">
        <f t="shared" si="12"/>
        <v>0</v>
      </c>
      <c r="AC26" s="14">
        <f>VLOOKUP(Z26,'TB - Fixed Assets and CIP'!$C$5:$K$208,9,FALSE)</f>
        <v>0</v>
      </c>
      <c r="AD26" s="92">
        <f t="shared" si="13"/>
        <v>0</v>
      </c>
      <c r="AE26" s="48" t="str">
        <f t="shared" si="14"/>
        <v xml:space="preserve">-    </v>
      </c>
      <c r="AF26" s="131" t="s">
        <v>1764</v>
      </c>
      <c r="AG26" s="14">
        <f>VLOOKUP(AF26,'TB - Fixed Assets and CIP'!$C$5:$K$208,3,FALSE)</f>
        <v>500000</v>
      </c>
      <c r="AH26" s="14">
        <f t="shared" si="15"/>
        <v>250000</v>
      </c>
      <c r="AI26" s="14">
        <f>VLOOKUP(AF26,'TB - Fixed Assets and CIP'!$C$5:$K$208,9,FALSE)</f>
        <v>477831.61</v>
      </c>
      <c r="AJ26" s="92">
        <f t="shared" si="16"/>
        <v>227831.61</v>
      </c>
      <c r="AK26" s="48">
        <f t="shared" si="17"/>
        <v>0.91132643999999996</v>
      </c>
      <c r="AL26" s="14">
        <f t="shared" si="18"/>
        <v>500000</v>
      </c>
      <c r="AM26" s="14">
        <f t="shared" si="19"/>
        <v>250000</v>
      </c>
      <c r="AN26" s="14">
        <f t="shared" si="20"/>
        <v>477831.61</v>
      </c>
      <c r="AO26" s="92">
        <f t="shared" si="21"/>
        <v>227831.61</v>
      </c>
      <c r="AP26" s="48">
        <f t="shared" si="22"/>
        <v>0.91132643999999996</v>
      </c>
    </row>
    <row r="27" spans="1:42" s="509" customFormat="1" ht="15.75" hidden="1" outlineLevel="1" x14ac:dyDescent="0.25">
      <c r="A27" s="536" t="s">
        <v>1838</v>
      </c>
      <c r="B27" s="537" t="s">
        <v>979</v>
      </c>
      <c r="C27" s="538">
        <f>VLOOKUP(B27,'TB - Fixed Assets and CIP'!$C$5:$K$208,3,FALSE)</f>
        <v>0</v>
      </c>
      <c r="D27" s="538">
        <f t="shared" si="0"/>
        <v>0</v>
      </c>
      <c r="E27" s="538">
        <f>VLOOKUP(B27,'TB - Fixed Assets and CIP'!$C$5:$K$208,9,FALSE)</f>
        <v>0</v>
      </c>
      <c r="F27" s="539">
        <f t="shared" si="1"/>
        <v>0</v>
      </c>
      <c r="G27" s="540" t="str">
        <f t="shared" si="2"/>
        <v xml:space="preserve">-    </v>
      </c>
      <c r="H27" s="537" t="s">
        <v>979</v>
      </c>
      <c r="I27" s="538">
        <f>VLOOKUP(H27,'TB - Fixed Assets and CIP'!$C$5:$K$208,3,FALSE)</f>
        <v>0</v>
      </c>
      <c r="J27" s="538">
        <f t="shared" si="3"/>
        <v>0</v>
      </c>
      <c r="K27" s="538">
        <f>VLOOKUP(H27,'TB - Fixed Assets and CIP'!$C$5:$K$208,9,FALSE)</f>
        <v>0</v>
      </c>
      <c r="L27" s="539">
        <f t="shared" si="4"/>
        <v>0</v>
      </c>
      <c r="M27" s="540" t="str">
        <f t="shared" si="5"/>
        <v xml:space="preserve">-    </v>
      </c>
      <c r="N27" s="537" t="s">
        <v>1674</v>
      </c>
      <c r="O27" s="538">
        <f>VLOOKUP(N27,'TB - Fixed Assets and CIP'!$C$5:$K$208,3,FALSE)</f>
        <v>0</v>
      </c>
      <c r="P27" s="538">
        <f t="shared" si="6"/>
        <v>0</v>
      </c>
      <c r="Q27" s="538">
        <f>VLOOKUP(N27,'TB - Fixed Assets and CIP'!$C$5:$K$208,9,FALSE)</f>
        <v>0</v>
      </c>
      <c r="R27" s="539">
        <f t="shared" si="7"/>
        <v>0</v>
      </c>
      <c r="S27" s="540" t="str">
        <f t="shared" si="8"/>
        <v xml:space="preserve">-    </v>
      </c>
      <c r="T27" s="537" t="s">
        <v>979</v>
      </c>
      <c r="U27" s="538">
        <f>VLOOKUP(T27,'TB - Fixed Assets and CIP'!$C$5:$K$208,3,FALSE)</f>
        <v>0</v>
      </c>
      <c r="V27" s="538">
        <f t="shared" si="9"/>
        <v>0</v>
      </c>
      <c r="W27" s="538">
        <f>VLOOKUP(T27,'TB - Fixed Assets and CIP'!$C$5:$K$208,9,FALSE)</f>
        <v>0</v>
      </c>
      <c r="X27" s="539">
        <f t="shared" si="10"/>
        <v>0</v>
      </c>
      <c r="Y27" s="540" t="str">
        <f t="shared" si="11"/>
        <v xml:space="preserve">-    </v>
      </c>
      <c r="Z27" s="537" t="s">
        <v>979</v>
      </c>
      <c r="AA27" s="538">
        <f>VLOOKUP(Z27,'TB - Fixed Assets and CIP'!$C$5:$K$208,3,FALSE)</f>
        <v>0</v>
      </c>
      <c r="AB27" s="538">
        <f t="shared" si="12"/>
        <v>0</v>
      </c>
      <c r="AC27" s="538">
        <f>VLOOKUP(Z27,'TB - Fixed Assets and CIP'!$C$5:$K$208,9,FALSE)</f>
        <v>0</v>
      </c>
      <c r="AD27" s="539">
        <f t="shared" si="13"/>
        <v>0</v>
      </c>
      <c r="AE27" s="540" t="str">
        <f t="shared" si="14"/>
        <v xml:space="preserve">-    </v>
      </c>
      <c r="AF27" s="537" t="s">
        <v>979</v>
      </c>
      <c r="AG27" s="538">
        <f>VLOOKUP(AF27,'TB - Fixed Assets and CIP'!$C$5:$K$208,3,FALSE)</f>
        <v>0</v>
      </c>
      <c r="AH27" s="538">
        <f t="shared" si="15"/>
        <v>0</v>
      </c>
      <c r="AI27" s="538">
        <f>VLOOKUP(AF27,'TB - Fixed Assets and CIP'!$C$5:$K$208,9,FALSE)</f>
        <v>0</v>
      </c>
      <c r="AJ27" s="539">
        <f t="shared" si="16"/>
        <v>0</v>
      </c>
      <c r="AK27" s="540" t="str">
        <f t="shared" si="17"/>
        <v xml:space="preserve">-    </v>
      </c>
      <c r="AL27" s="538">
        <f t="shared" si="18"/>
        <v>0</v>
      </c>
      <c r="AM27" s="538">
        <f t="shared" si="19"/>
        <v>0</v>
      </c>
      <c r="AN27" s="538">
        <f t="shared" si="20"/>
        <v>0</v>
      </c>
      <c r="AO27" s="539">
        <f t="shared" si="21"/>
        <v>0</v>
      </c>
      <c r="AP27" s="540" t="str">
        <f t="shared" si="22"/>
        <v xml:space="preserve">-    </v>
      </c>
    </row>
    <row r="28" spans="1:42" s="509" customFormat="1" ht="15.75" collapsed="1" x14ac:dyDescent="0.25">
      <c r="A28" s="13" t="s">
        <v>3455</v>
      </c>
      <c r="B28" s="499" t="s">
        <v>3451</v>
      </c>
      <c r="C28" s="14">
        <f>VLOOKUP(B28,'TB - Fixed Assets and CIP'!$C$5:$K$208,3,FALSE)</f>
        <v>21460</v>
      </c>
      <c r="D28" s="14">
        <f t="shared" si="0"/>
        <v>10730</v>
      </c>
      <c r="E28" s="14">
        <f>VLOOKUP(B28,'TB - Fixed Assets and CIP'!$C$5:$K$208,9,FALSE)</f>
        <v>0</v>
      </c>
      <c r="F28" s="92">
        <f t="shared" si="1"/>
        <v>-10730</v>
      </c>
      <c r="G28" s="48">
        <f t="shared" si="2"/>
        <v>-1</v>
      </c>
      <c r="H28" s="131" t="s">
        <v>979</v>
      </c>
      <c r="I28" s="14">
        <f>VLOOKUP(H28,'TB - Fixed Assets and CIP'!$C$5:$K$208,3,FALSE)</f>
        <v>0</v>
      </c>
      <c r="J28" s="14">
        <f t="shared" si="3"/>
        <v>0</v>
      </c>
      <c r="K28" s="14">
        <f>VLOOKUP(H28,'TB - Fixed Assets and CIP'!$C$5:$K$208,9,FALSE)</f>
        <v>0</v>
      </c>
      <c r="L28" s="92">
        <f t="shared" si="4"/>
        <v>0</v>
      </c>
      <c r="M28" s="48" t="str">
        <f t="shared" si="5"/>
        <v xml:space="preserve">-    </v>
      </c>
      <c r="N28" s="131" t="s">
        <v>3452</v>
      </c>
      <c r="O28" s="14">
        <f>VLOOKUP(N28,'TB - Fixed Assets and CIP'!$C$5:$K$208,3,FALSE)</f>
        <v>36540</v>
      </c>
      <c r="P28" s="14">
        <f t="shared" si="6"/>
        <v>18270</v>
      </c>
      <c r="Q28" s="14">
        <f>VLOOKUP(N28,'TB - Fixed Assets and CIP'!$C$5:$K$208,9,FALSE)</f>
        <v>0</v>
      </c>
      <c r="R28" s="92">
        <f t="shared" si="7"/>
        <v>-18270</v>
      </c>
      <c r="S28" s="48">
        <f t="shared" si="8"/>
        <v>-1</v>
      </c>
      <c r="T28" s="131" t="s">
        <v>979</v>
      </c>
      <c r="U28" s="14">
        <f>VLOOKUP(T28,'TB - Fixed Assets and CIP'!$C$5:$K$208,3,FALSE)</f>
        <v>0</v>
      </c>
      <c r="V28" s="14">
        <f t="shared" si="9"/>
        <v>0</v>
      </c>
      <c r="W28" s="14">
        <f>VLOOKUP(T28,'TB - Fixed Assets and CIP'!$C$5:$K$208,9,FALSE)</f>
        <v>0</v>
      </c>
      <c r="X28" s="92">
        <f t="shared" si="10"/>
        <v>0</v>
      </c>
      <c r="Y28" s="48" t="str">
        <f t="shared" si="11"/>
        <v xml:space="preserve">-    </v>
      </c>
      <c r="Z28" s="131" t="s">
        <v>979</v>
      </c>
      <c r="AA28" s="14">
        <f>VLOOKUP(Z28,'TB - Fixed Assets and CIP'!$C$5:$K$208,3,FALSE)</f>
        <v>0</v>
      </c>
      <c r="AB28" s="14">
        <f t="shared" si="12"/>
        <v>0</v>
      </c>
      <c r="AC28" s="14">
        <f>VLOOKUP(Z28,'TB - Fixed Assets and CIP'!$C$5:$K$208,9,FALSE)</f>
        <v>0</v>
      </c>
      <c r="AD28" s="92">
        <f t="shared" si="13"/>
        <v>0</v>
      </c>
      <c r="AE28" s="48" t="str">
        <f t="shared" si="14"/>
        <v xml:space="preserve">-    </v>
      </c>
      <c r="AF28" s="131" t="s">
        <v>979</v>
      </c>
      <c r="AG28" s="14">
        <f>VLOOKUP(AF28,'TB - Fixed Assets and CIP'!$C$5:$K$208,3,FALSE)</f>
        <v>0</v>
      </c>
      <c r="AH28" s="14">
        <f t="shared" si="15"/>
        <v>0</v>
      </c>
      <c r="AI28" s="14">
        <f>VLOOKUP(AF28,'TB - Fixed Assets and CIP'!$C$5:$K$208,9,FALSE)</f>
        <v>0</v>
      </c>
      <c r="AJ28" s="92">
        <f t="shared" si="16"/>
        <v>0</v>
      </c>
      <c r="AK28" s="48" t="str">
        <f t="shared" si="17"/>
        <v xml:space="preserve">-    </v>
      </c>
      <c r="AL28" s="14">
        <f t="shared" si="18"/>
        <v>58000</v>
      </c>
      <c r="AM28" s="14">
        <f t="shared" si="19"/>
        <v>29000</v>
      </c>
      <c r="AN28" s="14">
        <f t="shared" si="20"/>
        <v>0</v>
      </c>
      <c r="AO28" s="92">
        <f t="shared" si="21"/>
        <v>-29000</v>
      </c>
      <c r="AP28" s="48">
        <f t="shared" si="22"/>
        <v>-1</v>
      </c>
    </row>
    <row r="29" spans="1:42" s="509" customFormat="1" ht="15.75" hidden="1" outlineLevel="1" x14ac:dyDescent="0.25">
      <c r="A29" s="536" t="s">
        <v>1846</v>
      </c>
      <c r="B29" s="537" t="s">
        <v>979</v>
      </c>
      <c r="C29" s="538">
        <f>VLOOKUP(B29,'TB - Fixed Assets and CIP'!$C$5:$K$208,3,FALSE)</f>
        <v>0</v>
      </c>
      <c r="D29" s="538">
        <f t="shared" si="0"/>
        <v>0</v>
      </c>
      <c r="E29" s="538">
        <f>VLOOKUP(B29,'TB - Fixed Assets and CIP'!$C$5:$K$208,9,FALSE)</f>
        <v>0</v>
      </c>
      <c r="F29" s="539">
        <f t="shared" si="1"/>
        <v>0</v>
      </c>
      <c r="G29" s="540" t="str">
        <f t="shared" si="2"/>
        <v xml:space="preserve">-    </v>
      </c>
      <c r="H29" s="537" t="s">
        <v>979</v>
      </c>
      <c r="I29" s="538">
        <f>VLOOKUP(H29,'TB - Fixed Assets and CIP'!$C$5:$K$208,3,FALSE)</f>
        <v>0</v>
      </c>
      <c r="J29" s="538">
        <f t="shared" si="3"/>
        <v>0</v>
      </c>
      <c r="K29" s="538">
        <f>VLOOKUP(H29,'TB - Fixed Assets and CIP'!$C$5:$K$208,9,FALSE)</f>
        <v>0</v>
      </c>
      <c r="L29" s="539">
        <f t="shared" si="4"/>
        <v>0</v>
      </c>
      <c r="M29" s="540" t="str">
        <f t="shared" si="5"/>
        <v xml:space="preserve">-    </v>
      </c>
      <c r="N29" s="537" t="s">
        <v>979</v>
      </c>
      <c r="O29" s="538">
        <f>VLOOKUP(N29,'TB - Fixed Assets and CIP'!$C$5:$K$208,3,FALSE)</f>
        <v>0</v>
      </c>
      <c r="P29" s="538">
        <f t="shared" si="6"/>
        <v>0</v>
      </c>
      <c r="Q29" s="538">
        <f>VLOOKUP(N29,'TB - Fixed Assets and CIP'!$C$5:$K$208,9,FALSE)</f>
        <v>0</v>
      </c>
      <c r="R29" s="539">
        <f t="shared" si="7"/>
        <v>0</v>
      </c>
      <c r="S29" s="540" t="str">
        <f t="shared" si="8"/>
        <v xml:space="preserve">-    </v>
      </c>
      <c r="T29" s="537" t="s">
        <v>979</v>
      </c>
      <c r="U29" s="538">
        <f>VLOOKUP(T29,'TB - Fixed Assets and CIP'!$C$5:$K$208,3,FALSE)</f>
        <v>0</v>
      </c>
      <c r="V29" s="538">
        <f t="shared" si="9"/>
        <v>0</v>
      </c>
      <c r="W29" s="538">
        <f>VLOOKUP(T29,'TB - Fixed Assets and CIP'!$C$5:$K$208,9,FALSE)</f>
        <v>0</v>
      </c>
      <c r="X29" s="539">
        <f t="shared" si="10"/>
        <v>0</v>
      </c>
      <c r="Y29" s="540" t="str">
        <f t="shared" si="11"/>
        <v xml:space="preserve">-    </v>
      </c>
      <c r="Z29" s="537" t="s">
        <v>1754</v>
      </c>
      <c r="AA29" s="538">
        <f>VLOOKUP(Z29,'TB - Fixed Assets and CIP'!$C$5:$K$208,3,FALSE)</f>
        <v>0</v>
      </c>
      <c r="AB29" s="538">
        <f t="shared" si="12"/>
        <v>0</v>
      </c>
      <c r="AC29" s="538">
        <f>VLOOKUP(Z29,'TB - Fixed Assets and CIP'!$C$5:$K$208,9,FALSE)</f>
        <v>0</v>
      </c>
      <c r="AD29" s="539">
        <f t="shared" si="13"/>
        <v>0</v>
      </c>
      <c r="AE29" s="540" t="str">
        <f t="shared" si="14"/>
        <v xml:space="preserve">-    </v>
      </c>
      <c r="AF29" s="537" t="s">
        <v>979</v>
      </c>
      <c r="AG29" s="538">
        <f>VLOOKUP(AF29,'TB - Fixed Assets and CIP'!$C$5:$K$208,3,FALSE)</f>
        <v>0</v>
      </c>
      <c r="AH29" s="538">
        <f t="shared" si="15"/>
        <v>0</v>
      </c>
      <c r="AI29" s="538">
        <f>VLOOKUP(AF29,'TB - Fixed Assets and CIP'!$C$5:$K$208,9,FALSE)</f>
        <v>0</v>
      </c>
      <c r="AJ29" s="539">
        <f t="shared" si="16"/>
        <v>0</v>
      </c>
      <c r="AK29" s="540" t="str">
        <f t="shared" si="17"/>
        <v xml:space="preserve">-    </v>
      </c>
      <c r="AL29" s="538">
        <f t="shared" si="18"/>
        <v>0</v>
      </c>
      <c r="AM29" s="538">
        <f t="shared" si="19"/>
        <v>0</v>
      </c>
      <c r="AN29" s="538">
        <f t="shared" si="20"/>
        <v>0</v>
      </c>
      <c r="AO29" s="539">
        <f t="shared" si="21"/>
        <v>0</v>
      </c>
      <c r="AP29" s="540" t="str">
        <f t="shared" si="22"/>
        <v xml:space="preserve">-    </v>
      </c>
    </row>
    <row r="30" spans="1:42" s="509" customFormat="1" ht="15.75" hidden="1" customHeight="1" collapsed="1" x14ac:dyDescent="0.25">
      <c r="A30" s="13" t="s">
        <v>1767</v>
      </c>
      <c r="B30" s="131" t="s">
        <v>979</v>
      </c>
      <c r="C30" s="14">
        <f>VLOOKUP(B30,'TB - Fixed Assets and CIP'!$C$5:$K$208,3,FALSE)</f>
        <v>0</v>
      </c>
      <c r="D30" s="14">
        <f t="shared" si="0"/>
        <v>0</v>
      </c>
      <c r="E30" s="14">
        <f>VLOOKUP(B30,'TB - Fixed Assets and CIP'!$C$5:$K$208,9,FALSE)</f>
        <v>0</v>
      </c>
      <c r="F30" s="92">
        <f t="shared" si="1"/>
        <v>0</v>
      </c>
      <c r="G30" s="48" t="str">
        <f t="shared" si="2"/>
        <v xml:space="preserve">-    </v>
      </c>
      <c r="H30" s="131" t="s">
        <v>979</v>
      </c>
      <c r="I30" s="14">
        <f>VLOOKUP(H30,'TB - Fixed Assets and CIP'!$C$5:$K$208,3,FALSE)</f>
        <v>0</v>
      </c>
      <c r="J30" s="14">
        <f t="shared" si="3"/>
        <v>0</v>
      </c>
      <c r="K30" s="14">
        <f>VLOOKUP(H30,'TB - Fixed Assets and CIP'!$C$5:$K$208,9,FALSE)</f>
        <v>0</v>
      </c>
      <c r="L30" s="92">
        <f t="shared" si="4"/>
        <v>0</v>
      </c>
      <c r="M30" s="48" t="str">
        <f t="shared" si="5"/>
        <v xml:space="preserve">-    </v>
      </c>
      <c r="N30" s="131" t="s">
        <v>979</v>
      </c>
      <c r="O30" s="14">
        <f>VLOOKUP(N30,'TB - Fixed Assets and CIP'!$C$5:$K$208,3,FALSE)</f>
        <v>0</v>
      </c>
      <c r="P30" s="14">
        <f t="shared" si="6"/>
        <v>0</v>
      </c>
      <c r="Q30" s="14">
        <f>VLOOKUP(N30,'TB - Fixed Assets and CIP'!$C$5:$K$208,9,FALSE)</f>
        <v>0</v>
      </c>
      <c r="R30" s="92">
        <f t="shared" si="7"/>
        <v>0</v>
      </c>
      <c r="S30" s="48" t="str">
        <f t="shared" si="8"/>
        <v xml:space="preserve">-    </v>
      </c>
      <c r="T30" s="131" t="s">
        <v>979</v>
      </c>
      <c r="U30" s="14">
        <f>VLOOKUP(T30,'TB - Fixed Assets and CIP'!$C$5:$K$208,3,FALSE)</f>
        <v>0</v>
      </c>
      <c r="V30" s="14">
        <f t="shared" si="9"/>
        <v>0</v>
      </c>
      <c r="W30" s="14">
        <f>VLOOKUP(T30,'TB - Fixed Assets and CIP'!$C$5:$K$208,9,FALSE)</f>
        <v>0</v>
      </c>
      <c r="X30" s="92">
        <f t="shared" si="10"/>
        <v>0</v>
      </c>
      <c r="Y30" s="48" t="str">
        <f t="shared" si="11"/>
        <v xml:space="preserve">-    </v>
      </c>
      <c r="Z30" s="131" t="s">
        <v>979</v>
      </c>
      <c r="AA30" s="14">
        <f>VLOOKUP(Z30,'TB - Fixed Assets and CIP'!$C$5:$K$208,3,FALSE)</f>
        <v>0</v>
      </c>
      <c r="AB30" s="14">
        <f t="shared" si="12"/>
        <v>0</v>
      </c>
      <c r="AC30" s="14">
        <f>VLOOKUP(Z30,'TB - Fixed Assets and CIP'!$C$5:$K$208,9,FALSE)</f>
        <v>0</v>
      </c>
      <c r="AD30" s="92">
        <f t="shared" si="13"/>
        <v>0</v>
      </c>
      <c r="AE30" s="48" t="str">
        <f t="shared" si="14"/>
        <v xml:space="preserve">-    </v>
      </c>
      <c r="AF30" s="131" t="s">
        <v>1766</v>
      </c>
      <c r="AG30" s="14">
        <f>VLOOKUP(AF30,'TB - Fixed Assets and CIP'!$C$5:$K$208,3,FALSE)</f>
        <v>500000</v>
      </c>
      <c r="AH30" s="14">
        <f t="shared" si="15"/>
        <v>250000</v>
      </c>
      <c r="AI30" s="14">
        <f>VLOOKUP(AF30,'TB - Fixed Assets and CIP'!$C$5:$K$208,9,FALSE)</f>
        <v>467802.19</v>
      </c>
      <c r="AJ30" s="92">
        <f t="shared" si="16"/>
        <v>217802.19</v>
      </c>
      <c r="AK30" s="48">
        <f t="shared" si="17"/>
        <v>0.87120876000000003</v>
      </c>
      <c r="AL30" s="14">
        <f t="shared" si="18"/>
        <v>500000</v>
      </c>
      <c r="AM30" s="14">
        <f t="shared" si="19"/>
        <v>250000</v>
      </c>
      <c r="AN30" s="14">
        <f t="shared" si="20"/>
        <v>467802.19</v>
      </c>
      <c r="AO30" s="92">
        <f t="shared" si="21"/>
        <v>217802.19</v>
      </c>
      <c r="AP30" s="48">
        <f t="shared" si="22"/>
        <v>0.87120876000000003</v>
      </c>
    </row>
    <row r="31" spans="1:42" ht="15.75" x14ac:dyDescent="0.25">
      <c r="A31" s="13" t="s">
        <v>1837</v>
      </c>
      <c r="B31" s="131" t="s">
        <v>1538</v>
      </c>
      <c r="C31" s="14">
        <f>VLOOKUP(B31,'TB - Fixed Assets and CIP'!$C$5:$K$208,3,FALSE)</f>
        <v>5945</v>
      </c>
      <c r="D31" s="14">
        <f t="shared" si="0"/>
        <v>2972.5</v>
      </c>
      <c r="E31" s="14">
        <f>VLOOKUP(B31,'TB - Fixed Assets and CIP'!$C$5:$K$208,9,FALSE)</f>
        <v>0</v>
      </c>
      <c r="F31" s="92">
        <f t="shared" si="1"/>
        <v>-2972.5</v>
      </c>
      <c r="G31" s="48">
        <f t="shared" si="2"/>
        <v>-1</v>
      </c>
      <c r="H31" s="131" t="s">
        <v>1600</v>
      </c>
      <c r="I31" s="14">
        <f>VLOOKUP(H31,'TB - Fixed Assets and CIP'!$C$5:$K$208,3,FALSE)</f>
        <v>1640</v>
      </c>
      <c r="J31" s="14">
        <f t="shared" si="3"/>
        <v>820</v>
      </c>
      <c r="K31" s="14">
        <f>VLOOKUP(H31,'TB - Fixed Assets and CIP'!$C$5:$K$208,9,FALSE)</f>
        <v>0</v>
      </c>
      <c r="L31" s="92">
        <f t="shared" si="4"/>
        <v>-820</v>
      </c>
      <c r="M31" s="48">
        <f t="shared" si="5"/>
        <v>-1</v>
      </c>
      <c r="N31" s="131" t="s">
        <v>1683</v>
      </c>
      <c r="O31" s="14">
        <f>VLOOKUP(N31,'TB - Fixed Assets and CIP'!$C$5:$K$208,3,FALSE)</f>
        <v>10660</v>
      </c>
      <c r="P31" s="14">
        <f t="shared" si="6"/>
        <v>5330</v>
      </c>
      <c r="Q31" s="14">
        <f>VLOOKUP(N31,'TB - Fixed Assets and CIP'!$C$5:$K$208,9,FALSE)</f>
        <v>0</v>
      </c>
      <c r="R31" s="92">
        <f t="shared" si="7"/>
        <v>-5330</v>
      </c>
      <c r="S31" s="48">
        <f t="shared" si="8"/>
        <v>-1</v>
      </c>
      <c r="T31" s="131" t="s">
        <v>1738</v>
      </c>
      <c r="U31" s="14">
        <f>VLOOKUP(T31,'TB - Fixed Assets and CIP'!$C$5:$K$208,3,FALSE)</f>
        <v>2255</v>
      </c>
      <c r="V31" s="14">
        <f t="shared" si="9"/>
        <v>1127.5</v>
      </c>
      <c r="W31" s="14">
        <f>VLOOKUP(T31,'TB - Fixed Assets and CIP'!$C$5:$K$208,9,FALSE)</f>
        <v>0</v>
      </c>
      <c r="X31" s="92">
        <f t="shared" si="10"/>
        <v>-1127.5</v>
      </c>
      <c r="Y31" s="48">
        <f t="shared" si="11"/>
        <v>-1</v>
      </c>
      <c r="Z31" s="131" t="s">
        <v>1747</v>
      </c>
      <c r="AA31" s="14">
        <f>VLOOKUP(Z31,'TB - Fixed Assets and CIP'!$C$5:$K$208,3,FALSE)</f>
        <v>0</v>
      </c>
      <c r="AB31" s="14">
        <f t="shared" si="12"/>
        <v>0</v>
      </c>
      <c r="AC31" s="14">
        <f>VLOOKUP(Z31,'TB - Fixed Assets and CIP'!$C$5:$K$208,9,FALSE)</f>
        <v>0</v>
      </c>
      <c r="AD31" s="92">
        <f t="shared" si="13"/>
        <v>0</v>
      </c>
      <c r="AE31" s="48" t="str">
        <f t="shared" si="14"/>
        <v xml:space="preserve">-    </v>
      </c>
      <c r="AF31" s="131" t="s">
        <v>979</v>
      </c>
      <c r="AG31" s="14">
        <f>VLOOKUP(AF31,'TB - Fixed Assets and CIP'!$C$5:$K$208,3,FALSE)</f>
        <v>0</v>
      </c>
      <c r="AH31" s="14">
        <f t="shared" si="15"/>
        <v>0</v>
      </c>
      <c r="AI31" s="14">
        <f>VLOOKUP(AF31,'TB - Fixed Assets and CIP'!$C$5:$K$208,9,FALSE)</f>
        <v>0</v>
      </c>
      <c r="AJ31" s="92">
        <f t="shared" si="16"/>
        <v>0</v>
      </c>
      <c r="AK31" s="48" t="str">
        <f t="shared" si="17"/>
        <v xml:space="preserve">-    </v>
      </c>
      <c r="AL31" s="14">
        <f t="shared" si="18"/>
        <v>20500</v>
      </c>
      <c r="AM31" s="14">
        <f t="shared" si="19"/>
        <v>10250</v>
      </c>
      <c r="AN31" s="14">
        <f t="shared" si="20"/>
        <v>0</v>
      </c>
      <c r="AO31" s="92">
        <f t="shared" si="21"/>
        <v>-10250</v>
      </c>
      <c r="AP31" s="48">
        <f t="shared" si="22"/>
        <v>-1</v>
      </c>
    </row>
    <row r="32" spans="1:42" ht="15.75" x14ac:dyDescent="0.25">
      <c r="A32" s="13" t="s">
        <v>1843</v>
      </c>
      <c r="B32" s="131" t="s">
        <v>1530</v>
      </c>
      <c r="C32" s="14">
        <f>VLOOKUP(B32,'TB - Fixed Assets and CIP'!$C$5:$K$208,3,FALSE)</f>
        <v>8750</v>
      </c>
      <c r="D32" s="14">
        <f t="shared" si="0"/>
        <v>4375</v>
      </c>
      <c r="E32" s="14">
        <f>VLOOKUP(B32,'TB - Fixed Assets and CIP'!$C$5:$K$208,9,FALSE)</f>
        <v>0</v>
      </c>
      <c r="F32" s="92">
        <f t="shared" si="1"/>
        <v>-4375</v>
      </c>
      <c r="G32" s="48">
        <f t="shared" si="2"/>
        <v>-1</v>
      </c>
      <c r="H32" s="131" t="s">
        <v>1594</v>
      </c>
      <c r="I32" s="14">
        <f>VLOOKUP(H32,'TB - Fixed Assets and CIP'!$C$5:$K$208,3,FALSE)</f>
        <v>5600</v>
      </c>
      <c r="J32" s="14">
        <f t="shared" si="3"/>
        <v>2800</v>
      </c>
      <c r="K32" s="14">
        <f>VLOOKUP(H32,'TB - Fixed Assets and CIP'!$C$5:$K$208,9,FALSE)</f>
        <v>0</v>
      </c>
      <c r="L32" s="92">
        <f t="shared" si="4"/>
        <v>-2800</v>
      </c>
      <c r="M32" s="48">
        <f t="shared" si="5"/>
        <v>-1</v>
      </c>
      <c r="N32" s="131" t="s">
        <v>1678</v>
      </c>
      <c r="O32" s="14">
        <f>VLOOKUP(N32,'TB - Fixed Assets and CIP'!$C$5:$K$208,3,FALSE)</f>
        <v>9100</v>
      </c>
      <c r="P32" s="14">
        <f t="shared" si="6"/>
        <v>4550</v>
      </c>
      <c r="Q32" s="14">
        <f>VLOOKUP(N32,'TB - Fixed Assets and CIP'!$C$5:$K$208,9,FALSE)</f>
        <v>0</v>
      </c>
      <c r="R32" s="92">
        <f t="shared" si="7"/>
        <v>-4550</v>
      </c>
      <c r="S32" s="48">
        <f t="shared" si="8"/>
        <v>-1</v>
      </c>
      <c r="T32" s="131" t="s">
        <v>1734</v>
      </c>
      <c r="U32" s="14">
        <f>VLOOKUP(T32,'TB - Fixed Assets and CIP'!$C$5:$K$208,3,FALSE)</f>
        <v>11550</v>
      </c>
      <c r="V32" s="14">
        <f t="shared" si="9"/>
        <v>5775</v>
      </c>
      <c r="W32" s="14">
        <f>VLOOKUP(T32,'TB - Fixed Assets and CIP'!$C$5:$K$208,9,FALSE)</f>
        <v>0</v>
      </c>
      <c r="X32" s="92">
        <f t="shared" si="10"/>
        <v>-5775</v>
      </c>
      <c r="Y32" s="48">
        <f t="shared" si="11"/>
        <v>-1</v>
      </c>
      <c r="Z32" s="131" t="s">
        <v>979</v>
      </c>
      <c r="AA32" s="14">
        <f>VLOOKUP(Z32,'TB - Fixed Assets and CIP'!$C$5:$K$208,3,FALSE)</f>
        <v>0</v>
      </c>
      <c r="AB32" s="14">
        <f t="shared" si="12"/>
        <v>0</v>
      </c>
      <c r="AC32" s="14">
        <f>VLOOKUP(Z32,'TB - Fixed Assets and CIP'!$C$5:$K$208,9,FALSE)</f>
        <v>0</v>
      </c>
      <c r="AD32" s="92">
        <f t="shared" si="13"/>
        <v>0</v>
      </c>
      <c r="AE32" s="48" t="str">
        <f t="shared" si="14"/>
        <v xml:space="preserve">-    </v>
      </c>
      <c r="AF32" s="131" t="s">
        <v>979</v>
      </c>
      <c r="AG32" s="14">
        <f>VLOOKUP(AF32,'TB - Fixed Assets and CIP'!$C$5:$K$208,3,FALSE)</f>
        <v>0</v>
      </c>
      <c r="AH32" s="14">
        <f t="shared" si="15"/>
        <v>0</v>
      </c>
      <c r="AI32" s="14">
        <f>VLOOKUP(AF32,'TB - Fixed Assets and CIP'!$C$5:$K$208,9,FALSE)</f>
        <v>0</v>
      </c>
      <c r="AJ32" s="92">
        <f t="shared" si="16"/>
        <v>0</v>
      </c>
      <c r="AK32" s="48" t="str">
        <f t="shared" si="17"/>
        <v xml:space="preserve">-    </v>
      </c>
      <c r="AL32" s="14">
        <f t="shared" si="18"/>
        <v>35000</v>
      </c>
      <c r="AM32" s="14">
        <f t="shared" si="19"/>
        <v>17500</v>
      </c>
      <c r="AN32" s="14">
        <f t="shared" si="20"/>
        <v>0</v>
      </c>
      <c r="AO32" s="92">
        <f t="shared" si="21"/>
        <v>-17500</v>
      </c>
      <c r="AP32" s="48">
        <f t="shared" si="22"/>
        <v>-1</v>
      </c>
    </row>
    <row r="33" spans="1:42" ht="15.75" x14ac:dyDescent="0.25">
      <c r="A33" s="13" t="s">
        <v>3450</v>
      </c>
      <c r="B33" s="131" t="s">
        <v>1548</v>
      </c>
      <c r="C33" s="14">
        <f>VLOOKUP(B33,'TB - Fixed Assets and CIP'!$C$5:$K$208,3,FALSE)</f>
        <v>633472</v>
      </c>
      <c r="D33" s="14">
        <f t="shared" si="0"/>
        <v>316736</v>
      </c>
      <c r="E33" s="14">
        <f>VLOOKUP(B33,'TB - Fixed Assets and CIP'!$C$5:$K$208,9,FALSE)</f>
        <v>15551.86</v>
      </c>
      <c r="F33" s="92">
        <f t="shared" si="1"/>
        <v>-301184.14</v>
      </c>
      <c r="G33" s="48">
        <f t="shared" si="2"/>
        <v>-0.95089961355829467</v>
      </c>
      <c r="H33" s="131" t="s">
        <v>1604</v>
      </c>
      <c r="I33" s="14">
        <f>VLOOKUP(H33,'TB - Fixed Assets and CIP'!$C$5:$K$208,3,FALSE)</f>
        <v>180992</v>
      </c>
      <c r="J33" s="14">
        <f t="shared" si="3"/>
        <v>90496</v>
      </c>
      <c r="K33" s="14">
        <f>VLOOKUP(H33,'TB - Fixed Assets and CIP'!$C$5:$K$208,9,FALSE)</f>
        <v>4381.49</v>
      </c>
      <c r="L33" s="92">
        <f t="shared" si="4"/>
        <v>-86114.51</v>
      </c>
      <c r="M33" s="48">
        <f t="shared" si="5"/>
        <v>-0.95158360590523328</v>
      </c>
      <c r="N33" s="131" t="s">
        <v>1689</v>
      </c>
      <c r="O33" s="14">
        <f>VLOOKUP(N33,'TB - Fixed Assets and CIP'!$C$5:$K$208,3,FALSE)</f>
        <v>1131200</v>
      </c>
      <c r="P33" s="14">
        <f t="shared" si="6"/>
        <v>565600</v>
      </c>
      <c r="Q33" s="14">
        <f>VLOOKUP(N33,'TB - Fixed Assets and CIP'!$C$5:$K$208,9,FALSE)</f>
        <v>27756.36</v>
      </c>
      <c r="R33" s="92">
        <f t="shared" si="7"/>
        <v>-537843.64</v>
      </c>
      <c r="S33" s="48">
        <f t="shared" si="8"/>
        <v>-0.95092581329561532</v>
      </c>
      <c r="T33" s="131" t="s">
        <v>1742</v>
      </c>
      <c r="U33" s="14">
        <f>VLOOKUP(T33,'TB - Fixed Assets and CIP'!$C$5:$K$208,3,FALSE)</f>
        <v>316736</v>
      </c>
      <c r="V33" s="14">
        <f t="shared" si="9"/>
        <v>158368</v>
      </c>
      <c r="W33" s="14">
        <f>VLOOKUP(T33,'TB - Fixed Assets and CIP'!$C$5:$K$208,9,FALSE)</f>
        <v>6843.42</v>
      </c>
      <c r="X33" s="92">
        <f t="shared" si="10"/>
        <v>-151524.57999999999</v>
      </c>
      <c r="Y33" s="48">
        <f t="shared" si="11"/>
        <v>-0.95678786118407755</v>
      </c>
      <c r="Z33" s="131" t="s">
        <v>979</v>
      </c>
      <c r="AA33" s="14">
        <f>VLOOKUP(Z33,'TB - Fixed Assets and CIP'!$C$5:$K$208,3,FALSE)</f>
        <v>0</v>
      </c>
      <c r="AB33" s="14">
        <f t="shared" si="12"/>
        <v>0</v>
      </c>
      <c r="AC33" s="14">
        <f>VLOOKUP(Z33,'TB - Fixed Assets and CIP'!$C$5:$K$208,9,FALSE)</f>
        <v>0</v>
      </c>
      <c r="AD33" s="92">
        <f t="shared" si="13"/>
        <v>0</v>
      </c>
      <c r="AE33" s="48" t="str">
        <f t="shared" si="14"/>
        <v xml:space="preserve">-    </v>
      </c>
      <c r="AF33" s="131" t="s">
        <v>979</v>
      </c>
      <c r="AG33" s="14">
        <f>VLOOKUP(AF33,'TB - Fixed Assets and CIP'!$C$5:$K$208,3,FALSE)</f>
        <v>0</v>
      </c>
      <c r="AH33" s="14">
        <f t="shared" si="15"/>
        <v>0</v>
      </c>
      <c r="AI33" s="14">
        <f>VLOOKUP(AF33,'TB - Fixed Assets and CIP'!$C$5:$K$208,9,FALSE)</f>
        <v>0</v>
      </c>
      <c r="AJ33" s="92">
        <f t="shared" si="16"/>
        <v>0</v>
      </c>
      <c r="AK33" s="48" t="str">
        <f t="shared" si="17"/>
        <v xml:space="preserve">-    </v>
      </c>
      <c r="AL33" s="14">
        <f t="shared" si="18"/>
        <v>2262400</v>
      </c>
      <c r="AM33" s="14">
        <f t="shared" si="19"/>
        <v>1131200</v>
      </c>
      <c r="AN33" s="14">
        <f t="shared" si="20"/>
        <v>54533.13</v>
      </c>
      <c r="AO33" s="92">
        <f t="shared" si="21"/>
        <v>-1076666.8700000001</v>
      </c>
      <c r="AP33" s="48">
        <f t="shared" si="22"/>
        <v>-0.95179178748231974</v>
      </c>
    </row>
    <row r="34" spans="1:42" ht="15.75" x14ac:dyDescent="0.25">
      <c r="A34" s="13" t="s">
        <v>1645</v>
      </c>
      <c r="B34" s="131" t="s">
        <v>979</v>
      </c>
      <c r="C34" s="14">
        <f>VLOOKUP(B34,'TB - Fixed Assets and CIP'!$C$5:$K$208,3,FALSE)</f>
        <v>0</v>
      </c>
      <c r="D34" s="14">
        <f t="shared" si="0"/>
        <v>0</v>
      </c>
      <c r="E34" s="14">
        <f>VLOOKUP(B34,'TB - Fixed Assets and CIP'!$C$5:$K$208,9,FALSE)</f>
        <v>0</v>
      </c>
      <c r="F34" s="92">
        <f t="shared" si="1"/>
        <v>0</v>
      </c>
      <c r="G34" s="48" t="str">
        <f t="shared" si="2"/>
        <v xml:space="preserve">-    </v>
      </c>
      <c r="H34" s="131" t="s">
        <v>979</v>
      </c>
      <c r="I34" s="14">
        <f>VLOOKUP(H34,'TB - Fixed Assets and CIP'!$C$5:$K$208,3,FALSE)</f>
        <v>0</v>
      </c>
      <c r="J34" s="14">
        <f t="shared" si="3"/>
        <v>0</v>
      </c>
      <c r="K34" s="14">
        <f>VLOOKUP(H34,'TB - Fixed Assets and CIP'!$C$5:$K$208,9,FALSE)</f>
        <v>0</v>
      </c>
      <c r="L34" s="92">
        <f t="shared" si="4"/>
        <v>0</v>
      </c>
      <c r="M34" s="48" t="str">
        <f t="shared" si="5"/>
        <v xml:space="preserve">-    </v>
      </c>
      <c r="N34" s="131" t="s">
        <v>1644</v>
      </c>
      <c r="O34" s="14">
        <f>VLOOKUP(N34,'TB - Fixed Assets and CIP'!$C$5:$K$208,3,FALSE)</f>
        <v>0</v>
      </c>
      <c r="P34" s="14">
        <f t="shared" si="6"/>
        <v>0</v>
      </c>
      <c r="Q34" s="14">
        <f>VLOOKUP(N34,'TB - Fixed Assets and CIP'!$C$5:$K$208,9,FALSE)</f>
        <v>959975.36</v>
      </c>
      <c r="R34" s="92">
        <f t="shared" si="7"/>
        <v>959975.36</v>
      </c>
      <c r="S34" s="48">
        <v>1</v>
      </c>
      <c r="T34" s="131" t="s">
        <v>979</v>
      </c>
      <c r="U34" s="14">
        <f>VLOOKUP(T34,'TB - Fixed Assets and CIP'!$C$5:$K$208,3,FALSE)</f>
        <v>0</v>
      </c>
      <c r="V34" s="14">
        <f t="shared" si="9"/>
        <v>0</v>
      </c>
      <c r="W34" s="14">
        <f>VLOOKUP(T34,'TB - Fixed Assets and CIP'!$C$5:$K$208,9,FALSE)</f>
        <v>0</v>
      </c>
      <c r="X34" s="92">
        <f t="shared" si="10"/>
        <v>0</v>
      </c>
      <c r="Y34" s="48" t="str">
        <f t="shared" si="11"/>
        <v xml:space="preserve">-    </v>
      </c>
      <c r="Z34" s="131" t="s">
        <v>979</v>
      </c>
      <c r="AA34" s="14">
        <f>VLOOKUP(Z34,'TB - Fixed Assets and CIP'!$C$5:$K$208,3,FALSE)</f>
        <v>0</v>
      </c>
      <c r="AB34" s="14">
        <f t="shared" si="12"/>
        <v>0</v>
      </c>
      <c r="AC34" s="14">
        <f>VLOOKUP(Z34,'TB - Fixed Assets and CIP'!$C$5:$K$208,9,FALSE)</f>
        <v>0</v>
      </c>
      <c r="AD34" s="92">
        <f t="shared" si="13"/>
        <v>0</v>
      </c>
      <c r="AE34" s="48" t="str">
        <f t="shared" si="14"/>
        <v xml:space="preserve">-    </v>
      </c>
      <c r="AF34" s="131" t="s">
        <v>979</v>
      </c>
      <c r="AG34" s="14">
        <f>VLOOKUP(AF34,'TB - Fixed Assets and CIP'!$C$5:$K$208,3,FALSE)</f>
        <v>0</v>
      </c>
      <c r="AH34" s="14">
        <f t="shared" si="15"/>
        <v>0</v>
      </c>
      <c r="AI34" s="14">
        <f>VLOOKUP(AF34,'TB - Fixed Assets and CIP'!$C$5:$K$208,9,FALSE)</f>
        <v>0</v>
      </c>
      <c r="AJ34" s="92">
        <f t="shared" si="16"/>
        <v>0</v>
      </c>
      <c r="AK34" s="48" t="str">
        <f t="shared" si="17"/>
        <v xml:space="preserve">-    </v>
      </c>
      <c r="AL34" s="14">
        <f t="shared" si="18"/>
        <v>0</v>
      </c>
      <c r="AM34" s="14">
        <f t="shared" si="19"/>
        <v>0</v>
      </c>
      <c r="AN34" s="14">
        <f t="shared" si="20"/>
        <v>959975.36</v>
      </c>
      <c r="AO34" s="92">
        <f t="shared" si="21"/>
        <v>959975.36</v>
      </c>
      <c r="AP34" s="48">
        <v>1</v>
      </c>
    </row>
    <row r="35" spans="1:42" s="204" customFormat="1" ht="15.75" x14ac:dyDescent="0.25">
      <c r="A35" s="220"/>
      <c r="B35" s="205"/>
      <c r="C35" s="206"/>
      <c r="D35" s="206"/>
      <c r="E35" s="206"/>
      <c r="F35" s="207"/>
      <c r="G35" s="208"/>
      <c r="H35" s="209"/>
      <c r="I35" s="206"/>
      <c r="J35" s="206"/>
      <c r="K35" s="206"/>
      <c r="L35" s="207"/>
      <c r="M35" s="210"/>
      <c r="N35" s="211"/>
      <c r="O35" s="206"/>
      <c r="P35" s="206"/>
      <c r="Q35" s="206"/>
      <c r="R35" s="207"/>
      <c r="S35" s="210"/>
      <c r="T35" s="211"/>
      <c r="U35" s="206"/>
      <c r="V35" s="206"/>
      <c r="W35" s="206"/>
      <c r="X35" s="207"/>
      <c r="Y35" s="210"/>
      <c r="Z35" s="211"/>
      <c r="AA35" s="206"/>
      <c r="AB35" s="206"/>
      <c r="AC35" s="206"/>
      <c r="AD35" s="207"/>
      <c r="AE35" s="210"/>
      <c r="AF35" s="211"/>
      <c r="AG35" s="206"/>
      <c r="AH35" s="206"/>
      <c r="AI35" s="206"/>
      <c r="AJ35" s="207"/>
      <c r="AK35" s="210"/>
      <c r="AL35" s="114"/>
      <c r="AM35" s="114"/>
      <c r="AN35" s="114"/>
      <c r="AO35" s="212"/>
      <c r="AP35" s="49"/>
    </row>
    <row r="36" spans="1:42" s="204" customFormat="1" ht="15.75" x14ac:dyDescent="0.25">
      <c r="A36" s="221" t="s">
        <v>62</v>
      </c>
      <c r="B36" s="213"/>
      <c r="C36" s="214">
        <f>SUM(C9:C35)</f>
        <v>772677</v>
      </c>
      <c r="D36" s="214">
        <f>SUM(D9:D35)</f>
        <v>386338.5</v>
      </c>
      <c r="E36" s="214">
        <f>SUM(E9:E35)</f>
        <v>19234.84</v>
      </c>
      <c r="F36" s="166">
        <f>SUM(F9:F35)</f>
        <v>-367103.66000000003</v>
      </c>
      <c r="G36" s="215">
        <f t="shared" si="2"/>
        <v>-0.95021246911710855</v>
      </c>
      <c r="H36" s="216"/>
      <c r="I36" s="214">
        <f>SUM(I9:I35)</f>
        <v>1056926</v>
      </c>
      <c r="J36" s="214">
        <f>SUM(J9:J35)</f>
        <v>528463</v>
      </c>
      <c r="K36" s="214">
        <f>SUM(K9:K35)</f>
        <v>9354.31</v>
      </c>
      <c r="L36" s="166">
        <f>SUM(L9:L35)</f>
        <v>-519108.69000000006</v>
      </c>
      <c r="M36" s="215">
        <f>IF(AND(J36&lt;&gt;0,L36&lt;&gt;0,ISNUMBER(J36),ISNUMBER(L36)),L36/J36,"-    ")</f>
        <v>-0.98229902566499461</v>
      </c>
      <c r="N36" s="218"/>
      <c r="O36" s="214">
        <f>SUM(O9:O35)</f>
        <v>1574764</v>
      </c>
      <c r="P36" s="214">
        <f>SUM(P9:P35)</f>
        <v>787382</v>
      </c>
      <c r="Q36" s="214">
        <f>SUM(Q9:Q35)</f>
        <v>998386.94</v>
      </c>
      <c r="R36" s="166">
        <f>SUM(R9:R35)</f>
        <v>211004.93999999994</v>
      </c>
      <c r="S36" s="215">
        <f>IF(AND(P36&lt;&gt;0,R36&lt;&gt;0,ISNUMBER(P36),ISNUMBER(R36)),R36/P36,"-    ")</f>
        <v>0.26798293585578531</v>
      </c>
      <c r="T36" s="218"/>
      <c r="U36" s="214">
        <f>SUM(U9:U35)</f>
        <v>646443</v>
      </c>
      <c r="V36" s="214">
        <f>SUM(V9:V35)</f>
        <v>323221.5</v>
      </c>
      <c r="W36" s="214">
        <f>SUM(W9:W35)</f>
        <v>10830.03</v>
      </c>
      <c r="X36" s="166">
        <f>SUM(X9:X35)</f>
        <v>-312391.46999999997</v>
      </c>
      <c r="Y36" s="215">
        <f>IF(AND(V36&lt;&gt;0,X36&lt;&gt;0,ISNUMBER(V36),ISNUMBER(X36)),X36/V36,"-    ")</f>
        <v>-0.96649347274237629</v>
      </c>
      <c r="Z36" s="218"/>
      <c r="AA36" s="214">
        <f>SUM(AA9:AA35)</f>
        <v>0</v>
      </c>
      <c r="AB36" s="214">
        <f>SUM(AB9:AB35)</f>
        <v>0</v>
      </c>
      <c r="AC36" s="214">
        <f>SUM(AC9:AC35)</f>
        <v>0</v>
      </c>
      <c r="AD36" s="166">
        <f>SUM(AD9:AD35)</f>
        <v>0</v>
      </c>
      <c r="AE36" s="215" t="str">
        <f>IF(AND(AB36&lt;&gt;0,AD36&lt;&gt;0,ISNUMBER(AB36),ISNUMBER(AD36)),AD36/AB36,"-    ")</f>
        <v xml:space="preserve">-    </v>
      </c>
      <c r="AF36" s="218"/>
      <c r="AG36" s="214">
        <f>SUM(AG9:AG35)</f>
        <v>1000000</v>
      </c>
      <c r="AH36" s="214">
        <f>SUM(AH9:AH35)</f>
        <v>500000</v>
      </c>
      <c r="AI36" s="214">
        <f>SUM(AI9:AI35)</f>
        <v>945633.8</v>
      </c>
      <c r="AJ36" s="166">
        <f>SUM(AJ9:AJ35)</f>
        <v>445633.8</v>
      </c>
      <c r="AK36" s="215">
        <f>IF(AND(AH36&lt;&gt;0,AJ36&lt;&gt;0,ISNUMBER(AH36),ISNUMBER(AJ36)),AJ36/AH36,"-    ")</f>
        <v>0.89126759999999994</v>
      </c>
      <c r="AL36" s="116">
        <f>C36+I36+O36+U36+AA36+AG36</f>
        <v>5050810</v>
      </c>
      <c r="AM36" s="116">
        <f>D36+J36+P36+V36+AB36+AH36</f>
        <v>2525405</v>
      </c>
      <c r="AN36" s="116">
        <f>E36+K36+Q36+W36+AC36+AI36</f>
        <v>1983439.92</v>
      </c>
      <c r="AO36" s="88">
        <f>AN36-AM36</f>
        <v>-541965.08000000007</v>
      </c>
      <c r="AP36" s="215">
        <f>IF(AND(AM36&lt;&gt;0,AO36&lt;&gt;0,ISNUMBER(AM36),ISNUMBER(AO36)),AO36/AM36,"-    ")</f>
        <v>-0.21460521381718975</v>
      </c>
    </row>
    <row r="37" spans="1:42" ht="15.75" x14ac:dyDescent="0.25">
      <c r="C37" s="120"/>
      <c r="E37" s="121"/>
      <c r="F37" s="29"/>
      <c r="G37" s="29"/>
      <c r="H37" s="29"/>
      <c r="I37" s="120"/>
      <c r="K37" s="121"/>
      <c r="L37" s="29"/>
      <c r="M37" s="29"/>
      <c r="N37" s="29"/>
      <c r="O37" s="120"/>
      <c r="Q37" s="121"/>
      <c r="R37" s="29"/>
      <c r="S37" s="29"/>
      <c r="T37" s="29"/>
      <c r="U37" s="120"/>
      <c r="W37" s="121"/>
      <c r="X37" s="29"/>
      <c r="Y37" s="29"/>
      <c r="Z37" s="29"/>
      <c r="AA37" s="120"/>
      <c r="AC37" s="121"/>
      <c r="AD37" s="29"/>
      <c r="AE37" s="29"/>
      <c r="AF37" s="29"/>
      <c r="AG37" s="121"/>
      <c r="AI37" s="121"/>
      <c r="AJ37" s="29"/>
      <c r="AL37" s="121">
        <f>AL36-'TB - Fixed Assets and CIP'!E221+'General CIP'!AL14</f>
        <v>0</v>
      </c>
      <c r="AN37" s="508">
        <f>AN36-'TB - Fixed Assets and CIP'!K221+'General CIP'!AN14</f>
        <v>2.0736479200422764E-10</v>
      </c>
    </row>
  </sheetData>
  <sheetProtection password="CFD3" sheet="1" objects="1" scenarios="1" selectLockedCells="1" selectUnlockedCells="1"/>
  <mergeCells count="7">
    <mergeCell ref="AL5:AP5"/>
    <mergeCell ref="C5:G5"/>
    <mergeCell ref="I5:M5"/>
    <mergeCell ref="O5:S5"/>
    <mergeCell ref="U5:Y5"/>
    <mergeCell ref="AA5:AE5"/>
    <mergeCell ref="AG5:AK5"/>
  </mergeCells>
  <pageMargins left="0.7" right="0.7" top="0.75" bottom="0.75" header="0.3" footer="0.3"/>
  <pageSetup scale="70" firstPageNumber="8" fitToWidth="2" orientation="portrait" useFirstPageNumber="1" r:id="rId1"/>
  <headerFooter>
    <oddFooter>&amp;L&amp;F - &amp;A&amp;CMarina Coast Water District&amp;R&amp;P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5"/>
  <sheetViews>
    <sheetView zoomScaleNormal="100" workbookViewId="0">
      <selection activeCell="S40" sqref="S40"/>
    </sheetView>
  </sheetViews>
  <sheetFormatPr defaultColWidth="9.140625" defaultRowHeight="12.75" x14ac:dyDescent="0.2"/>
  <cols>
    <col min="1" max="1" width="10.7109375" style="311" customWidth="1"/>
    <col min="2" max="2" width="2.7109375" style="311" customWidth="1"/>
    <col min="3" max="3" width="10.7109375" style="311" customWidth="1"/>
    <col min="4" max="4" width="2.7109375" style="311" customWidth="1"/>
    <col min="5" max="5" width="8.28515625" style="311" customWidth="1"/>
    <col min="6" max="6" width="2.7109375" style="311" customWidth="1"/>
    <col min="7" max="7" width="12.5703125" style="311" bestFit="1" customWidth="1"/>
    <col min="8" max="8" width="2.7109375" style="311" customWidth="1"/>
    <col min="9" max="9" width="11.85546875" style="311" customWidth="1"/>
    <col min="10" max="10" width="2.7109375" style="311" customWidth="1"/>
    <col min="11" max="11" width="31.85546875" style="311" bestFit="1" customWidth="1"/>
    <col min="12" max="12" width="2.7109375" style="311" customWidth="1"/>
    <col min="13" max="13" width="15.5703125" style="311" bestFit="1" customWidth="1"/>
    <col min="14" max="14" width="2.7109375" style="311" customWidth="1"/>
    <col min="15" max="15" width="16.28515625" style="311" bestFit="1" customWidth="1"/>
    <col min="16" max="16" width="5.140625" style="311" customWidth="1"/>
    <col min="17" max="17" width="15.5703125" style="310" bestFit="1" customWidth="1"/>
    <col min="18" max="18" width="10" style="310" customWidth="1"/>
    <col min="19" max="19" width="11.42578125" style="310" customWidth="1"/>
    <col min="20" max="20" width="11.140625" style="311" bestFit="1" customWidth="1"/>
    <col min="21" max="21" width="12" style="311" customWidth="1"/>
    <col min="22" max="22" width="8.85546875" style="311" customWidth="1"/>
    <col min="23" max="23" width="9.140625" style="311" customWidth="1"/>
    <col min="24" max="16384" width="9.140625" style="311"/>
  </cols>
  <sheetData>
    <row r="1" spans="1:20" x14ac:dyDescent="0.2">
      <c r="A1" s="572" t="s">
        <v>31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</row>
    <row r="2" spans="1:20" x14ac:dyDescent="0.2">
      <c r="A2" s="572" t="s">
        <v>1771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</row>
    <row r="3" spans="1:20" ht="13.5" x14ac:dyDescent="0.25">
      <c r="A3" s="573" t="str">
        <f>'All Departments'!A3</f>
        <v>JULY - DECEMBER 2014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</row>
    <row r="4" spans="1:20" x14ac:dyDescent="0.2">
      <c r="A4" s="572" t="s">
        <v>1772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20" x14ac:dyDescent="0.2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20" s="306" customFormat="1" x14ac:dyDescent="0.2">
      <c r="A6" s="307" t="s">
        <v>1773</v>
      </c>
      <c r="B6" s="307"/>
      <c r="C6" s="307" t="s">
        <v>1774</v>
      </c>
      <c r="D6" s="307"/>
      <c r="E6" s="307" t="s">
        <v>1775</v>
      </c>
      <c r="F6" s="307"/>
      <c r="G6" s="307" t="s">
        <v>1776</v>
      </c>
      <c r="H6" s="307"/>
      <c r="I6" s="308">
        <v>41820</v>
      </c>
      <c r="J6" s="307"/>
      <c r="K6" s="571" t="s">
        <v>1777</v>
      </c>
      <c r="L6" s="571"/>
      <c r="M6" s="571"/>
      <c r="N6" s="307"/>
      <c r="O6" s="308">
        <v>42004</v>
      </c>
      <c r="Q6" s="305"/>
      <c r="R6" s="305"/>
      <c r="S6" s="305"/>
    </row>
    <row r="7" spans="1:20" s="302" customFormat="1" x14ac:dyDescent="0.2">
      <c r="A7" s="304" t="s">
        <v>1778</v>
      </c>
      <c r="B7" s="304"/>
      <c r="C7" s="304" t="s">
        <v>1778</v>
      </c>
      <c r="D7" s="304"/>
      <c r="E7" s="304" t="s">
        <v>1779</v>
      </c>
      <c r="F7" s="304"/>
      <c r="G7" s="304" t="s">
        <v>1780</v>
      </c>
      <c r="H7" s="304"/>
      <c r="I7" s="304" t="s">
        <v>1781</v>
      </c>
      <c r="J7" s="304"/>
      <c r="K7" s="304" t="s">
        <v>1782</v>
      </c>
      <c r="L7" s="304"/>
      <c r="M7" s="304" t="s">
        <v>1783</v>
      </c>
      <c r="N7" s="303"/>
      <c r="O7" s="304"/>
      <c r="Q7" s="301"/>
      <c r="R7" s="301"/>
      <c r="S7" s="301"/>
    </row>
    <row r="8" spans="1:20" s="300" customFormat="1" ht="6.95" customHeight="1" x14ac:dyDescent="0.2">
      <c r="Q8" s="299"/>
      <c r="R8" s="299"/>
      <c r="S8" s="299"/>
    </row>
    <row r="9" spans="1:20" s="300" customFormat="1" x14ac:dyDescent="0.2">
      <c r="A9" s="298" t="s">
        <v>1784</v>
      </c>
      <c r="B9" s="297"/>
      <c r="C9" s="297"/>
      <c r="D9" s="297"/>
      <c r="E9" s="297"/>
      <c r="F9" s="297"/>
      <c r="G9" s="296">
        <v>2.5000000000000001E-3</v>
      </c>
      <c r="H9" s="297"/>
      <c r="I9" s="523">
        <v>7429000.1399999997</v>
      </c>
      <c r="J9" s="297"/>
      <c r="K9" s="297" t="s">
        <v>1928</v>
      </c>
      <c r="L9" s="297"/>
      <c r="M9" s="316">
        <v>4097.42</v>
      </c>
      <c r="N9" s="297"/>
      <c r="O9" s="295">
        <f>+I9+M9</f>
        <v>7433097.5599999996</v>
      </c>
      <c r="Q9" s="521">
        <v>7437626.6200000001</v>
      </c>
      <c r="R9" s="459" t="s">
        <v>1785</v>
      </c>
      <c r="S9" s="460"/>
      <c r="T9" s="460"/>
    </row>
    <row r="10" spans="1:20" s="300" customFormat="1" x14ac:dyDescent="0.2">
      <c r="A10" s="294"/>
      <c r="B10" s="293"/>
      <c r="C10" s="293"/>
      <c r="D10" s="293"/>
      <c r="E10" s="293"/>
      <c r="F10" s="293"/>
      <c r="G10" s="292"/>
      <c r="H10" s="293"/>
      <c r="I10" s="291"/>
      <c r="J10" s="293"/>
      <c r="K10" s="293" t="s">
        <v>1929</v>
      </c>
      <c r="L10" s="293"/>
      <c r="M10" s="313">
        <v>4529.0600000000004</v>
      </c>
      <c r="N10" s="293"/>
      <c r="O10" s="290">
        <f>O9+M10</f>
        <v>7437626.6199999992</v>
      </c>
      <c r="Q10" s="525"/>
      <c r="R10" s="459"/>
      <c r="S10" s="460"/>
      <c r="T10" s="460"/>
    </row>
    <row r="11" spans="1:20" s="300" customFormat="1" x14ac:dyDescent="0.2">
      <c r="A11" s="294"/>
      <c r="B11" s="293"/>
      <c r="C11" s="293"/>
      <c r="D11" s="293"/>
      <c r="E11" s="293"/>
      <c r="F11" s="293"/>
      <c r="G11" s="292"/>
      <c r="H11" s="293"/>
      <c r="I11" s="291"/>
      <c r="J11" s="293"/>
      <c r="K11" s="293" t="s">
        <v>1786</v>
      </c>
      <c r="L11" s="293"/>
      <c r="M11" s="313"/>
      <c r="N11" s="293"/>
      <c r="O11" s="290">
        <f>O10-M11</f>
        <v>7437626.6199999992</v>
      </c>
      <c r="Q11" s="514">
        <f>Q9-O11</f>
        <v>0</v>
      </c>
      <c r="R11" s="459" t="s">
        <v>1787</v>
      </c>
      <c r="S11" s="460"/>
      <c r="T11" s="460"/>
    </row>
    <row r="12" spans="1:20" s="300" customFormat="1" ht="6.95" customHeight="1" x14ac:dyDescent="0.2">
      <c r="A12" s="289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314"/>
      <c r="N12" s="288"/>
      <c r="O12" s="287"/>
      <c r="Q12" s="333"/>
      <c r="R12" s="299"/>
      <c r="S12" s="299"/>
    </row>
    <row r="13" spans="1:20" s="300" customFormat="1" ht="6.95" customHeight="1" x14ac:dyDescent="0.2">
      <c r="O13" s="286"/>
      <c r="Q13" s="333"/>
      <c r="R13" s="299"/>
      <c r="S13" s="299"/>
    </row>
    <row r="14" spans="1:20" s="300" customFormat="1" x14ac:dyDescent="0.2">
      <c r="A14" s="298" t="s">
        <v>1788</v>
      </c>
      <c r="B14" s="297"/>
      <c r="C14" s="297"/>
      <c r="D14" s="297"/>
      <c r="E14" s="297" t="s">
        <v>1789</v>
      </c>
      <c r="F14" s="297"/>
      <c r="G14" s="296">
        <v>2.5999999999999999E-3</v>
      </c>
      <c r="H14" s="297"/>
      <c r="I14" s="316">
        <v>817444.81</v>
      </c>
      <c r="J14" s="297"/>
      <c r="K14" s="297" t="s">
        <v>1930</v>
      </c>
      <c r="L14" s="297"/>
      <c r="M14" s="316">
        <f>518.79+537.17</f>
        <v>1055.96</v>
      </c>
      <c r="N14" s="297"/>
      <c r="O14" s="295">
        <f>+I14+M14</f>
        <v>818500.77</v>
      </c>
      <c r="Q14" s="333"/>
      <c r="R14" s="299"/>
      <c r="S14" s="299"/>
    </row>
    <row r="15" spans="1:20" s="300" customFormat="1" x14ac:dyDescent="0.2">
      <c r="A15" s="285"/>
      <c r="B15" s="293"/>
      <c r="C15" s="293"/>
      <c r="D15" s="293"/>
      <c r="E15" s="293"/>
      <c r="F15" s="293"/>
      <c r="G15" s="292"/>
      <c r="H15" s="293"/>
      <c r="I15" s="313"/>
      <c r="J15" s="293"/>
      <c r="K15" s="293" t="s">
        <v>1790</v>
      </c>
      <c r="L15" s="293"/>
      <c r="M15" s="313">
        <v>0</v>
      </c>
      <c r="N15" s="293"/>
      <c r="O15" s="290">
        <f>M15+O14</f>
        <v>818500.77</v>
      </c>
      <c r="Q15" s="521">
        <v>818500.77</v>
      </c>
      <c r="R15" s="459" t="s">
        <v>1785</v>
      </c>
      <c r="S15" s="460"/>
      <c r="T15" s="460"/>
    </row>
    <row r="16" spans="1:20" s="300" customFormat="1" x14ac:dyDescent="0.2">
      <c r="A16" s="285"/>
      <c r="B16" s="293"/>
      <c r="C16" s="293"/>
      <c r="D16" s="293"/>
      <c r="E16" s="293"/>
      <c r="F16" s="293"/>
      <c r="G16" s="292"/>
      <c r="H16" s="293"/>
      <c r="I16" s="313"/>
      <c r="J16" s="293"/>
      <c r="K16" s="293" t="s">
        <v>1791</v>
      </c>
      <c r="L16" s="293"/>
      <c r="M16" s="313">
        <v>0</v>
      </c>
      <c r="N16" s="293"/>
      <c r="O16" s="290">
        <f>M16+O15</f>
        <v>818500.77</v>
      </c>
      <c r="Q16" s="514">
        <f>Q15-O16</f>
        <v>0</v>
      </c>
      <c r="R16" s="459" t="s">
        <v>1787</v>
      </c>
      <c r="S16" s="460"/>
      <c r="T16" s="460"/>
    </row>
    <row r="17" spans="1:21" s="300" customFormat="1" ht="6.95" customHeight="1" x14ac:dyDescent="0.2">
      <c r="A17" s="284"/>
      <c r="B17" s="288"/>
      <c r="C17" s="288"/>
      <c r="D17" s="288"/>
      <c r="E17" s="288"/>
      <c r="F17" s="288"/>
      <c r="G17" s="283"/>
      <c r="H17" s="288"/>
      <c r="I17" s="314"/>
      <c r="J17" s="288"/>
      <c r="K17" s="288"/>
      <c r="L17" s="288"/>
      <c r="M17" s="314"/>
      <c r="N17" s="288"/>
      <c r="O17" s="287"/>
      <c r="Q17" s="333"/>
      <c r="R17" s="299"/>
      <c r="S17" s="299"/>
    </row>
    <row r="18" spans="1:21" s="300" customFormat="1" ht="6.95" customHeight="1" x14ac:dyDescent="0.2">
      <c r="A18" s="282"/>
      <c r="B18" s="293"/>
      <c r="C18" s="293"/>
      <c r="D18" s="293"/>
      <c r="E18" s="293"/>
      <c r="F18" s="293"/>
      <c r="G18" s="292"/>
      <c r="H18" s="293"/>
      <c r="I18" s="313"/>
      <c r="J18" s="293"/>
      <c r="K18" s="293"/>
      <c r="L18" s="293"/>
      <c r="M18" s="313"/>
      <c r="N18" s="293"/>
      <c r="O18" s="291"/>
      <c r="Q18" s="333"/>
      <c r="R18" s="299"/>
      <c r="S18" s="299"/>
    </row>
    <row r="19" spans="1:21" s="300" customFormat="1" x14ac:dyDescent="0.2">
      <c r="A19" s="298" t="s">
        <v>1792</v>
      </c>
      <c r="B19" s="297"/>
      <c r="C19" s="297"/>
      <c r="D19" s="297"/>
      <c r="E19" s="297" t="s">
        <v>1789</v>
      </c>
      <c r="F19" s="297"/>
      <c r="G19" s="296">
        <v>5.0000000000000001E-4</v>
      </c>
      <c r="H19" s="297"/>
      <c r="I19" s="316">
        <v>100242.81</v>
      </c>
      <c r="J19" s="297"/>
      <c r="K19" s="297" t="str">
        <f>K14</f>
        <v>INTEREST 07/01/14 - 12/31/14</v>
      </c>
      <c r="L19" s="297"/>
      <c r="M19" s="316">
        <f>12.63+12.64</f>
        <v>25.270000000000003</v>
      </c>
      <c r="N19" s="297"/>
      <c r="O19" s="295">
        <f>I19+M19</f>
        <v>100268.08</v>
      </c>
      <c r="Q19" s="521">
        <v>100268.08</v>
      </c>
      <c r="R19" s="459" t="s">
        <v>1785</v>
      </c>
      <c r="S19" s="460"/>
      <c r="T19" s="460"/>
    </row>
    <row r="20" spans="1:21" s="300" customFormat="1" x14ac:dyDescent="0.2">
      <c r="A20" s="294"/>
      <c r="B20" s="293"/>
      <c r="C20" s="293"/>
      <c r="D20" s="293"/>
      <c r="E20" s="293"/>
      <c r="F20" s="293"/>
      <c r="G20" s="292"/>
      <c r="H20" s="293"/>
      <c r="I20" s="313"/>
      <c r="J20" s="293"/>
      <c r="K20" s="293"/>
      <c r="L20" s="293"/>
      <c r="M20" s="313"/>
      <c r="N20" s="293"/>
      <c r="O20" s="290"/>
      <c r="Q20" s="514">
        <f>Q19-O19</f>
        <v>0</v>
      </c>
      <c r="R20" s="459" t="s">
        <v>1787</v>
      </c>
      <c r="S20" s="460"/>
      <c r="T20" s="460"/>
    </row>
    <row r="21" spans="1:21" s="300" customFormat="1" ht="6.95" customHeight="1" x14ac:dyDescent="0.2">
      <c r="A21" s="284"/>
      <c r="B21" s="288"/>
      <c r="C21" s="288"/>
      <c r="D21" s="288"/>
      <c r="E21" s="288"/>
      <c r="F21" s="288"/>
      <c r="G21" s="283"/>
      <c r="H21" s="288"/>
      <c r="I21" s="314"/>
      <c r="J21" s="288"/>
      <c r="K21" s="288"/>
      <c r="L21" s="288"/>
      <c r="M21" s="314"/>
      <c r="N21" s="288"/>
      <c r="O21" s="287"/>
      <c r="Q21" s="333"/>
      <c r="R21" s="299"/>
      <c r="S21" s="299"/>
    </row>
    <row r="22" spans="1:21" s="300" customFormat="1" ht="6.95" customHeight="1" x14ac:dyDescent="0.2">
      <c r="M22" s="315"/>
      <c r="O22" s="286"/>
      <c r="Q22" s="333"/>
      <c r="R22" s="299"/>
      <c r="S22" s="299"/>
    </row>
    <row r="23" spans="1:21" s="300" customFormat="1" x14ac:dyDescent="0.2">
      <c r="A23" s="298" t="s">
        <v>1793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5"/>
      <c r="Q23" s="333"/>
      <c r="R23" s="299"/>
      <c r="S23" s="299"/>
    </row>
    <row r="24" spans="1:21" s="300" customFormat="1" x14ac:dyDescent="0.2">
      <c r="A24" s="281">
        <v>40410</v>
      </c>
      <c r="B24" s="293"/>
      <c r="C24" s="280">
        <v>42056</v>
      </c>
      <c r="D24" s="293"/>
      <c r="E24" s="293" t="s">
        <v>1794</v>
      </c>
      <c r="F24" s="293"/>
      <c r="G24" s="292">
        <v>1.5E-3</v>
      </c>
      <c r="H24" s="293"/>
      <c r="I24" s="313">
        <v>230587.37</v>
      </c>
      <c r="J24" s="293"/>
      <c r="K24" s="293" t="str">
        <f>K14</f>
        <v>INTEREST 07/01/14 - 12/31/14</v>
      </c>
      <c r="L24" s="293"/>
      <c r="M24" s="313">
        <f>88.4+87.48</f>
        <v>175.88</v>
      </c>
      <c r="N24" s="293"/>
      <c r="O24" s="290">
        <f>+I24+M24</f>
        <v>230763.25</v>
      </c>
      <c r="Q24" s="521">
        <v>230763.25</v>
      </c>
      <c r="R24" s="459" t="s">
        <v>1785</v>
      </c>
      <c r="S24" s="460"/>
      <c r="T24" s="460"/>
    </row>
    <row r="25" spans="1:21" s="300" customFormat="1" x14ac:dyDescent="0.2">
      <c r="A25" s="279"/>
      <c r="B25" s="293"/>
      <c r="C25" s="293"/>
      <c r="D25" s="293"/>
      <c r="E25" s="293"/>
      <c r="F25" s="293"/>
      <c r="G25" s="293"/>
      <c r="H25" s="293"/>
      <c r="I25" s="524"/>
      <c r="J25" s="293"/>
      <c r="K25" s="293"/>
      <c r="L25" s="293"/>
      <c r="M25" s="313"/>
      <c r="N25" s="293"/>
      <c r="O25" s="290"/>
      <c r="Q25" s="513">
        <f>Q24-O24</f>
        <v>0</v>
      </c>
      <c r="R25" s="512" t="s">
        <v>1787</v>
      </c>
      <c r="S25" s="511"/>
      <c r="T25" s="460"/>
    </row>
    <row r="26" spans="1:21" s="300" customFormat="1" x14ac:dyDescent="0.2">
      <c r="A26" s="279"/>
      <c r="B26" s="293"/>
      <c r="C26" s="293"/>
      <c r="D26" s="293"/>
      <c r="E26" s="293"/>
      <c r="F26" s="293"/>
      <c r="G26" s="293"/>
      <c r="H26" s="293"/>
      <c r="I26" s="524"/>
      <c r="J26" s="293"/>
      <c r="K26" s="293"/>
      <c r="L26" s="293"/>
      <c r="M26" s="313"/>
      <c r="N26" s="293"/>
      <c r="O26" s="317"/>
      <c r="Q26" s="334"/>
      <c r="R26" s="278"/>
      <c r="S26" s="277"/>
    </row>
    <row r="27" spans="1:21" s="300" customFormat="1" x14ac:dyDescent="0.2">
      <c r="A27" s="281">
        <v>40513</v>
      </c>
      <c r="B27" s="293"/>
      <c r="C27" s="280">
        <v>42064</v>
      </c>
      <c r="D27" s="293"/>
      <c r="E27" s="293" t="s">
        <v>1795</v>
      </c>
      <c r="F27" s="293"/>
      <c r="G27" s="292">
        <v>4.0000000000000001E-3</v>
      </c>
      <c r="H27" s="293"/>
      <c r="I27" s="313">
        <v>3325963.9899999998</v>
      </c>
      <c r="J27" s="293"/>
      <c r="K27" s="293" t="str">
        <f>K14</f>
        <v>INTEREST 07/01/14 - 12/31/14</v>
      </c>
      <c r="L27" s="293"/>
      <c r="M27" s="313">
        <f>3401.03+3367.49</f>
        <v>6768.52</v>
      </c>
      <c r="N27" s="293"/>
      <c r="O27" s="317">
        <f>I27+M27</f>
        <v>3332732.51</v>
      </c>
      <c r="Q27" s="521">
        <v>3332732.51</v>
      </c>
      <c r="R27" s="459" t="s">
        <v>1785</v>
      </c>
      <c r="S27" s="460"/>
      <c r="T27" s="460"/>
      <c r="U27" s="276"/>
    </row>
    <row r="28" spans="1:21" s="300" customFormat="1" x14ac:dyDescent="0.2">
      <c r="A28" s="275"/>
      <c r="B28" s="293"/>
      <c r="C28" s="280"/>
      <c r="D28" s="293"/>
      <c r="E28" s="293"/>
      <c r="F28" s="293"/>
      <c r="G28" s="292"/>
      <c r="H28" s="293"/>
      <c r="I28" s="313"/>
      <c r="J28" s="293"/>
      <c r="K28" s="293"/>
      <c r="L28" s="293"/>
      <c r="M28" s="313"/>
      <c r="N28" s="293"/>
      <c r="O28" s="290"/>
      <c r="Q28" s="514">
        <f>Q27-O27</f>
        <v>0</v>
      </c>
      <c r="R28" s="459" t="s">
        <v>1787</v>
      </c>
      <c r="S28" s="460"/>
      <c r="T28" s="460"/>
    </row>
    <row r="29" spans="1:21" s="300" customFormat="1" ht="6.95" customHeight="1" x14ac:dyDescent="0.2">
      <c r="A29" s="289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314"/>
      <c r="N29" s="288"/>
      <c r="O29" s="287"/>
      <c r="Q29" s="333"/>
      <c r="R29" s="299"/>
      <c r="S29" s="299"/>
    </row>
    <row r="30" spans="1:21" s="300" customFormat="1" ht="6.95" customHeight="1" x14ac:dyDescent="0.2">
      <c r="O30" s="286"/>
      <c r="Q30" s="322"/>
      <c r="R30" s="299"/>
      <c r="S30" s="299"/>
    </row>
    <row r="31" spans="1:21" s="300" customFormat="1" x14ac:dyDescent="0.2">
      <c r="A31" s="298" t="s">
        <v>1796</v>
      </c>
      <c r="B31" s="297"/>
      <c r="C31" s="297"/>
      <c r="D31" s="297"/>
      <c r="E31" s="297" t="s">
        <v>1797</v>
      </c>
      <c r="F31" s="297"/>
      <c r="G31" s="296"/>
      <c r="H31" s="297"/>
      <c r="I31" s="316">
        <v>2432712.3599999994</v>
      </c>
      <c r="J31" s="297"/>
      <c r="K31" s="297" t="s">
        <v>1798</v>
      </c>
      <c r="L31" s="297"/>
      <c r="M31" s="316">
        <f>4096608.92+3271198.65</f>
        <v>7367807.5700000003</v>
      </c>
      <c r="N31" s="297"/>
      <c r="O31" s="295">
        <f>+I31+M31</f>
        <v>9800519.9299999997</v>
      </c>
      <c r="Q31" s="521">
        <v>3927911.8</v>
      </c>
      <c r="R31" s="459" t="s">
        <v>1799</v>
      </c>
      <c r="S31" s="460"/>
      <c r="T31" s="460"/>
    </row>
    <row r="32" spans="1:21" s="300" customFormat="1" x14ac:dyDescent="0.2">
      <c r="A32" s="279"/>
      <c r="B32" s="293"/>
      <c r="C32" s="293"/>
      <c r="D32" s="293"/>
      <c r="E32" s="293"/>
      <c r="F32" s="293"/>
      <c r="G32" s="292"/>
      <c r="H32" s="293"/>
      <c r="I32" s="313"/>
      <c r="J32" s="293"/>
      <c r="K32" s="293" t="s">
        <v>1800</v>
      </c>
      <c r="L32" s="293"/>
      <c r="M32" s="313">
        <f>-2371481.42-3501126.71</f>
        <v>-5872608.1299999999</v>
      </c>
      <c r="N32" s="293"/>
      <c r="O32" s="290">
        <f>+O31+M32</f>
        <v>3927911.8</v>
      </c>
      <c r="Q32" s="514">
        <f>Q31-O35</f>
        <v>0</v>
      </c>
      <c r="R32" s="459" t="s">
        <v>1787</v>
      </c>
      <c r="S32" s="460"/>
      <c r="T32" s="460"/>
    </row>
    <row r="33" spans="1:23" s="300" customFormat="1" x14ac:dyDescent="0.2">
      <c r="A33" s="279"/>
      <c r="B33" s="293"/>
      <c r="C33" s="293"/>
      <c r="D33" s="293"/>
      <c r="E33" s="293"/>
      <c r="F33" s="293"/>
      <c r="G33" s="292"/>
      <c r="H33" s="293"/>
      <c r="I33" s="313"/>
      <c r="J33" s="293"/>
      <c r="K33" s="293" t="s">
        <v>1801</v>
      </c>
      <c r="L33" s="293"/>
      <c r="M33" s="313">
        <f>-M11</f>
        <v>0</v>
      </c>
      <c r="N33" s="293"/>
      <c r="O33" s="290">
        <f>+O32+M33</f>
        <v>3927911.8</v>
      </c>
      <c r="Q33" s="332"/>
      <c r="R33" s="299"/>
      <c r="S33" s="299"/>
    </row>
    <row r="34" spans="1:23" s="300" customFormat="1" x14ac:dyDescent="0.2">
      <c r="A34" s="279"/>
      <c r="B34" s="293"/>
      <c r="C34" s="293"/>
      <c r="D34" s="293"/>
      <c r="E34" s="293"/>
      <c r="F34" s="293"/>
      <c r="G34" s="292"/>
      <c r="H34" s="293"/>
      <c r="I34" s="313"/>
      <c r="J34" s="293"/>
      <c r="K34" s="293" t="s">
        <v>1802</v>
      </c>
      <c r="M34" s="315">
        <f>-M15</f>
        <v>0</v>
      </c>
      <c r="N34" s="293"/>
      <c r="O34" s="290">
        <f>+O33+M34</f>
        <v>3927911.8</v>
      </c>
      <c r="Q34" s="286">
        <f>O11+O16+O35</f>
        <v>12184039.189999998</v>
      </c>
      <c r="R34" s="300" t="s">
        <v>1803</v>
      </c>
    </row>
    <row r="35" spans="1:23" s="300" customFormat="1" x14ac:dyDescent="0.2">
      <c r="A35" s="279"/>
      <c r="B35" s="293"/>
      <c r="C35" s="293"/>
      <c r="D35" s="293"/>
      <c r="E35" s="293"/>
      <c r="F35" s="293"/>
      <c r="G35" s="292"/>
      <c r="H35" s="293"/>
      <c r="I35" s="313"/>
      <c r="J35" s="293"/>
      <c r="K35" s="293" t="s">
        <v>1804</v>
      </c>
      <c r="L35" s="293"/>
      <c r="M35" s="315">
        <f>-M16</f>
        <v>0</v>
      </c>
      <c r="N35" s="293"/>
      <c r="O35" s="290">
        <f>+O34+M35</f>
        <v>3927911.8</v>
      </c>
      <c r="Q35" s="286"/>
    </row>
    <row r="36" spans="1:23" s="300" customFormat="1" ht="6.95" customHeight="1" x14ac:dyDescent="0.2">
      <c r="A36" s="289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314"/>
      <c r="N36" s="288"/>
      <c r="O36" s="287"/>
      <c r="Q36" s="322"/>
      <c r="R36" s="299"/>
      <c r="S36" s="299"/>
    </row>
    <row r="37" spans="1:23" s="300" customFormat="1" ht="6.95" customHeight="1" x14ac:dyDescent="0.2">
      <c r="M37" s="315"/>
      <c r="O37" s="286"/>
      <c r="Q37" s="299"/>
      <c r="R37" s="299"/>
      <c r="S37" s="299"/>
    </row>
    <row r="38" spans="1:23" s="300" customFormat="1" x14ac:dyDescent="0.2">
      <c r="G38" s="570" t="s">
        <v>1834</v>
      </c>
      <c r="H38" s="570"/>
      <c r="I38" s="570"/>
      <c r="M38" s="570" t="str">
        <f>G38</f>
        <v>As of December 31,</v>
      </c>
      <c r="N38" s="570"/>
      <c r="O38" s="570"/>
      <c r="Q38" s="277"/>
      <c r="R38" s="277"/>
      <c r="S38" s="273"/>
      <c r="T38" s="277"/>
      <c r="U38" s="293"/>
    </row>
    <row r="39" spans="1:23" s="300" customFormat="1" x14ac:dyDescent="0.2">
      <c r="B39" s="302" t="s">
        <v>1806</v>
      </c>
      <c r="G39" s="348">
        <v>2013</v>
      </c>
      <c r="H39" s="270"/>
      <c r="I39" s="348">
        <v>2014</v>
      </c>
      <c r="K39" s="302" t="s">
        <v>1807</v>
      </c>
      <c r="L39" s="302"/>
      <c r="M39" s="348">
        <f>G39</f>
        <v>2013</v>
      </c>
      <c r="N39" s="270"/>
      <c r="O39" s="348">
        <f>I39</f>
        <v>2014</v>
      </c>
      <c r="Q39" s="273"/>
      <c r="R39" s="273"/>
      <c r="S39" s="272"/>
      <c r="T39" s="277"/>
      <c r="U39" s="293"/>
    </row>
    <row r="40" spans="1:23" s="300" customFormat="1" ht="6.95" customHeight="1" x14ac:dyDescent="0.2">
      <c r="A40" s="302"/>
      <c r="G40" s="320"/>
      <c r="H40" s="321"/>
      <c r="I40" s="319"/>
      <c r="Q40" s="277"/>
      <c r="R40" s="277"/>
      <c r="S40" s="277"/>
      <c r="T40" s="277"/>
      <c r="U40" s="271"/>
    </row>
    <row r="41" spans="1:23" s="300" customFormat="1" x14ac:dyDescent="0.2">
      <c r="E41" s="349" t="s">
        <v>1784</v>
      </c>
      <c r="G41" s="542">
        <v>7419998.8300000001</v>
      </c>
      <c r="H41" s="543"/>
      <c r="I41" s="542">
        <f>O11</f>
        <v>7437626.6199999992</v>
      </c>
      <c r="K41" s="300" t="s">
        <v>1808</v>
      </c>
      <c r="M41" s="335">
        <v>349425.07</v>
      </c>
      <c r="N41" s="541"/>
      <c r="O41" s="286">
        <v>180694.54</v>
      </c>
      <c r="Q41" s="269" t="s">
        <v>1809</v>
      </c>
      <c r="S41" s="337"/>
      <c r="T41" s="338"/>
      <c r="U41" s="271"/>
      <c r="W41" s="318"/>
    </row>
    <row r="42" spans="1:23" s="300" customFormat="1" x14ac:dyDescent="0.2">
      <c r="E42" s="349" t="s">
        <v>1788</v>
      </c>
      <c r="G42" s="542">
        <v>815165.08</v>
      </c>
      <c r="H42" s="543"/>
      <c r="I42" s="542">
        <f>O16</f>
        <v>818500.77</v>
      </c>
      <c r="K42" s="268" t="s">
        <v>1810</v>
      </c>
      <c r="M42" s="335">
        <v>431573.3</v>
      </c>
      <c r="N42" s="541"/>
      <c r="O42" s="286">
        <v>401927.02</v>
      </c>
      <c r="Q42" s="269" t="s">
        <v>1811</v>
      </c>
      <c r="R42" s="268"/>
      <c r="S42" s="337"/>
      <c r="T42" s="338"/>
      <c r="U42" s="271"/>
      <c r="W42" s="318"/>
    </row>
    <row r="43" spans="1:23" s="300" customFormat="1" x14ac:dyDescent="0.2">
      <c r="E43" s="349" t="s">
        <v>1792</v>
      </c>
      <c r="G43" s="542">
        <v>100217.95</v>
      </c>
      <c r="H43" s="543"/>
      <c r="I43" s="542">
        <f>O19</f>
        <v>100268.08</v>
      </c>
      <c r="K43" s="300" t="s">
        <v>1812</v>
      </c>
      <c r="M43" s="335">
        <v>1509018.31</v>
      </c>
      <c r="N43" s="541"/>
      <c r="O43" s="286">
        <v>1712835.54</v>
      </c>
      <c r="Q43" s="269" t="s">
        <v>1813</v>
      </c>
      <c r="S43" s="337"/>
      <c r="T43" s="338"/>
      <c r="U43" s="271"/>
      <c r="W43" s="318"/>
    </row>
    <row r="44" spans="1:23" s="300" customFormat="1" x14ac:dyDescent="0.2">
      <c r="E44" s="349" t="s">
        <v>1814</v>
      </c>
      <c r="G44" s="542">
        <v>230412.58</v>
      </c>
      <c r="H44" s="543"/>
      <c r="I44" s="542">
        <f>O24</f>
        <v>230763.25</v>
      </c>
      <c r="K44" s="300" t="s">
        <v>1815</v>
      </c>
      <c r="M44" s="335">
        <v>351823.72</v>
      </c>
      <c r="N44" s="541"/>
      <c r="O44" s="286">
        <v>287617.37</v>
      </c>
      <c r="P44" s="311"/>
      <c r="Q44" s="269" t="s">
        <v>1816</v>
      </c>
      <c r="S44" s="337"/>
      <c r="T44" s="338"/>
      <c r="U44" s="271"/>
      <c r="W44" s="318"/>
    </row>
    <row r="45" spans="1:23" s="300" customFormat="1" x14ac:dyDescent="0.2">
      <c r="E45" s="349" t="s">
        <v>1795</v>
      </c>
      <c r="G45" s="542">
        <v>3319246.09</v>
      </c>
      <c r="H45" s="543"/>
      <c r="I45" s="542">
        <f>O27</f>
        <v>3332732.51</v>
      </c>
      <c r="K45" s="268" t="s">
        <v>1817</v>
      </c>
      <c r="M45" s="335">
        <v>336153.15</v>
      </c>
      <c r="N45" s="541"/>
      <c r="O45" s="286">
        <v>301877.81</v>
      </c>
      <c r="P45" s="311"/>
      <c r="Q45" s="269" t="s">
        <v>1818</v>
      </c>
      <c r="R45" s="268"/>
      <c r="S45" s="337"/>
      <c r="T45" s="338"/>
      <c r="U45" s="271"/>
      <c r="W45" s="318"/>
    </row>
    <row r="46" spans="1:23" x14ac:dyDescent="0.2">
      <c r="B46" s="300"/>
      <c r="C46" s="300"/>
      <c r="D46" s="300"/>
      <c r="E46" s="349" t="s">
        <v>1796</v>
      </c>
      <c r="F46" s="300"/>
      <c r="G46" s="544">
        <v>1955955.08</v>
      </c>
      <c r="H46" s="543"/>
      <c r="I46" s="544">
        <f>O35</f>
        <v>3927911.8</v>
      </c>
      <c r="K46" s="300" t="s">
        <v>1819</v>
      </c>
      <c r="L46" s="300"/>
      <c r="M46" s="335">
        <v>725485.68</v>
      </c>
      <c r="N46" s="541"/>
      <c r="O46" s="286">
        <v>827325.35</v>
      </c>
      <c r="Q46" s="269" t="s">
        <v>1820</v>
      </c>
      <c r="R46" s="300"/>
      <c r="S46" s="337"/>
      <c r="T46" s="338"/>
      <c r="U46" s="271"/>
      <c r="V46" s="300"/>
      <c r="W46" s="318"/>
    </row>
    <row r="47" spans="1:23" x14ac:dyDescent="0.2">
      <c r="D47" s="306"/>
      <c r="E47" s="341" t="s">
        <v>1821</v>
      </c>
      <c r="F47" s="306"/>
      <c r="G47" s="340">
        <f>SUM(G41:G46)</f>
        <v>13840995.609999999</v>
      </c>
      <c r="H47" s="340"/>
      <c r="I47" s="340">
        <f>SUM(I41:I46)</f>
        <v>15847803.029999997</v>
      </c>
      <c r="K47" s="300" t="s">
        <v>1822</v>
      </c>
      <c r="L47" s="300"/>
      <c r="M47" s="335">
        <v>31236.18</v>
      </c>
      <c r="N47" s="541"/>
      <c r="O47" s="286">
        <v>31921.49</v>
      </c>
      <c r="Q47" s="269" t="s">
        <v>1823</v>
      </c>
      <c r="R47" s="300"/>
      <c r="S47" s="337"/>
      <c r="T47" s="338"/>
      <c r="U47" s="271"/>
      <c r="V47" s="300"/>
      <c r="W47" s="318"/>
    </row>
    <row r="48" spans="1:23" x14ac:dyDescent="0.2">
      <c r="K48" s="300" t="s">
        <v>1824</v>
      </c>
      <c r="L48" s="300"/>
      <c r="M48" s="335">
        <v>1584192.77</v>
      </c>
      <c r="N48" s="541"/>
      <c r="O48" s="286">
        <v>1387113.02</v>
      </c>
      <c r="Q48" s="269" t="s">
        <v>1825</v>
      </c>
      <c r="R48" s="300"/>
      <c r="S48" s="337"/>
      <c r="T48" s="338"/>
      <c r="U48" s="271"/>
      <c r="V48" s="300"/>
      <c r="W48" s="312"/>
    </row>
    <row r="49" spans="1:22" x14ac:dyDescent="0.2">
      <c r="K49" s="300" t="s">
        <v>1826</v>
      </c>
      <c r="L49" s="300"/>
      <c r="M49" s="335">
        <v>1218795.97</v>
      </c>
      <c r="N49" s="541"/>
      <c r="O49" s="286">
        <v>1421923.71</v>
      </c>
      <c r="Q49" s="269" t="s">
        <v>1827</v>
      </c>
      <c r="R49" s="300"/>
      <c r="S49" s="337"/>
      <c r="T49" s="338"/>
      <c r="U49" s="271"/>
      <c r="V49" s="300"/>
    </row>
    <row r="50" spans="1:22" x14ac:dyDescent="0.2">
      <c r="K50" s="300" t="s">
        <v>1828</v>
      </c>
      <c r="L50" s="300"/>
      <c r="M50" s="335">
        <v>157493</v>
      </c>
      <c r="N50" s="541"/>
      <c r="O50" s="286">
        <v>13294.28</v>
      </c>
      <c r="Q50" s="269" t="s">
        <v>1829</v>
      </c>
      <c r="R50" s="300"/>
      <c r="S50" s="337"/>
      <c r="T50" s="338"/>
      <c r="U50" s="271"/>
      <c r="V50" s="300"/>
    </row>
    <row r="51" spans="1:22" x14ac:dyDescent="0.2">
      <c r="K51" s="300" t="s">
        <v>1830</v>
      </c>
      <c r="L51" s="300"/>
      <c r="M51" s="335">
        <v>115403.7</v>
      </c>
      <c r="N51" s="541"/>
      <c r="O51" s="286">
        <v>160134.64000000001</v>
      </c>
      <c r="Q51" s="269" t="s">
        <v>1831</v>
      </c>
      <c r="R51" s="300"/>
      <c r="S51" s="337"/>
      <c r="T51" s="338"/>
      <c r="U51" s="271"/>
      <c r="V51" s="300"/>
    </row>
    <row r="52" spans="1:22" x14ac:dyDescent="0.2">
      <c r="K52" s="300" t="s">
        <v>1832</v>
      </c>
      <c r="L52" s="300"/>
      <c r="M52" s="335">
        <v>609397.98</v>
      </c>
      <c r="N52" s="541"/>
      <c r="O52" s="286">
        <v>710961.85</v>
      </c>
      <c r="Q52" s="269" t="s">
        <v>1833</v>
      </c>
      <c r="R52" s="300"/>
      <c r="S52" s="337"/>
      <c r="T52" s="338"/>
      <c r="U52" s="271"/>
      <c r="V52" s="300"/>
    </row>
    <row r="53" spans="1:22" x14ac:dyDescent="0.2">
      <c r="K53" s="341" t="s">
        <v>29</v>
      </c>
      <c r="L53" s="302"/>
      <c r="M53" s="342">
        <f>SUM(M41:M52)</f>
        <v>7419998.8300000001</v>
      </c>
      <c r="N53" s="302"/>
      <c r="O53" s="342">
        <f>SUM(O41:O52)</f>
        <v>7437626.6200000001</v>
      </c>
      <c r="Q53" s="343"/>
      <c r="R53" s="344"/>
      <c r="S53" s="337"/>
      <c r="T53" s="338"/>
      <c r="U53" s="345"/>
      <c r="V53" s="346"/>
    </row>
    <row r="54" spans="1:22" x14ac:dyDescent="0.2">
      <c r="O54" s="347">
        <f>O53-Q9</f>
        <v>0</v>
      </c>
      <c r="Q54" s="277"/>
      <c r="R54" s="277"/>
      <c r="S54" s="339"/>
      <c r="T54" s="339"/>
      <c r="U54" s="293"/>
    </row>
    <row r="55" spans="1:22" x14ac:dyDescent="0.2">
      <c r="Q55" s="277"/>
      <c r="R55" s="277"/>
      <c r="S55" s="277"/>
      <c r="T55" s="293"/>
      <c r="U55" s="293"/>
    </row>
    <row r="56" spans="1:22" x14ac:dyDescent="0.2">
      <c r="A56" s="326"/>
      <c r="B56" s="324"/>
      <c r="C56" s="324"/>
      <c r="D56" s="324"/>
      <c r="E56" s="324"/>
      <c r="F56" s="324"/>
      <c r="G56" s="330"/>
      <c r="H56" s="324"/>
      <c r="I56" s="330"/>
    </row>
    <row r="57" spans="1:22" x14ac:dyDescent="0.2">
      <c r="A57" s="326"/>
      <c r="B57" s="324"/>
      <c r="C57" s="324"/>
      <c r="D57" s="324"/>
      <c r="E57" s="324"/>
      <c r="F57" s="324"/>
      <c r="G57" s="331"/>
      <c r="H57" s="324"/>
      <c r="I57" s="330"/>
    </row>
    <row r="58" spans="1:22" x14ac:dyDescent="0.2">
      <c r="A58" s="324"/>
      <c r="B58" s="324"/>
      <c r="C58" s="324"/>
      <c r="D58" s="324"/>
      <c r="E58" s="324"/>
      <c r="F58" s="324"/>
      <c r="G58" s="325"/>
      <c r="H58" s="324"/>
      <c r="I58" s="325"/>
    </row>
    <row r="59" spans="1:22" x14ac:dyDescent="0.2">
      <c r="A59" s="324"/>
      <c r="B59" s="324"/>
      <c r="C59" s="324"/>
      <c r="D59" s="324"/>
      <c r="E59" s="324"/>
      <c r="F59" s="324"/>
      <c r="G59" s="325"/>
      <c r="H59" s="324"/>
      <c r="I59" s="325"/>
    </row>
    <row r="60" spans="1:22" x14ac:dyDescent="0.2">
      <c r="A60" s="324"/>
      <c r="B60" s="324"/>
      <c r="C60" s="324"/>
      <c r="D60" s="324"/>
      <c r="E60" s="324"/>
      <c r="F60" s="324"/>
      <c r="G60" s="325"/>
      <c r="H60" s="324"/>
      <c r="I60" s="325"/>
    </row>
    <row r="61" spans="1:22" x14ac:dyDescent="0.2">
      <c r="A61" s="324"/>
      <c r="B61" s="324"/>
      <c r="C61" s="324"/>
      <c r="D61" s="324"/>
      <c r="E61" s="324"/>
      <c r="F61" s="324"/>
      <c r="G61" s="325"/>
      <c r="H61" s="324"/>
      <c r="I61" s="325"/>
    </row>
    <row r="62" spans="1:22" x14ac:dyDescent="0.2">
      <c r="A62" s="324"/>
      <c r="B62" s="324"/>
      <c r="C62" s="324"/>
      <c r="D62" s="324"/>
      <c r="E62" s="324"/>
      <c r="F62" s="324"/>
      <c r="G62" s="325"/>
      <c r="H62" s="324"/>
      <c r="I62" s="325"/>
    </row>
    <row r="63" spans="1:22" x14ac:dyDescent="0.2">
      <c r="A63" s="324"/>
      <c r="B63" s="324"/>
      <c r="C63" s="324"/>
      <c r="D63" s="324"/>
      <c r="E63" s="324"/>
      <c r="F63" s="324"/>
      <c r="G63" s="325"/>
      <c r="H63" s="324"/>
      <c r="I63" s="325"/>
    </row>
    <row r="64" spans="1:22" x14ac:dyDescent="0.2">
      <c r="A64" s="336"/>
      <c r="B64" s="336"/>
      <c r="C64" s="336"/>
      <c r="D64" s="336"/>
      <c r="E64" s="336"/>
      <c r="F64" s="336"/>
      <c r="G64" s="336"/>
      <c r="H64" s="336"/>
      <c r="I64" s="327"/>
    </row>
    <row r="65" spans="1:9" x14ac:dyDescent="0.2">
      <c r="A65" s="328"/>
      <c r="B65" s="323"/>
      <c r="C65" s="323"/>
      <c r="D65" s="323"/>
      <c r="E65" s="323"/>
      <c r="F65" s="323"/>
      <c r="G65" s="329"/>
      <c r="H65" s="329"/>
      <c r="I65" s="329"/>
    </row>
  </sheetData>
  <sheetProtection password="CFD3" sheet="1" objects="1" scenarios="1" selectLockedCells="1" selectUnlockedCells="1"/>
  <mergeCells count="7">
    <mergeCell ref="G38:I38"/>
    <mergeCell ref="K6:M6"/>
    <mergeCell ref="A1:O1"/>
    <mergeCell ref="A2:O2"/>
    <mergeCell ref="A3:O3"/>
    <mergeCell ref="A4:O4"/>
    <mergeCell ref="M38:O38"/>
  </mergeCells>
  <printOptions horizontalCentered="1"/>
  <pageMargins left="0.45" right="0.45" top="0.75" bottom="0.75" header="0.3" footer="0.3"/>
  <pageSetup scale="70" firstPageNumber="18" orientation="portrait" useFirstPageNumber="1" r:id="rId1"/>
  <headerFooter>
    <oddFooter>&amp;L&amp;F - &amp;A&amp;CMarina Coast Water District&amp;R&amp;P</oddFooter>
  </headerFooter>
  <rowBreaks count="1" manualBreakCount="1">
    <brk id="37" max="14" man="1"/>
  </rowBreaks>
  <colBreaks count="1" manualBreakCount="1">
    <brk id="15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6"/>
  <sheetViews>
    <sheetView workbookViewId="0">
      <selection activeCell="K21" sqref="K21"/>
    </sheetView>
  </sheetViews>
  <sheetFormatPr defaultColWidth="9.140625" defaultRowHeight="12.75" x14ac:dyDescent="0.2"/>
  <cols>
    <col min="1" max="1" width="10.7109375" style="311" customWidth="1"/>
    <col min="2" max="2" width="2.7109375" style="311" customWidth="1"/>
    <col min="3" max="3" width="10.7109375" style="311" customWidth="1"/>
    <col min="4" max="4" width="2.7109375" style="311" customWidth="1"/>
    <col min="5" max="5" width="6.7109375" style="311" customWidth="1"/>
    <col min="6" max="6" width="2.7109375" style="311" customWidth="1"/>
    <col min="7" max="7" width="10" style="311" customWidth="1"/>
    <col min="8" max="8" width="2.7109375" style="311" customWidth="1"/>
    <col min="9" max="9" width="11.85546875" style="311" customWidth="1"/>
    <col min="10" max="10" width="2.7109375" style="311" customWidth="1"/>
    <col min="11" max="11" width="28.85546875" style="311" customWidth="1"/>
    <col min="12" max="12" width="2.7109375" style="311" customWidth="1"/>
    <col min="13" max="13" width="11.42578125" style="311" bestFit="1" customWidth="1"/>
    <col min="14" max="14" width="2.7109375" style="311" customWidth="1"/>
    <col min="15" max="15" width="11.140625" style="311" bestFit="1" customWidth="1"/>
    <col min="16" max="16" width="11.7109375" style="311" bestFit="1" customWidth="1"/>
    <col min="17" max="17" width="10.28515625" style="311" customWidth="1"/>
    <col min="18" max="19" width="9.140625" style="311"/>
    <col min="20" max="20" width="10.85546875" style="311" customWidth="1"/>
    <col min="21" max="21" width="9.140625" style="311"/>
    <col min="22" max="22" width="12.85546875" style="311" bestFit="1" customWidth="1"/>
    <col min="23" max="16384" width="9.140625" style="311"/>
  </cols>
  <sheetData>
    <row r="1" spans="1:18" x14ac:dyDescent="0.2">
      <c r="A1" s="572" t="s">
        <v>31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</row>
    <row r="2" spans="1:18" x14ac:dyDescent="0.2">
      <c r="A2" s="572" t="s">
        <v>1913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</row>
    <row r="3" spans="1:18" x14ac:dyDescent="0.2">
      <c r="A3" s="572" t="s">
        <v>1926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</row>
    <row r="4" spans="1:18" x14ac:dyDescent="0.2">
      <c r="A4" s="572" t="s">
        <v>1772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18" x14ac:dyDescent="0.2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7" spans="1:18" s="306" customFormat="1" x14ac:dyDescent="0.2">
      <c r="A7" s="307" t="s">
        <v>1773</v>
      </c>
      <c r="B7" s="307"/>
      <c r="C7" s="307" t="s">
        <v>1774</v>
      </c>
      <c r="D7" s="307"/>
      <c r="E7" s="307" t="s">
        <v>1775</v>
      </c>
      <c r="F7" s="307"/>
      <c r="G7" s="307" t="s">
        <v>1776</v>
      </c>
      <c r="H7" s="307"/>
      <c r="I7" s="308">
        <v>41820</v>
      </c>
      <c r="J7" s="307"/>
      <c r="K7" s="571" t="s">
        <v>1777</v>
      </c>
      <c r="L7" s="571"/>
      <c r="M7" s="571"/>
      <c r="N7" s="307"/>
      <c r="O7" s="308">
        <v>42004</v>
      </c>
    </row>
    <row r="8" spans="1:18" s="302" customFormat="1" x14ac:dyDescent="0.2">
      <c r="A8" s="304" t="s">
        <v>1778</v>
      </c>
      <c r="B8" s="304"/>
      <c r="C8" s="304" t="s">
        <v>1778</v>
      </c>
      <c r="D8" s="304"/>
      <c r="E8" s="304" t="s">
        <v>1779</v>
      </c>
      <c r="F8" s="304"/>
      <c r="G8" s="304" t="s">
        <v>1780</v>
      </c>
      <c r="H8" s="304"/>
      <c r="I8" s="304" t="s">
        <v>1781</v>
      </c>
      <c r="J8" s="304"/>
      <c r="K8" s="304" t="s">
        <v>1782</v>
      </c>
      <c r="L8" s="304"/>
      <c r="M8" s="304" t="s">
        <v>1783</v>
      </c>
      <c r="N8" s="303"/>
      <c r="O8" s="304" t="s">
        <v>1781</v>
      </c>
    </row>
    <row r="9" spans="1:18" s="300" customFormat="1" x14ac:dyDescent="0.2">
      <c r="K9" s="297"/>
    </row>
    <row r="10" spans="1:18" s="300" customFormat="1" x14ac:dyDescent="0.2">
      <c r="A10" s="464" t="s">
        <v>1914</v>
      </c>
      <c r="B10" s="297"/>
      <c r="C10" s="297"/>
      <c r="D10" s="297"/>
      <c r="E10" s="297" t="s">
        <v>1915</v>
      </c>
      <c r="F10" s="297"/>
      <c r="G10" s="296">
        <v>4.9529999999999998E-2</v>
      </c>
      <c r="H10" s="297"/>
      <c r="I10" s="316">
        <v>3084250.1799999997</v>
      </c>
      <c r="J10" s="297"/>
      <c r="K10" s="297" t="s">
        <v>1916</v>
      </c>
      <c r="L10" s="297"/>
      <c r="M10" s="534">
        <v>75533.55</v>
      </c>
      <c r="N10" s="297"/>
      <c r="O10" s="295">
        <f>+I10+M10</f>
        <v>3159783.7299999995</v>
      </c>
    </row>
    <row r="11" spans="1:18" s="300" customFormat="1" x14ac:dyDescent="0.2">
      <c r="A11" s="279"/>
      <c r="B11" s="293"/>
      <c r="C11" s="293"/>
      <c r="D11" s="293"/>
      <c r="E11" s="293"/>
      <c r="F11" s="293"/>
      <c r="G11" s="292"/>
      <c r="H11" s="293"/>
      <c r="I11" s="313"/>
      <c r="J11" s="293"/>
      <c r="K11" s="293" t="s">
        <v>1917</v>
      </c>
      <c r="L11" s="293"/>
      <c r="M11" s="332">
        <v>-75532.97</v>
      </c>
      <c r="N11" s="293"/>
      <c r="O11" s="290">
        <f>O10+M11</f>
        <v>3084250.7599999993</v>
      </c>
      <c r="P11" s="519">
        <v>3084250.76</v>
      </c>
      <c r="Q11" s="459" t="s">
        <v>1785</v>
      </c>
      <c r="R11" s="460"/>
    </row>
    <row r="12" spans="1:18" s="300" customFormat="1" x14ac:dyDescent="0.2">
      <c r="A12" s="289" t="s">
        <v>1918</v>
      </c>
      <c r="B12" s="288"/>
      <c r="C12" s="288"/>
      <c r="D12" s="288"/>
      <c r="E12" s="288"/>
      <c r="F12" s="288"/>
      <c r="G12" s="283"/>
      <c r="H12" s="288"/>
      <c r="I12" s="314"/>
      <c r="J12" s="288"/>
      <c r="K12" s="288" t="s">
        <v>1919</v>
      </c>
      <c r="L12" s="288"/>
      <c r="M12" s="314">
        <v>0</v>
      </c>
      <c r="N12" s="288"/>
      <c r="O12" s="287">
        <f>O11+M12</f>
        <v>3084250.7599999993</v>
      </c>
      <c r="P12" s="465">
        <f>P11-O12</f>
        <v>0</v>
      </c>
      <c r="Q12" s="459" t="s">
        <v>1787</v>
      </c>
      <c r="R12" s="460"/>
    </row>
    <row r="13" spans="1:18" s="300" customFormat="1" x14ac:dyDescent="0.2">
      <c r="A13" s="293"/>
      <c r="B13" s="293"/>
      <c r="C13" s="293"/>
      <c r="D13" s="293"/>
      <c r="E13" s="293"/>
      <c r="F13" s="293"/>
      <c r="G13" s="293"/>
      <c r="H13" s="293"/>
      <c r="I13" s="524"/>
      <c r="J13" s="293"/>
      <c r="K13" s="293"/>
      <c r="L13" s="293"/>
      <c r="M13" s="313"/>
      <c r="N13" s="293"/>
      <c r="O13" s="291"/>
      <c r="P13" s="347"/>
    </row>
    <row r="14" spans="1:18" s="300" customFormat="1" x14ac:dyDescent="0.2">
      <c r="A14" s="464" t="s">
        <v>1914</v>
      </c>
      <c r="B14" s="297"/>
      <c r="C14" s="297"/>
      <c r="D14" s="297"/>
      <c r="E14" s="297" t="s">
        <v>1920</v>
      </c>
      <c r="F14" s="297"/>
      <c r="G14" s="296">
        <v>1E-4</v>
      </c>
      <c r="H14" s="297"/>
      <c r="I14" s="316">
        <v>849514.03</v>
      </c>
      <c r="J14" s="297"/>
      <c r="K14" s="297" t="s">
        <v>1916</v>
      </c>
      <c r="L14" s="297"/>
      <c r="M14" s="534">
        <v>60.71</v>
      </c>
      <c r="N14" s="297"/>
      <c r="O14" s="295">
        <f>+I14+M14</f>
        <v>849574.74</v>
      </c>
      <c r="P14" s="347"/>
    </row>
    <row r="15" spans="1:18" s="300" customFormat="1" x14ac:dyDescent="0.2">
      <c r="A15" s="279" t="s">
        <v>1910</v>
      </c>
      <c r="B15" s="293"/>
      <c r="C15" s="293"/>
      <c r="D15" s="293"/>
      <c r="E15" s="293"/>
      <c r="F15" s="293"/>
      <c r="G15" s="292"/>
      <c r="H15" s="293"/>
      <c r="I15" s="313"/>
      <c r="J15" s="293"/>
      <c r="K15" s="293" t="s">
        <v>1921</v>
      </c>
      <c r="L15" s="293"/>
      <c r="M15" s="332">
        <v>-42.09</v>
      </c>
      <c r="N15" s="293"/>
      <c r="O15" s="290">
        <f>+O14+M15</f>
        <v>849532.65</v>
      </c>
      <c r="P15" s="520">
        <v>849532.65</v>
      </c>
      <c r="Q15" s="459" t="s">
        <v>1785</v>
      </c>
      <c r="R15" s="460"/>
    </row>
    <row r="16" spans="1:18" s="300" customFormat="1" x14ac:dyDescent="0.2">
      <c r="A16" s="289"/>
      <c r="B16" s="288"/>
      <c r="C16" s="288"/>
      <c r="D16" s="288"/>
      <c r="E16" s="288"/>
      <c r="F16" s="288"/>
      <c r="G16" s="288"/>
      <c r="H16" s="288"/>
      <c r="I16" s="533"/>
      <c r="J16" s="288"/>
      <c r="K16" s="288" t="s">
        <v>1919</v>
      </c>
      <c r="L16" s="288"/>
      <c r="M16" s="535">
        <v>0</v>
      </c>
      <c r="N16" s="288"/>
      <c r="O16" s="287">
        <f>O15+M16</f>
        <v>849532.65</v>
      </c>
      <c r="P16" s="465">
        <f>P15-O16</f>
        <v>0</v>
      </c>
      <c r="Q16" s="459" t="s">
        <v>1787</v>
      </c>
      <c r="R16" s="460"/>
    </row>
    <row r="17" spans="1:18" s="300" customFormat="1" x14ac:dyDescent="0.2">
      <c r="I17" s="532"/>
      <c r="K17" s="293"/>
      <c r="M17" s="315"/>
      <c r="O17" s="286"/>
      <c r="P17" s="347"/>
    </row>
    <row r="18" spans="1:18" s="300" customFormat="1" x14ac:dyDescent="0.2">
      <c r="A18" s="464" t="s">
        <v>1922</v>
      </c>
      <c r="B18" s="297"/>
      <c r="C18" s="297"/>
      <c r="D18" s="297"/>
      <c r="E18" s="297" t="s">
        <v>1789</v>
      </c>
      <c r="F18" s="297"/>
      <c r="G18" s="296">
        <v>2.5999999999999999E-3</v>
      </c>
      <c r="H18" s="297"/>
      <c r="I18" s="316">
        <v>2108901.6699999995</v>
      </c>
      <c r="J18" s="297"/>
      <c r="K18" s="297" t="s">
        <v>1916</v>
      </c>
      <c r="L18" s="297"/>
      <c r="M18" s="316">
        <f>1338.42+1385.84</f>
        <v>2724.26</v>
      </c>
      <c r="N18" s="297"/>
      <c r="O18" s="295">
        <f>+I18+M18</f>
        <v>2111625.9299999992</v>
      </c>
      <c r="P18" s="522">
        <v>2111625.9300000002</v>
      </c>
      <c r="Q18" s="459" t="s">
        <v>1785</v>
      </c>
      <c r="R18" s="460"/>
    </row>
    <row r="19" spans="1:18" s="300" customFormat="1" x14ac:dyDescent="0.2">
      <c r="A19" s="466"/>
      <c r="B19" s="288"/>
      <c r="C19" s="467"/>
      <c r="D19" s="288"/>
      <c r="E19" s="288"/>
      <c r="F19" s="288"/>
      <c r="G19" s="288"/>
      <c r="H19" s="288"/>
      <c r="I19" s="288"/>
      <c r="J19" s="288"/>
      <c r="K19" s="288"/>
      <c r="L19" s="288"/>
      <c r="M19" s="314"/>
      <c r="N19" s="288"/>
      <c r="O19" s="287">
        <f>O18+M19</f>
        <v>2111625.9299999992</v>
      </c>
      <c r="P19" s="465">
        <f>P18-O19</f>
        <v>0</v>
      </c>
      <c r="Q19" s="459" t="s">
        <v>1787</v>
      </c>
      <c r="R19" s="460"/>
    </row>
    <row r="20" spans="1:18" s="300" customFormat="1" x14ac:dyDescent="0.2">
      <c r="A20" s="29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</row>
    <row r="21" spans="1:18" s="300" customFormat="1" x14ac:dyDescent="0.2">
      <c r="A21" s="29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313"/>
      <c r="N21" s="293"/>
      <c r="O21" s="291"/>
    </row>
    <row r="22" spans="1:18" s="300" customFormat="1" x14ac:dyDescent="0.2"/>
    <row r="23" spans="1:18" s="300" customFormat="1" ht="13.5" x14ac:dyDescent="0.25">
      <c r="A23" s="274"/>
    </row>
    <row r="27" spans="1:18" x14ac:dyDescent="0.2">
      <c r="M27" s="300"/>
      <c r="N27" s="300"/>
      <c r="O27" s="300"/>
    </row>
    <row r="28" spans="1:18" x14ac:dyDescent="0.2">
      <c r="M28" s="300"/>
      <c r="N28" s="300"/>
      <c r="O28" s="300"/>
    </row>
    <row r="29" spans="1:18" x14ac:dyDescent="0.2">
      <c r="M29" s="300"/>
      <c r="N29" s="300"/>
      <c r="O29" s="300"/>
    </row>
    <row r="30" spans="1:18" x14ac:dyDescent="0.2">
      <c r="M30" s="300"/>
      <c r="N30" s="300"/>
      <c r="O30" s="300"/>
    </row>
    <row r="31" spans="1:18" x14ac:dyDescent="0.2">
      <c r="M31" s="300"/>
      <c r="N31" s="300"/>
      <c r="O31" s="300"/>
    </row>
    <row r="36" spans="9:13" x14ac:dyDescent="0.2">
      <c r="I36" s="300"/>
    </row>
    <row r="37" spans="9:13" x14ac:dyDescent="0.2">
      <c r="I37" s="300"/>
    </row>
    <row r="38" spans="9:13" x14ac:dyDescent="0.2">
      <c r="I38" s="300"/>
    </row>
    <row r="45" spans="9:13" x14ac:dyDescent="0.2">
      <c r="M45" s="300"/>
    </row>
    <row r="46" spans="9:13" x14ac:dyDescent="0.2">
      <c r="M46" s="300"/>
    </row>
    <row r="47" spans="9:13" x14ac:dyDescent="0.2">
      <c r="M47" s="300"/>
    </row>
    <row r="48" spans="9:13" x14ac:dyDescent="0.2">
      <c r="M48" s="300"/>
    </row>
    <row r="49" spans="7:13" x14ac:dyDescent="0.2">
      <c r="G49" s="300"/>
      <c r="M49" s="300"/>
    </row>
    <row r="50" spans="7:13" x14ac:dyDescent="0.2">
      <c r="M50" s="300"/>
    </row>
    <row r="51" spans="7:13" x14ac:dyDescent="0.2">
      <c r="M51" s="300"/>
    </row>
    <row r="52" spans="7:13" x14ac:dyDescent="0.2">
      <c r="M52" s="300"/>
    </row>
    <row r="53" spans="7:13" x14ac:dyDescent="0.2">
      <c r="M53" s="300"/>
    </row>
    <row r="54" spans="7:13" x14ac:dyDescent="0.2">
      <c r="M54" s="300"/>
    </row>
    <row r="55" spans="7:13" x14ac:dyDescent="0.2">
      <c r="M55" s="300"/>
    </row>
    <row r="56" spans="7:13" x14ac:dyDescent="0.2">
      <c r="M56" s="300"/>
    </row>
  </sheetData>
  <sheetProtection password="CFD3" sheet="1" objects="1" scenarios="1" selectLockedCells="1" selectUnlockedCells="1"/>
  <mergeCells count="5">
    <mergeCell ref="A1:O1"/>
    <mergeCell ref="A2:O2"/>
    <mergeCell ref="A3:O3"/>
    <mergeCell ref="A4:O4"/>
    <mergeCell ref="K7:M7"/>
  </mergeCells>
  <pageMargins left="0.7" right="0.7" top="0.75" bottom="0.75" header="0.3" footer="0.3"/>
  <pageSetup scale="75" firstPageNumber="19" orientation="portrait" useFirstPageNumber="1" r:id="rId1"/>
  <headerFooter>
    <oddFooter>&amp;L&amp;F - &amp;A&amp;CMarina Coast Water District&amp;R&amp;P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4"/>
  <sheetViews>
    <sheetView workbookViewId="0">
      <selection activeCell="O11" sqref="O11"/>
    </sheetView>
  </sheetViews>
  <sheetFormatPr defaultColWidth="9.140625" defaultRowHeight="12.75" x14ac:dyDescent="0.2"/>
  <cols>
    <col min="1" max="1" width="10.7109375" style="311" customWidth="1"/>
    <col min="2" max="2" width="2.7109375" style="311" customWidth="1"/>
    <col min="3" max="3" width="10.42578125" style="311" customWidth="1"/>
    <col min="4" max="4" width="2.7109375" style="311" customWidth="1"/>
    <col min="5" max="5" width="10.42578125" style="311" customWidth="1"/>
    <col min="6" max="6" width="2.7109375" style="311" customWidth="1"/>
    <col min="7" max="7" width="8.7109375" style="311" customWidth="1"/>
    <col min="8" max="8" width="2.7109375" style="311" customWidth="1"/>
    <col min="9" max="9" width="9.85546875" style="311" bestFit="1" customWidth="1"/>
    <col min="10" max="10" width="2.7109375" style="311" customWidth="1"/>
    <col min="11" max="11" width="23.5703125" style="311" customWidth="1"/>
    <col min="12" max="12" width="2.7109375" style="311" customWidth="1"/>
    <col min="13" max="13" width="9" style="311" bestFit="1" customWidth="1"/>
    <col min="14" max="14" width="2.7109375" style="311" customWidth="1"/>
    <col min="15" max="15" width="9.85546875" style="311" bestFit="1" customWidth="1"/>
    <col min="16" max="16" width="11.140625" style="311" bestFit="1" customWidth="1"/>
    <col min="17" max="17" width="11.140625" style="446" bestFit="1" customWidth="1"/>
    <col min="18" max="20" width="9.140625" style="311"/>
    <col min="21" max="21" width="9.85546875" style="311" bestFit="1" customWidth="1"/>
    <col min="22" max="16384" width="9.140625" style="311"/>
  </cols>
  <sheetData>
    <row r="1" spans="1:17" x14ac:dyDescent="0.2">
      <c r="A1" s="572" t="s">
        <v>31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</row>
    <row r="2" spans="1:17" x14ac:dyDescent="0.2">
      <c r="A2" s="572" t="s">
        <v>1896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</row>
    <row r="3" spans="1:17" ht="13.5" x14ac:dyDescent="0.25">
      <c r="A3" s="573" t="str">
        <f>GIC!A3</f>
        <v>AS OF DECEMBER 31, 2014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</row>
    <row r="4" spans="1:17" x14ac:dyDescent="0.2">
      <c r="A4" s="572" t="s">
        <v>1772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17" x14ac:dyDescent="0.2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7" spans="1:17" s="306" customFormat="1" x14ac:dyDescent="0.2">
      <c r="A7" s="307" t="s">
        <v>1805</v>
      </c>
      <c r="B7" s="307"/>
      <c r="C7" s="307" t="s">
        <v>1897</v>
      </c>
      <c r="D7" s="307"/>
      <c r="E7" s="307" t="s">
        <v>1898</v>
      </c>
      <c r="F7" s="307"/>
      <c r="G7" s="307"/>
      <c r="H7" s="307"/>
      <c r="I7" s="308">
        <f>GIC!I7</f>
        <v>41820</v>
      </c>
      <c r="J7" s="307"/>
      <c r="K7" s="571" t="s">
        <v>1777</v>
      </c>
      <c r="L7" s="571"/>
      <c r="M7" s="571"/>
      <c r="N7" s="307"/>
      <c r="O7" s="308">
        <f>GIC!O7</f>
        <v>42004</v>
      </c>
      <c r="Q7" s="447"/>
    </row>
    <row r="8" spans="1:17" s="306" customFormat="1" x14ac:dyDescent="0.2">
      <c r="A8" s="448" t="s">
        <v>1783</v>
      </c>
      <c r="B8" s="448"/>
      <c r="C8" s="448" t="s">
        <v>1899</v>
      </c>
      <c r="D8" s="448"/>
      <c r="E8" s="448" t="s">
        <v>1899</v>
      </c>
      <c r="F8" s="448"/>
      <c r="G8" s="448" t="s">
        <v>1900</v>
      </c>
      <c r="H8" s="448"/>
      <c r="I8" s="448" t="s">
        <v>1781</v>
      </c>
      <c r="J8" s="448"/>
      <c r="K8" s="448" t="s">
        <v>1782</v>
      </c>
      <c r="L8" s="448"/>
      <c r="M8" s="448" t="s">
        <v>1783</v>
      </c>
      <c r="N8" s="449"/>
      <c r="O8" s="448" t="s">
        <v>1781</v>
      </c>
      <c r="Q8" s="447"/>
    </row>
    <row r="9" spans="1:17" s="300" customFormat="1" x14ac:dyDescent="0.2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450"/>
      <c r="N9" s="293"/>
      <c r="O9" s="291"/>
      <c r="P9" s="451"/>
      <c r="Q9" s="451"/>
    </row>
    <row r="10" spans="1:17" s="300" customFormat="1" x14ac:dyDescent="0.2">
      <c r="A10" s="452" t="s">
        <v>1901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5"/>
      <c r="P10" s="451"/>
      <c r="Q10" s="451"/>
    </row>
    <row r="11" spans="1:17" s="300" customFormat="1" x14ac:dyDescent="0.2">
      <c r="A11" s="453">
        <v>2227979.2400000002</v>
      </c>
      <c r="B11" s="293"/>
      <c r="C11" s="454">
        <v>40543</v>
      </c>
      <c r="D11" s="293"/>
      <c r="E11" s="454">
        <v>42339</v>
      </c>
      <c r="F11" s="293"/>
      <c r="G11" s="455">
        <v>1.9E-2</v>
      </c>
      <c r="H11" s="293"/>
      <c r="I11" s="450">
        <v>2227979.2400000002</v>
      </c>
      <c r="J11" s="293"/>
      <c r="K11" s="293" t="s">
        <v>1902</v>
      </c>
      <c r="L11" s="293"/>
      <c r="M11" s="450">
        <v>0</v>
      </c>
      <c r="N11" s="293"/>
      <c r="O11" s="290">
        <f>+I11+M11</f>
        <v>2227979.2400000002</v>
      </c>
      <c r="P11" s="451"/>
      <c r="Q11" s="451"/>
    </row>
    <row r="12" spans="1:17" s="300" customFormat="1" x14ac:dyDescent="0.2">
      <c r="A12" s="279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450"/>
      <c r="N12" s="293"/>
      <c r="O12" s="290"/>
      <c r="Q12" s="451"/>
    </row>
    <row r="13" spans="1:17" s="300" customFormat="1" x14ac:dyDescent="0.2">
      <c r="A13" s="289"/>
      <c r="B13" s="288"/>
      <c r="C13" s="288"/>
      <c r="D13" s="288"/>
      <c r="E13" s="288"/>
      <c r="F13" s="288"/>
      <c r="G13" s="288"/>
      <c r="H13" s="288"/>
      <c r="I13" s="288"/>
      <c r="J13" s="288"/>
      <c r="K13" s="288" t="s">
        <v>1903</v>
      </c>
      <c r="L13" s="288"/>
      <c r="M13" s="456"/>
      <c r="N13" s="288"/>
      <c r="O13" s="287"/>
      <c r="Q13" s="451"/>
    </row>
    <row r="14" spans="1:17" s="300" customFormat="1" x14ac:dyDescent="0.2">
      <c r="A14" s="293"/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450"/>
      <c r="N14" s="293"/>
      <c r="O14" s="291"/>
      <c r="P14" s="347"/>
      <c r="Q14" s="457"/>
    </row>
    <row r="15" spans="1:17" s="300" customFormat="1" x14ac:dyDescent="0.2">
      <c r="A15" s="452" t="s">
        <v>1904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5"/>
      <c r="Q15" s="457"/>
    </row>
    <row r="16" spans="1:17" s="300" customFormat="1" x14ac:dyDescent="0.2">
      <c r="A16" s="453">
        <v>42310000</v>
      </c>
      <c r="B16" s="293"/>
      <c r="C16" s="454">
        <v>39234</v>
      </c>
      <c r="D16" s="293"/>
      <c r="E16" s="454">
        <v>50192</v>
      </c>
      <c r="F16" s="293"/>
      <c r="G16" s="455">
        <v>4.795E-2</v>
      </c>
      <c r="H16" s="293"/>
      <c r="I16" s="313">
        <v>36160000</v>
      </c>
      <c r="J16" s="293"/>
      <c r="K16" s="524" t="s">
        <v>1905</v>
      </c>
      <c r="L16" s="524"/>
      <c r="M16" s="313">
        <v>0</v>
      </c>
      <c r="N16" s="293"/>
      <c r="O16" s="290">
        <f>+I16+M16</f>
        <v>36160000</v>
      </c>
      <c r="P16" s="286"/>
      <c r="Q16" s="457"/>
    </row>
    <row r="17" spans="1:20" s="300" customFormat="1" x14ac:dyDescent="0.2">
      <c r="A17" s="279"/>
      <c r="B17" s="293"/>
      <c r="C17" s="293"/>
      <c r="D17" s="293"/>
      <c r="E17" s="293"/>
      <c r="F17" s="293"/>
      <c r="G17" s="293"/>
      <c r="H17" s="293"/>
      <c r="I17" s="293"/>
      <c r="J17" s="293"/>
      <c r="K17" s="524" t="s">
        <v>1906</v>
      </c>
      <c r="L17" s="524"/>
      <c r="M17" s="313">
        <v>-871781</v>
      </c>
      <c r="N17" s="293"/>
      <c r="O17" s="290"/>
      <c r="Q17" s="345"/>
    </row>
    <row r="18" spans="1:20" s="300" customFormat="1" x14ac:dyDescent="0.2">
      <c r="A18" s="279"/>
      <c r="B18" s="293"/>
      <c r="C18" s="293"/>
      <c r="D18" s="293"/>
      <c r="E18" s="293"/>
      <c r="F18" s="293"/>
      <c r="G18" s="293"/>
      <c r="H18" s="293"/>
      <c r="I18" s="293"/>
      <c r="J18" s="293"/>
      <c r="K18" s="524"/>
      <c r="L18" s="524"/>
      <c r="M18" s="313"/>
      <c r="N18" s="293"/>
      <c r="O18" s="290"/>
      <c r="Q18" s="293"/>
    </row>
    <row r="19" spans="1:20" s="300" customFormat="1" x14ac:dyDescent="0.2">
      <c r="A19" s="289"/>
      <c r="B19" s="288"/>
      <c r="C19" s="288"/>
      <c r="D19" s="288"/>
      <c r="E19" s="288"/>
      <c r="F19" s="288"/>
      <c r="G19" s="288"/>
      <c r="H19" s="288"/>
      <c r="I19" s="288"/>
      <c r="J19" s="288"/>
      <c r="K19" s="533" t="s">
        <v>3463</v>
      </c>
      <c r="L19" s="533"/>
      <c r="M19" s="314"/>
      <c r="N19" s="288"/>
      <c r="O19" s="287"/>
      <c r="Q19" s="457"/>
    </row>
    <row r="20" spans="1:20" s="300" customFormat="1" x14ac:dyDescent="0.2">
      <c r="M20" s="458"/>
      <c r="O20" s="286"/>
      <c r="Q20" s="451"/>
    </row>
    <row r="21" spans="1:20" s="300" customFormat="1" x14ac:dyDescent="0.2">
      <c r="A21" s="452" t="s">
        <v>1907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5"/>
      <c r="P21" s="293"/>
      <c r="Q21" s="457"/>
      <c r="R21" s="293"/>
      <c r="S21" s="293"/>
      <c r="T21" s="293"/>
    </row>
    <row r="22" spans="1:20" s="300" customFormat="1" x14ac:dyDescent="0.2">
      <c r="A22" s="453">
        <v>8495000</v>
      </c>
      <c r="B22" s="293"/>
      <c r="C22" s="454">
        <v>40695</v>
      </c>
      <c r="D22" s="293"/>
      <c r="E22" s="454">
        <v>43983</v>
      </c>
      <c r="F22" s="293"/>
      <c r="G22" s="455"/>
      <c r="H22" s="293"/>
      <c r="I22" s="313">
        <v>5670000</v>
      </c>
      <c r="J22" s="293"/>
      <c r="K22" s="524" t="s">
        <v>1905</v>
      </c>
      <c r="L22" s="524"/>
      <c r="M22" s="313">
        <v>0</v>
      </c>
      <c r="N22" s="293"/>
      <c r="O22" s="290">
        <f>+I22+M22</f>
        <v>5670000</v>
      </c>
      <c r="P22" s="293"/>
      <c r="Q22" s="457"/>
      <c r="R22" s="293"/>
      <c r="S22" s="293"/>
      <c r="T22" s="293"/>
    </row>
    <row r="23" spans="1:20" s="300" customFormat="1" x14ac:dyDescent="0.2">
      <c r="A23" s="279"/>
      <c r="B23" s="293"/>
      <c r="C23" s="293"/>
      <c r="D23" s="293"/>
      <c r="E23" s="293"/>
      <c r="F23" s="293"/>
      <c r="G23" s="293"/>
      <c r="H23" s="293"/>
      <c r="I23" s="293"/>
      <c r="J23" s="293"/>
      <c r="K23" s="524" t="s">
        <v>1906</v>
      </c>
      <c r="L23" s="524"/>
      <c r="M23" s="313">
        <v>-130425</v>
      </c>
      <c r="N23" s="293"/>
      <c r="O23" s="290"/>
      <c r="P23" s="293"/>
      <c r="Q23" s="457"/>
      <c r="R23" s="293"/>
      <c r="S23" s="293"/>
      <c r="T23" s="293"/>
    </row>
    <row r="24" spans="1:20" s="300" customFormat="1" x14ac:dyDescent="0.2">
      <c r="A24" s="279"/>
      <c r="B24" s="293"/>
      <c r="C24" s="293"/>
      <c r="D24" s="293"/>
      <c r="E24" s="293"/>
      <c r="F24" s="293"/>
      <c r="G24" s="293"/>
      <c r="H24" s="293"/>
      <c r="I24" s="293"/>
      <c r="J24" s="293"/>
      <c r="K24" s="524"/>
      <c r="L24" s="524"/>
      <c r="M24" s="313"/>
      <c r="N24" s="293"/>
      <c r="O24" s="290"/>
      <c r="Q24" s="451"/>
    </row>
    <row r="25" spans="1:20" s="300" customFormat="1" x14ac:dyDescent="0.2">
      <c r="A25" s="289"/>
      <c r="B25" s="288"/>
      <c r="C25" s="288"/>
      <c r="D25" s="288"/>
      <c r="E25" s="288"/>
      <c r="F25" s="288"/>
      <c r="G25" s="288"/>
      <c r="H25" s="288"/>
      <c r="I25" s="288"/>
      <c r="J25" s="288"/>
      <c r="K25" s="533" t="s">
        <v>3464</v>
      </c>
      <c r="L25" s="533"/>
      <c r="M25" s="314"/>
      <c r="N25" s="288"/>
      <c r="O25" s="287"/>
      <c r="Q25" s="451"/>
    </row>
    <row r="26" spans="1:20" s="300" customFormat="1" x14ac:dyDescent="0.2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450"/>
      <c r="N26" s="293"/>
      <c r="O26" s="291"/>
      <c r="Q26" s="451"/>
    </row>
    <row r="27" spans="1:20" s="300" customFormat="1" x14ac:dyDescent="0.2">
      <c r="A27" s="302" t="s">
        <v>1806</v>
      </c>
      <c r="Q27" s="451"/>
    </row>
    <row r="28" spans="1:20" s="300" customFormat="1" x14ac:dyDescent="0.2">
      <c r="A28" s="300" t="s">
        <v>1908</v>
      </c>
      <c r="I28" s="286">
        <f>O11</f>
        <v>2227979.2400000002</v>
      </c>
      <c r="Q28" s="451"/>
    </row>
    <row r="29" spans="1:20" x14ac:dyDescent="0.2">
      <c r="A29" s="311" t="s">
        <v>1909</v>
      </c>
      <c r="I29" s="461">
        <f>+O16</f>
        <v>36160000</v>
      </c>
    </row>
    <row r="30" spans="1:20" x14ac:dyDescent="0.2">
      <c r="A30" s="311" t="s">
        <v>1910</v>
      </c>
      <c r="I30" s="461">
        <f>O22</f>
        <v>5670000</v>
      </c>
    </row>
    <row r="31" spans="1:20" x14ac:dyDescent="0.2">
      <c r="I31" s="461"/>
    </row>
    <row r="32" spans="1:20" s="306" customFormat="1" x14ac:dyDescent="0.2">
      <c r="A32" s="462" t="s">
        <v>1911</v>
      </c>
      <c r="I32" s="340">
        <f>SUM(I28:I31)</f>
        <v>44057979.240000002</v>
      </c>
      <c r="Q32" s="447"/>
    </row>
    <row r="33" spans="1:17" s="306" customFormat="1" ht="7.5" customHeight="1" x14ac:dyDescent="0.2">
      <c r="A33" s="462"/>
      <c r="I33" s="340"/>
      <c r="Q33" s="447"/>
    </row>
    <row r="35" spans="1:17" x14ac:dyDescent="0.2">
      <c r="M35" s="300"/>
      <c r="N35" s="300"/>
      <c r="O35" s="300"/>
    </row>
    <row r="36" spans="1:17" x14ac:dyDescent="0.2">
      <c r="M36" s="300"/>
      <c r="N36" s="300"/>
      <c r="O36" s="300"/>
    </row>
    <row r="37" spans="1:17" x14ac:dyDescent="0.2">
      <c r="M37" s="300"/>
      <c r="N37" s="300"/>
      <c r="O37" s="300"/>
    </row>
    <row r="38" spans="1:17" x14ac:dyDescent="0.2">
      <c r="M38" s="300"/>
      <c r="N38" s="300"/>
      <c r="O38" s="300"/>
    </row>
    <row r="39" spans="1:17" x14ac:dyDescent="0.2">
      <c r="M39" s="300"/>
      <c r="N39" s="300"/>
      <c r="O39" s="300"/>
    </row>
    <row r="44" spans="1:17" x14ac:dyDescent="0.2">
      <c r="I44" s="300"/>
    </row>
    <row r="45" spans="1:17" x14ac:dyDescent="0.2">
      <c r="I45" s="300"/>
    </row>
    <row r="46" spans="1:17" x14ac:dyDescent="0.2">
      <c r="I46" s="300"/>
    </row>
    <row r="53" spans="7:13" x14ac:dyDescent="0.2">
      <c r="M53" s="300"/>
    </row>
    <row r="54" spans="7:13" x14ac:dyDescent="0.2">
      <c r="M54" s="300"/>
    </row>
    <row r="55" spans="7:13" x14ac:dyDescent="0.2">
      <c r="M55" s="300"/>
    </row>
    <row r="56" spans="7:13" x14ac:dyDescent="0.2">
      <c r="M56" s="300"/>
    </row>
    <row r="57" spans="7:13" x14ac:dyDescent="0.2">
      <c r="G57" s="300"/>
      <c r="M57" s="300"/>
    </row>
    <row r="58" spans="7:13" x14ac:dyDescent="0.2">
      <c r="M58" s="300"/>
    </row>
    <row r="59" spans="7:13" x14ac:dyDescent="0.2">
      <c r="M59" s="300"/>
    </row>
    <row r="60" spans="7:13" x14ac:dyDescent="0.2">
      <c r="M60" s="300"/>
    </row>
    <row r="61" spans="7:13" x14ac:dyDescent="0.2">
      <c r="M61" s="300"/>
    </row>
    <row r="62" spans="7:13" x14ac:dyDescent="0.2">
      <c r="M62" s="300"/>
    </row>
    <row r="63" spans="7:13" x14ac:dyDescent="0.2">
      <c r="M63" s="300"/>
    </row>
    <row r="64" spans="7:13" x14ac:dyDescent="0.2">
      <c r="M64" s="300"/>
    </row>
  </sheetData>
  <sheetProtection password="CFD3" sheet="1" objects="1" scenarios="1" selectLockedCells="1" selectUnlockedCells="1"/>
  <mergeCells count="5">
    <mergeCell ref="A1:O1"/>
    <mergeCell ref="A2:O2"/>
    <mergeCell ref="A3:O3"/>
    <mergeCell ref="A4:O4"/>
    <mergeCell ref="K7:M7"/>
  </mergeCells>
  <pageMargins left="0.7" right="0.7" top="0.75" bottom="0.75" header="0.3" footer="0.3"/>
  <pageSetup scale="80" firstPageNumber="20" orientation="portrait" useFirstPageNumber="1" r:id="rId1"/>
  <headerFooter>
    <oddFooter>&amp;L&amp;F - &amp;A&amp;CMarina Coast Water District&amp;R&amp;P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112"/>
  <sheetViews>
    <sheetView tabSelected="1" topLeftCell="A28" zoomScaleNormal="100" workbookViewId="0">
      <selection sqref="A1:P36"/>
    </sheetView>
  </sheetViews>
  <sheetFormatPr defaultColWidth="8.85546875" defaultRowHeight="15" x14ac:dyDescent="0.25"/>
  <cols>
    <col min="1" max="1" width="14" style="437" customWidth="1"/>
    <col min="2" max="2" width="13.28515625" style="437" bestFit="1" customWidth="1"/>
    <col min="3" max="3" width="20.85546875" style="437" customWidth="1"/>
    <col min="4" max="4" width="1.85546875" style="437" customWidth="1"/>
    <col min="5" max="6" width="11.5703125" style="437" hidden="1" customWidth="1"/>
    <col min="7" max="7" width="11.5703125" style="437" customWidth="1"/>
    <col min="8" max="8" width="11.5703125" style="437" bestFit="1" customWidth="1"/>
    <col min="9" max="11" width="11.5703125" style="437" hidden="1" customWidth="1"/>
    <col min="12" max="12" width="11.7109375" style="437" customWidth="1"/>
    <col min="13" max="13" width="11.5703125" style="437" bestFit="1" customWidth="1"/>
    <col min="14" max="14" width="36.140625" style="352" bestFit="1" customWidth="1"/>
    <col min="15" max="15" width="13.28515625" style="437" bestFit="1" customWidth="1"/>
    <col min="16" max="16" width="16.140625" style="437" customWidth="1"/>
    <col min="17" max="17" width="8.85546875" style="437" bestFit="1" customWidth="1"/>
    <col min="18" max="18" width="9.85546875" style="437" bestFit="1" customWidth="1"/>
    <col min="19" max="19" width="8.85546875" style="437"/>
    <col min="20" max="20" width="11.5703125" style="437" bestFit="1" customWidth="1"/>
    <col min="21" max="21" width="8.85546875" style="437"/>
    <col min="22" max="22" width="10.5703125" style="437" bestFit="1" customWidth="1"/>
    <col min="23" max="16384" width="8.85546875" style="437"/>
  </cols>
  <sheetData>
    <row r="1" spans="1:23" ht="15.75" x14ac:dyDescent="0.25">
      <c r="A1" s="574" t="s">
        <v>31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476"/>
      <c r="M1" s="366"/>
      <c r="N1" s="545" t="s">
        <v>3468</v>
      </c>
      <c r="O1" s="366"/>
      <c r="P1" s="350"/>
      <c r="Q1" s="350"/>
      <c r="R1" s="350"/>
      <c r="S1" s="350"/>
      <c r="T1" s="350"/>
    </row>
    <row r="2" spans="1:23" x14ac:dyDescent="0.25">
      <c r="A2" s="574" t="s">
        <v>1847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366"/>
      <c r="M2" s="366"/>
      <c r="O2" s="366"/>
      <c r="P2" s="350"/>
      <c r="Q2" s="350"/>
      <c r="R2" s="350"/>
      <c r="S2" s="350"/>
      <c r="T2" s="350"/>
    </row>
    <row r="3" spans="1:23" x14ac:dyDescent="0.25">
      <c r="A3" s="574" t="s">
        <v>1927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366"/>
      <c r="M3" s="366"/>
      <c r="O3" s="366"/>
      <c r="P3" s="350"/>
      <c r="Q3" s="350"/>
      <c r="R3" s="350"/>
      <c r="S3" s="350"/>
      <c r="T3" s="350"/>
    </row>
    <row r="4" spans="1:23" x14ac:dyDescent="0.25">
      <c r="A4" s="353"/>
    </row>
    <row r="5" spans="1:23" x14ac:dyDescent="0.25">
      <c r="E5" s="246" t="s">
        <v>1848</v>
      </c>
      <c r="F5" s="246" t="s">
        <v>1849</v>
      </c>
      <c r="G5" s="246" t="s">
        <v>1850</v>
      </c>
      <c r="H5" s="246" t="s">
        <v>1851</v>
      </c>
      <c r="I5" s="246" t="s">
        <v>1852</v>
      </c>
      <c r="J5" s="246" t="s">
        <v>1853</v>
      </c>
      <c r="K5" s="246" t="s">
        <v>29</v>
      </c>
      <c r="L5" s="246" t="s">
        <v>29</v>
      </c>
      <c r="N5" s="576" t="s">
        <v>3472</v>
      </c>
      <c r="O5" s="576"/>
      <c r="P5" s="576"/>
      <c r="T5" s="246"/>
    </row>
    <row r="6" spans="1:23" x14ac:dyDescent="0.25">
      <c r="A6" s="355" t="s">
        <v>193</v>
      </c>
      <c r="N6" s="553" t="s">
        <v>1953</v>
      </c>
      <c r="O6" s="554">
        <f>SUM(A87:A92)</f>
        <v>1974417.1599999992</v>
      </c>
      <c r="P6" s="554" t="s">
        <v>3473</v>
      </c>
      <c r="Q6" s="555" t="s">
        <v>3478</v>
      </c>
    </row>
    <row r="7" spans="1:23" x14ac:dyDescent="0.25">
      <c r="A7" s="437" t="s">
        <v>1854</v>
      </c>
      <c r="E7" s="427">
        <f>VLOOKUP(B49,'Full Trial Balance'!$A$4:$G$2306,7,FALSE)</f>
        <v>408071.7</v>
      </c>
      <c r="F7" s="507">
        <f>VLOOKUP(B50,'Full Trial Balance'!$A$4:$G$2306,7,FALSE)</f>
        <v>157443.74</v>
      </c>
      <c r="G7" s="507">
        <f>VLOOKUP(B51,'Full Trial Balance'!$A$4:$G$2306,7,FALSE)</f>
        <v>1664918.95</v>
      </c>
      <c r="H7" s="507">
        <f>VLOOKUP(B52,'Full Trial Balance'!$A$4:$G$2306,7,FALSE)</f>
        <v>649090.94999999995</v>
      </c>
      <c r="I7" s="507">
        <f>VLOOKUP(B53,'Full Trial Balance'!$A$4:$G$2306,7,FALSE)</f>
        <v>204725.42</v>
      </c>
      <c r="J7" s="507">
        <f>VLOOKUP(B54,'Full Trial Balance'!$A$4:$G$2306,7,FALSE)</f>
        <v>0</v>
      </c>
      <c r="K7" s="356">
        <f>SUM(E7:J7)</f>
        <v>3084250.76</v>
      </c>
      <c r="L7" s="507">
        <f>SUM(G7:H7)</f>
        <v>2314009.9</v>
      </c>
      <c r="N7" s="491" t="s">
        <v>2004</v>
      </c>
      <c r="O7" s="488">
        <f>SUM(A93:A98)</f>
        <v>513527.68000000005</v>
      </c>
      <c r="P7" s="488" t="s">
        <v>3474</v>
      </c>
      <c r="Q7" s="509"/>
      <c r="R7" s="529"/>
      <c r="S7" s="470"/>
      <c r="T7" s="360"/>
      <c r="U7" s="470"/>
      <c r="V7" s="470"/>
      <c r="W7" s="470"/>
    </row>
    <row r="8" spans="1:23" x14ac:dyDescent="0.25">
      <c r="A8" s="437" t="s">
        <v>1855</v>
      </c>
      <c r="E8" s="427">
        <f>VLOOKUP(B55,'Full Trial Balance'!$A$4:$G$2306,7,FALSE)</f>
        <v>237869.13</v>
      </c>
      <c r="F8" s="427">
        <f>VLOOKUP(B56,'Full Trial Balance'!$A$4:$G$2306,7,FALSE)</f>
        <v>67962.63</v>
      </c>
      <c r="G8" s="427">
        <f>VLOOKUP(B57,'Full Trial Balance'!$A$4:$G$2306,7,FALSE)</f>
        <v>424766.36</v>
      </c>
      <c r="H8" s="427">
        <f>VLOOKUP(B58,'Full Trial Balance'!$A$4:$G$2306,7,FALSE)</f>
        <v>118934.53</v>
      </c>
      <c r="I8" s="427">
        <v>0</v>
      </c>
      <c r="J8" s="427">
        <v>0</v>
      </c>
      <c r="K8" s="356">
        <f>SUM(E8:J8)</f>
        <v>849532.65</v>
      </c>
      <c r="L8" s="507">
        <f>SUM(G8:H8)</f>
        <v>543700.89</v>
      </c>
      <c r="M8" s="356"/>
      <c r="N8" s="491" t="s">
        <v>1967</v>
      </c>
      <c r="O8" s="488">
        <f>SUM(A99:A104)</f>
        <v>230763.25</v>
      </c>
      <c r="P8" s="488" t="s">
        <v>3475</v>
      </c>
      <c r="Q8" s="509"/>
      <c r="R8" s="529"/>
      <c r="S8" s="470"/>
      <c r="T8" s="360"/>
      <c r="U8" s="470"/>
      <c r="V8" s="470"/>
      <c r="W8" s="470"/>
    </row>
    <row r="9" spans="1:23" x14ac:dyDescent="0.25">
      <c r="A9" s="437" t="s">
        <v>1856</v>
      </c>
      <c r="E9" s="507">
        <f>VLOOKUP(B59,'Full Trial Balance'!$A$4:$G$2306,7,FALSE)</f>
        <v>999752.05</v>
      </c>
      <c r="F9" s="507">
        <f>VLOOKUP(B60,'Full Trial Balance'!$A$4:$G$2306,7,FALSE)</f>
        <v>233871.05</v>
      </c>
      <c r="G9" s="507">
        <f>VLOOKUP(B61,'Full Trial Balance'!$A$4:$G$2306,7,FALSE)</f>
        <v>1699505.23</v>
      </c>
      <c r="H9" s="507">
        <f>VLOOKUP(B62,'Full Trial Balance'!$A$4:$G$2306,7,FALSE)</f>
        <v>399604.18</v>
      </c>
      <c r="I9" s="507">
        <f>VLOOKUP(B63,'Full Trial Balance'!$A$4:$G$2306,7,FALSE)</f>
        <v>0</v>
      </c>
      <c r="J9" s="507">
        <f>VLOOKUP(B64,'Full Trial Balance'!$A$4:$G$2306,7,FALSE)</f>
        <v>0</v>
      </c>
      <c r="K9" s="356">
        <f>SUM(E9:J9)</f>
        <v>3332732.5100000002</v>
      </c>
      <c r="L9" s="507">
        <f>SUM(G9:H9)</f>
        <v>2099109.41</v>
      </c>
      <c r="M9" s="356"/>
      <c r="N9" s="491" t="s">
        <v>1965</v>
      </c>
      <c r="O9" s="488">
        <f>SUM(A105:A110)</f>
        <v>818500.77</v>
      </c>
      <c r="P9" s="488" t="s">
        <v>3476</v>
      </c>
      <c r="Q9" s="509"/>
      <c r="R9" s="529"/>
      <c r="S9" s="470"/>
      <c r="T9" s="360"/>
      <c r="U9" s="470"/>
      <c r="V9" s="470"/>
      <c r="W9" s="470"/>
    </row>
    <row r="10" spans="1:23" ht="15" customHeight="1" x14ac:dyDescent="0.25">
      <c r="A10" s="437" t="s">
        <v>1857</v>
      </c>
      <c r="E10" s="507">
        <f>VLOOKUP(B65,'Full Trial Balance'!$A$4:$G$2306,7,FALSE)</f>
        <v>0</v>
      </c>
      <c r="F10" s="507">
        <f>VLOOKUP(B66,'Full Trial Balance'!$A$4:$G$2306,7,FALSE)</f>
        <v>0</v>
      </c>
      <c r="G10" s="560">
        <v>0</v>
      </c>
      <c r="H10" s="507">
        <f>VLOOKUP(B68,'Full Trial Balance'!$A$4:$G$2306,7,FALSE)</f>
        <v>0</v>
      </c>
      <c r="I10" s="507">
        <f>VLOOKUP(B69,'Full Trial Balance'!$A$4:$G$2306,7,FALSE)</f>
        <v>0</v>
      </c>
      <c r="J10" s="507">
        <f>VLOOKUP(B67,'Full Trial Balance'!$A$4:$G$2306,7,FALSE)</f>
        <v>100268.08</v>
      </c>
      <c r="K10" s="356">
        <f>SUM(E10:J10)</f>
        <v>100268.08</v>
      </c>
      <c r="L10" s="507">
        <f>SUM(G10:H10)</f>
        <v>0</v>
      </c>
      <c r="M10" s="356"/>
      <c r="N10" s="553" t="s">
        <v>2540</v>
      </c>
      <c r="O10" s="554">
        <f>SUM(A111:A112)</f>
        <v>492875.26</v>
      </c>
      <c r="P10" s="554" t="s">
        <v>3477</v>
      </c>
      <c r="Q10" s="555" t="s">
        <v>3478</v>
      </c>
      <c r="R10" s="546"/>
      <c r="S10" s="470"/>
      <c r="T10" s="360"/>
      <c r="U10" s="470"/>
      <c r="V10" s="470"/>
      <c r="W10" s="470"/>
    </row>
    <row r="11" spans="1:23" ht="15.75" thickBot="1" x14ac:dyDescent="0.3">
      <c r="A11" s="357" t="s">
        <v>1858</v>
      </c>
      <c r="E11" s="428">
        <f>SUM(E7:E10)</f>
        <v>1645692.8800000001</v>
      </c>
      <c r="F11" s="428">
        <f t="shared" ref="F11:L11" si="0">SUM(F7:F10)</f>
        <v>459277.42</v>
      </c>
      <c r="G11" s="428">
        <f t="shared" si="0"/>
        <v>3789190.54</v>
      </c>
      <c r="H11" s="428">
        <f t="shared" si="0"/>
        <v>1167629.6599999999</v>
      </c>
      <c r="I11" s="428">
        <f t="shared" si="0"/>
        <v>204725.42</v>
      </c>
      <c r="J11" s="428">
        <f>SUM(J7:J10)</f>
        <v>100268.08</v>
      </c>
      <c r="K11" s="428">
        <f t="shared" si="0"/>
        <v>7366784</v>
      </c>
      <c r="L11" s="428">
        <f t="shared" si="0"/>
        <v>4956820.2</v>
      </c>
      <c r="M11" s="356"/>
      <c r="N11" s="548"/>
      <c r="O11" s="552">
        <f>SUM(O6:O10)</f>
        <v>4030084.1199999992</v>
      </c>
      <c r="P11" s="546"/>
      <c r="Q11" s="546"/>
      <c r="R11" s="546"/>
      <c r="S11" s="470"/>
      <c r="T11" s="358"/>
      <c r="U11" s="470"/>
      <c r="V11" s="470"/>
      <c r="W11" s="470"/>
    </row>
    <row r="12" spans="1:23" ht="15.75" thickTop="1" x14ac:dyDescent="0.25">
      <c r="A12" s="357"/>
      <c r="E12" s="358"/>
      <c r="F12" s="358"/>
      <c r="G12" s="358"/>
      <c r="H12" s="358"/>
      <c r="I12" s="358"/>
      <c r="J12" s="358"/>
      <c r="K12" s="358"/>
      <c r="M12" s="356"/>
      <c r="N12" s="548"/>
      <c r="O12" s="546"/>
      <c r="P12" s="546"/>
      <c r="Q12" s="546"/>
      <c r="R12" s="546"/>
      <c r="S12" s="470"/>
      <c r="T12" s="358"/>
      <c r="U12" s="470"/>
      <c r="V12" s="470"/>
      <c r="W12" s="470"/>
    </row>
    <row r="13" spans="1:23" x14ac:dyDescent="0.25">
      <c r="A13" s="351" t="s">
        <v>1859</v>
      </c>
      <c r="E13" s="358"/>
      <c r="F13" s="358"/>
      <c r="G13" s="358"/>
      <c r="H13" s="358"/>
      <c r="I13" s="358"/>
      <c r="J13" s="358"/>
      <c r="K13" s="358"/>
      <c r="M13" s="356"/>
      <c r="N13" s="546"/>
      <c r="O13" s="546"/>
      <c r="P13" s="546"/>
      <c r="Q13" s="546"/>
      <c r="R13" s="546"/>
      <c r="S13" s="470"/>
      <c r="T13" s="358"/>
      <c r="U13" s="470"/>
      <c r="V13" s="470"/>
      <c r="W13" s="470"/>
    </row>
    <row r="14" spans="1:23" x14ac:dyDescent="0.25">
      <c r="A14" s="437" t="s">
        <v>1860</v>
      </c>
      <c r="E14" s="507">
        <f>VLOOKUP(B71,'Full Trial Balance'!$A$4:$G$2306,7,FALSE)</f>
        <v>1014128.21</v>
      </c>
      <c r="F14" s="507">
        <f>VLOOKUP(B72,'Full Trial Balance'!$A$4:$G$2306,7,FALSE)</f>
        <v>313511.82</v>
      </c>
      <c r="G14" s="507">
        <f>VLOOKUP(B73,'Full Trial Balance'!$A$4:$G$2306,7,FALSE)</f>
        <v>0</v>
      </c>
      <c r="H14" s="507">
        <f>VLOOKUP(B74,'Full Trial Balance'!$A$4:$G$2306,7,FALSE)</f>
        <v>783985.9</v>
      </c>
      <c r="I14" s="507">
        <f>VLOOKUP(B75,'Full Trial Balance'!$A$4:$G$2306,7,FALSE)</f>
        <v>0</v>
      </c>
      <c r="J14" s="507">
        <f>VLOOKUP(B76,'Full Trial Balance'!$A$4:$G$2306,7,FALSE)</f>
        <v>0</v>
      </c>
      <c r="K14" s="356">
        <f>SUM(E14:J14)</f>
        <v>2111625.9300000002</v>
      </c>
      <c r="L14" s="507">
        <f>SUM(G14:H14)</f>
        <v>783985.9</v>
      </c>
      <c r="N14" s="576" t="s">
        <v>3479</v>
      </c>
      <c r="O14" s="576"/>
      <c r="P14" s="576"/>
      <c r="Q14" s="528"/>
      <c r="R14" s="528"/>
      <c r="S14" s="470"/>
      <c r="T14" s="360"/>
      <c r="U14" s="470"/>
      <c r="V14" s="470"/>
      <c r="W14" s="470"/>
    </row>
    <row r="15" spans="1:23" x14ac:dyDescent="0.25">
      <c r="A15" s="437" t="s">
        <v>1861</v>
      </c>
      <c r="E15" s="507">
        <f>VLOOKUP(B81,'Full Trial Balance'!$A$4:$G$2306,7,FALSE)</f>
        <v>401927.02</v>
      </c>
      <c r="F15" s="507">
        <f>VLOOKUP(B82,'Full Trial Balance'!$A$4:$G$2306,7,FALSE)</f>
        <v>301877.81</v>
      </c>
      <c r="G15" s="507">
        <f>VLOOKUP(B83,'Full Trial Balance'!$A$4:$G$2306,7,FALSE)+VLOOKUP(B85,'Full Trial Balance'!$A$4:$G$2306,7,FALSE)</f>
        <v>1910552.94</v>
      </c>
      <c r="H15" s="507">
        <f>VLOOKUP(B84,'Full Trial Balance'!$A$4:$G$2306,7,FALSE)+VLOOKUP(B86,'Full Trial Balance'!$A$4:$G$2306,7,FALSE)</f>
        <v>273046.51</v>
      </c>
      <c r="I15" s="507">
        <v>0</v>
      </c>
      <c r="J15" s="507">
        <v>0</v>
      </c>
      <c r="K15" s="356">
        <f>SUM(E15:J15)</f>
        <v>2887404.2800000003</v>
      </c>
      <c r="L15" s="507">
        <f>SUM(G15:H15)</f>
        <v>2183599.4500000002</v>
      </c>
      <c r="N15" s="553" t="s">
        <v>1953</v>
      </c>
      <c r="O15" s="554">
        <v>1974417.16</v>
      </c>
      <c r="P15" s="554" t="s">
        <v>3473</v>
      </c>
      <c r="Q15" s="529"/>
      <c r="R15" s="529"/>
      <c r="S15" s="470"/>
      <c r="T15" s="360"/>
      <c r="U15" s="470"/>
      <c r="V15" s="470"/>
      <c r="W15" s="470"/>
    </row>
    <row r="16" spans="1:23" x14ac:dyDescent="0.25">
      <c r="A16" s="437" t="s">
        <v>1862</v>
      </c>
      <c r="E16" s="356">
        <f>VLOOKUP(B77,'Full Trial Balance'!$A$4:$G$2306,7,FALSE)</f>
        <v>1712835.54</v>
      </c>
      <c r="F16" s="356">
        <f>VLOOKUP(B78,'Full Trial Balance'!$A$4:$G$2306,7,FALSE)</f>
        <v>827325.35</v>
      </c>
      <c r="G16" s="356">
        <f>VLOOKUP(B79,'Full Trial Balance'!$A$4:$G$2306,7,FALSE)</f>
        <v>1421923.71</v>
      </c>
      <c r="H16" s="356">
        <f>VLOOKUP(B80,'Full Trial Balance'!$A$4:$G$2306,7,FALSE)</f>
        <v>710961.85</v>
      </c>
      <c r="I16" s="356">
        <v>0</v>
      </c>
      <c r="J16" s="356">
        <v>0</v>
      </c>
      <c r="K16" s="356">
        <f>SUM(E16:J16)</f>
        <v>4673046.45</v>
      </c>
      <c r="L16" s="507">
        <f>SUM(G16:H16)</f>
        <v>2132885.56</v>
      </c>
      <c r="N16" s="553" t="s">
        <v>2540</v>
      </c>
      <c r="O16" s="554">
        <v>492875.26</v>
      </c>
      <c r="P16" s="554" t="s">
        <v>3477</v>
      </c>
      <c r="Q16" s="470"/>
      <c r="R16" s="470"/>
      <c r="S16" s="470"/>
      <c r="T16" s="360"/>
      <c r="U16" s="470"/>
      <c r="V16" s="470"/>
      <c r="W16" s="470"/>
    </row>
    <row r="17" spans="1:23" ht="15.75" thickBot="1" x14ac:dyDescent="0.3">
      <c r="A17" s="357" t="s">
        <v>1863</v>
      </c>
      <c r="E17" s="359">
        <f>SUM(E14:E16)</f>
        <v>3128890.77</v>
      </c>
      <c r="F17" s="359">
        <f t="shared" ref="F17:L17" si="1">SUM(F14:F16)</f>
        <v>1442714.98</v>
      </c>
      <c r="G17" s="359">
        <f t="shared" si="1"/>
        <v>3332476.65</v>
      </c>
      <c r="H17" s="359">
        <f t="shared" si="1"/>
        <v>1767994.2600000002</v>
      </c>
      <c r="I17" s="359">
        <f t="shared" si="1"/>
        <v>0</v>
      </c>
      <c r="J17" s="359">
        <f t="shared" si="1"/>
        <v>0</v>
      </c>
      <c r="K17" s="359">
        <f t="shared" si="1"/>
        <v>9672076.6600000001</v>
      </c>
      <c r="L17" s="359">
        <f t="shared" si="1"/>
        <v>5100470.91</v>
      </c>
      <c r="N17" s="491" t="s">
        <v>1959</v>
      </c>
      <c r="O17" s="488">
        <v>14446.88</v>
      </c>
      <c r="P17" s="488" t="s">
        <v>3480</v>
      </c>
      <c r="Q17" s="470"/>
      <c r="R17" s="470"/>
      <c r="S17" s="470"/>
      <c r="T17" s="360"/>
      <c r="U17" s="470"/>
      <c r="V17" s="470"/>
      <c r="W17" s="470"/>
    </row>
    <row r="18" spans="1:23" ht="15.75" thickTop="1" x14ac:dyDescent="0.25">
      <c r="A18" s="357"/>
      <c r="E18" s="360"/>
      <c r="F18" s="360"/>
      <c r="G18" s="360"/>
      <c r="H18" s="360"/>
      <c r="I18" s="360"/>
      <c r="J18" s="360"/>
      <c r="K18" s="360"/>
      <c r="N18" s="491" t="s">
        <v>1961</v>
      </c>
      <c r="O18" s="488">
        <v>809820.71</v>
      </c>
      <c r="P18" s="488" t="s">
        <v>3481</v>
      </c>
      <c r="Q18" s="470"/>
      <c r="R18" s="470"/>
      <c r="S18" s="470"/>
      <c r="T18" s="360"/>
      <c r="U18" s="470"/>
      <c r="V18" s="470"/>
      <c r="W18" s="470"/>
    </row>
    <row r="19" spans="1:23" ht="15" customHeight="1" x14ac:dyDescent="0.25">
      <c r="A19" s="437" t="s">
        <v>3470</v>
      </c>
      <c r="E19" s="507">
        <f>VLOOKUP(B87,'Full Trial Balance'!$A$4:$G$2306,7,FALSE)+VLOOKUP(B93,'Full Trial Balance'!$A$4:$G$2306,7,FALSE)+VLOOKUP(B99,'Full Trial Balance'!$A$4:$G$2306,7,FALSE)+VLOOKUP(B105,'Full Trial Balance'!$A$4:$G$2306,7,FALSE)+VLOOKUP(B92,'Full Trial Balance'!$A$4:$G$2306,7,FALSE)</f>
        <v>1202603.0799999991</v>
      </c>
      <c r="F19" s="507">
        <f>VLOOKUP(B88,'Full Trial Balance'!$A$4:$G$2306,7,FALSE)+VLOOKUP(B94,'Full Trial Balance'!$A$4:$G$2306,7,FALSE)+VLOOKUP(B100,'Full Trial Balance'!$A$4:$G$2306,7,FALSE)+VLOOKUP(B106,'Full Trial Balance'!$A$4:$G$2306,7,FALSE)</f>
        <v>1109445.3500000001</v>
      </c>
      <c r="G19" s="507">
        <f>VLOOKUP(B89,'Full Trial Balance'!$A$4:$G$2306,7,FALSE)+VLOOKUP(B95,'Full Trial Balance'!$A$4:$G$2306,7,FALSE)+VLOOKUP(B101,'Full Trial Balance'!$A$4:$G$2306,7,FALSE)+VLOOKUP(B107,'Full Trial Balance'!$A$4:$G$2306,7,FALSE)+VLOOKUP(B111,'Full Trial Balance'!$A$4:$G$2306,7,FALSE)</f>
        <v>1152283.6400000001</v>
      </c>
      <c r="H19" s="507">
        <f>VLOOKUP(B90,'Full Trial Balance'!$A$4:$G$2306,7,FALSE)+VLOOKUP(B96,'Full Trial Balance'!$A$4:$G$2306,7,FALSE)+VLOOKUP(B102,'Full Trial Balance'!$A$4:$G$2306,7,FALSE)+VLOOKUP(B108,'Full Trial Balance'!$A$4:$G$2306,7,FALSE)+VLOOKUP(B112,'Full Trial Balance'!$A$4:$G$2306,7,FALSE)+VLOOKUP(B91,'Full Trial Balance'!$A$4:$G$2306,7,FALSE)</f>
        <v>565752.05000000028</v>
      </c>
      <c r="I19" s="507">
        <f>VLOOKUP(B91,'Full Trial Balance'!$A$4:$G$2306,7,FALSE)+VLOOKUP(B97,'Full Trial Balance'!$A$4:$G$2306,7,FALSE)+VLOOKUP(B103,'Full Trial Balance'!$A$4:$G$2306,7,FALSE)+VLOOKUP(B109,'Full Trial Balance'!$A$4:$G$2306,7,FALSE)-VLOOKUP(B91,'Full Trial Balance'!$A$4:$G$2306,7,FALSE)</f>
        <v>0</v>
      </c>
      <c r="J19" s="507">
        <f>VLOOKUP(B92,'Full Trial Balance'!$A$4:$G$2306,7,FALSE)+VLOOKUP(B98,'Full Trial Balance'!$A$4:$G$2306,7,FALSE)+VLOOKUP(B104,'Full Trial Balance'!$A$4:$G$2306,7,FALSE)+VLOOKUP(B110,'Full Trial Balance'!$A$4:$G$2306,7,FALSE)-VLOOKUP(B92,'Full Trial Balance'!$A$4:$G$2306,7,FALSE)</f>
        <v>0</v>
      </c>
      <c r="K19" s="518">
        <f>SUM(E19:J19)</f>
        <v>4030084.1199999996</v>
      </c>
      <c r="L19" s="507">
        <f>SUM(G19:H19)</f>
        <v>1718035.6900000004</v>
      </c>
      <c r="N19" s="491" t="s">
        <v>2543</v>
      </c>
      <c r="O19" s="488">
        <v>636351.79</v>
      </c>
      <c r="P19" s="488" t="s">
        <v>3482</v>
      </c>
      <c r="Q19" s="470"/>
      <c r="R19" s="470"/>
      <c r="S19" s="470"/>
      <c r="T19" s="360"/>
      <c r="U19" s="470"/>
      <c r="V19" s="527"/>
      <c r="W19" s="470"/>
    </row>
    <row r="20" spans="1:23" ht="15.75" thickBot="1" x14ac:dyDescent="0.3">
      <c r="N20" s="548"/>
      <c r="O20" s="552">
        <f>SUM(O15:O19)</f>
        <v>3927911.8</v>
      </c>
      <c r="P20" s="470"/>
      <c r="Q20" s="470"/>
      <c r="R20" s="470"/>
      <c r="S20" s="470"/>
      <c r="T20" s="470"/>
      <c r="U20" s="470"/>
      <c r="V20" s="526"/>
      <c r="W20" s="470"/>
    </row>
    <row r="21" spans="1:23" ht="16.5" thickTop="1" thickBot="1" x14ac:dyDescent="0.3">
      <c r="A21" s="463" t="s">
        <v>3465</v>
      </c>
      <c r="B21" s="353"/>
      <c r="C21" s="353"/>
      <c r="D21" s="353"/>
      <c r="E21" s="361">
        <f>E11+E17+E19</f>
        <v>5977186.7299999995</v>
      </c>
      <c r="F21" s="361">
        <f t="shared" ref="F21:L21" si="2">F11+F17+F19</f>
        <v>3011437.75</v>
      </c>
      <c r="G21" s="361">
        <f t="shared" si="2"/>
        <v>8273950.8300000001</v>
      </c>
      <c r="H21" s="361">
        <f t="shared" si="2"/>
        <v>3501375.97</v>
      </c>
      <c r="I21" s="361">
        <f t="shared" si="2"/>
        <v>204725.42</v>
      </c>
      <c r="J21" s="361">
        <f t="shared" si="2"/>
        <v>100268.08</v>
      </c>
      <c r="K21" s="361">
        <f t="shared" si="2"/>
        <v>21068944.780000001</v>
      </c>
      <c r="L21" s="361">
        <f t="shared" si="2"/>
        <v>11775326.800000001</v>
      </c>
      <c r="M21" s="362"/>
      <c r="N21" s="548"/>
      <c r="O21" s="469"/>
      <c r="P21" s="469"/>
      <c r="Q21" s="469"/>
      <c r="R21" s="469"/>
      <c r="S21" s="469"/>
      <c r="T21" s="363"/>
      <c r="U21" s="469"/>
      <c r="V21" s="469"/>
      <c r="W21" s="469"/>
    </row>
    <row r="22" spans="1:23" ht="15.75" thickTop="1" x14ac:dyDescent="0.25">
      <c r="A22" s="353"/>
      <c r="B22" s="353"/>
      <c r="C22" s="353"/>
      <c r="D22" s="353"/>
      <c r="E22" s="363"/>
      <c r="F22" s="363"/>
      <c r="G22" s="363"/>
      <c r="H22" s="363"/>
      <c r="I22" s="363"/>
      <c r="J22" s="363"/>
      <c r="K22" s="363"/>
      <c r="L22" s="353"/>
      <c r="M22" s="362"/>
      <c r="N22" s="548"/>
      <c r="O22" s="469"/>
      <c r="P22" s="469"/>
      <c r="Q22" s="469"/>
      <c r="R22" s="469"/>
      <c r="S22" s="469"/>
      <c r="T22" s="363"/>
      <c r="U22" s="469"/>
      <c r="V22" s="469"/>
      <c r="W22" s="469"/>
    </row>
    <row r="23" spans="1:23" x14ac:dyDescent="0.25">
      <c r="A23" s="470"/>
      <c r="B23" s="471"/>
      <c r="C23" s="471"/>
      <c r="D23" s="471"/>
      <c r="E23" s="364"/>
      <c r="F23" s="364"/>
      <c r="G23" s="364"/>
      <c r="H23" s="364"/>
      <c r="I23" s="364"/>
      <c r="J23" s="364"/>
      <c r="K23" s="360"/>
      <c r="L23" s="354"/>
      <c r="M23" s="365"/>
      <c r="N23" s="548"/>
      <c r="O23" s="471"/>
      <c r="P23" s="471"/>
      <c r="Q23" s="471"/>
      <c r="R23" s="471"/>
      <c r="S23" s="471"/>
      <c r="T23" s="360"/>
      <c r="U23" s="471"/>
      <c r="V23" s="471"/>
      <c r="W23" s="471"/>
    </row>
    <row r="24" spans="1:23" x14ac:dyDescent="0.25">
      <c r="A24" s="470" t="s">
        <v>3471</v>
      </c>
      <c r="B24" s="471"/>
      <c r="C24" s="471"/>
      <c r="D24" s="471"/>
      <c r="E24" s="364">
        <f t="shared" ref="E24:J24" si="3">E17</f>
        <v>3128890.77</v>
      </c>
      <c r="F24" s="364">
        <f t="shared" si="3"/>
        <v>1442714.98</v>
      </c>
      <c r="G24" s="364">
        <f t="shared" si="3"/>
        <v>3332476.65</v>
      </c>
      <c r="H24" s="364">
        <f t="shared" si="3"/>
        <v>1767994.2600000002</v>
      </c>
      <c r="I24" s="364">
        <f t="shared" si="3"/>
        <v>0</v>
      </c>
      <c r="J24" s="364">
        <f t="shared" si="3"/>
        <v>0</v>
      </c>
      <c r="K24" s="364">
        <f>SUM(E24:J24)</f>
        <v>9672076.6600000001</v>
      </c>
      <c r="L24" s="507">
        <f>SUM(G24:H24)</f>
        <v>5100470.91</v>
      </c>
      <c r="M24" s="365"/>
      <c r="N24" s="547"/>
      <c r="O24" s="471"/>
      <c r="P24" s="471"/>
      <c r="Q24" s="471"/>
      <c r="R24" s="471"/>
      <c r="S24" s="471"/>
      <c r="T24" s="360"/>
      <c r="U24" s="471"/>
      <c r="V24" s="471"/>
      <c r="W24" s="471"/>
    </row>
    <row r="25" spans="1:23" x14ac:dyDescent="0.25">
      <c r="A25" s="470" t="s">
        <v>1923</v>
      </c>
      <c r="B25" s="471"/>
      <c r="C25" s="471"/>
      <c r="D25" s="471"/>
      <c r="E25" s="472">
        <v>1000000</v>
      </c>
      <c r="F25" s="472">
        <v>1000000</v>
      </c>
      <c r="G25" s="472">
        <v>1000000</v>
      </c>
      <c r="H25" s="472">
        <v>1000000</v>
      </c>
      <c r="I25" s="472">
        <v>0</v>
      </c>
      <c r="J25" s="472">
        <v>0</v>
      </c>
      <c r="K25" s="472">
        <f>SUM(E25:J25)</f>
        <v>4000000</v>
      </c>
      <c r="L25" s="565">
        <f>SUM(G25:H25)</f>
        <v>2000000</v>
      </c>
      <c r="M25" s="365"/>
      <c r="N25" s="547"/>
      <c r="O25" s="471"/>
      <c r="P25" s="471"/>
      <c r="Q25" s="471"/>
      <c r="R25" s="471"/>
      <c r="S25" s="471"/>
      <c r="T25" s="360"/>
      <c r="U25" s="471"/>
      <c r="V25" s="471"/>
      <c r="W25" s="471"/>
    </row>
    <row r="26" spans="1:23" x14ac:dyDescent="0.25">
      <c r="A26" s="473" t="s">
        <v>3466</v>
      </c>
      <c r="B26" s="473"/>
      <c r="C26" s="473"/>
      <c r="D26" s="473"/>
      <c r="E26" s="474">
        <f>E24-E25</f>
        <v>2128890.77</v>
      </c>
      <c r="F26" s="474">
        <f t="shared" ref="F26:L26" si="4">F24-F25</f>
        <v>442714.98</v>
      </c>
      <c r="G26" s="474">
        <f t="shared" si="4"/>
        <v>2332476.65</v>
      </c>
      <c r="H26" s="474">
        <f t="shared" si="4"/>
        <v>767994.26000000024</v>
      </c>
      <c r="I26" s="474">
        <f t="shared" si="4"/>
        <v>0</v>
      </c>
      <c r="J26" s="474">
        <f t="shared" si="4"/>
        <v>0</v>
      </c>
      <c r="K26" s="474">
        <f t="shared" si="4"/>
        <v>5672076.6600000001</v>
      </c>
      <c r="L26" s="474">
        <f t="shared" si="4"/>
        <v>3100470.91</v>
      </c>
      <c r="M26" s="365"/>
      <c r="N26" s="549"/>
      <c r="O26" s="471"/>
      <c r="P26" s="471"/>
      <c r="Q26" s="471"/>
      <c r="R26" s="471"/>
      <c r="S26" s="471"/>
      <c r="T26" s="360"/>
      <c r="U26" s="471"/>
      <c r="V26" s="471"/>
      <c r="W26" s="471"/>
    </row>
    <row r="27" spans="1:23" s="509" customFormat="1" x14ac:dyDescent="0.25">
      <c r="A27" s="473"/>
      <c r="B27" s="473"/>
      <c r="C27" s="473"/>
      <c r="D27" s="473"/>
      <c r="E27" s="474"/>
      <c r="F27" s="474"/>
      <c r="G27" s="474"/>
      <c r="H27" s="474"/>
      <c r="I27" s="474"/>
      <c r="J27" s="474"/>
      <c r="K27" s="474"/>
      <c r="L27" s="354"/>
      <c r="M27" s="365"/>
      <c r="N27" s="549"/>
      <c r="O27" s="471"/>
      <c r="P27" s="471"/>
      <c r="Q27" s="471"/>
      <c r="R27" s="471"/>
      <c r="S27" s="471"/>
      <c r="T27" s="360"/>
      <c r="U27" s="471"/>
      <c r="V27" s="471"/>
      <c r="W27" s="471"/>
    </row>
    <row r="28" spans="1:23" x14ac:dyDescent="0.25">
      <c r="A28" s="470" t="s">
        <v>3483</v>
      </c>
      <c r="B28" s="470"/>
      <c r="C28" s="470"/>
      <c r="D28" s="470"/>
      <c r="E28" s="358">
        <f t="shared" ref="E28:J28" si="5">E19</f>
        <v>1202603.0799999991</v>
      </c>
      <c r="F28" s="358">
        <f t="shared" si="5"/>
        <v>1109445.3500000001</v>
      </c>
      <c r="G28" s="358">
        <f t="shared" si="5"/>
        <v>1152283.6400000001</v>
      </c>
      <c r="H28" s="358">
        <f t="shared" si="5"/>
        <v>565752.05000000028</v>
      </c>
      <c r="I28" s="358">
        <f t="shared" si="5"/>
        <v>0</v>
      </c>
      <c r="J28" s="358">
        <f t="shared" si="5"/>
        <v>0</v>
      </c>
      <c r="K28" s="360">
        <f>SUM(E28:J28)</f>
        <v>4030084.1199999996</v>
      </c>
      <c r="L28" s="507">
        <f>SUM(G28:H28)</f>
        <v>1718035.6900000004</v>
      </c>
      <c r="N28" s="549"/>
      <c r="O28" s="470"/>
      <c r="P28" s="470"/>
      <c r="Q28" s="470"/>
      <c r="R28" s="470"/>
      <c r="S28" s="470"/>
      <c r="T28" s="360"/>
      <c r="U28" s="470"/>
      <c r="V28" s="470"/>
      <c r="W28" s="470"/>
    </row>
    <row r="29" spans="1:23" x14ac:dyDescent="0.25">
      <c r="A29" s="470" t="s">
        <v>1924</v>
      </c>
      <c r="B29" s="469"/>
      <c r="C29" s="469"/>
      <c r="D29" s="469"/>
      <c r="E29" s="475">
        <f t="shared" ref="E29:J29" si="6">E32/2</f>
        <v>1311241.2200000002</v>
      </c>
      <c r="F29" s="475">
        <f t="shared" si="6"/>
        <v>375850.56999999995</v>
      </c>
      <c r="G29" s="475">
        <f t="shared" si="6"/>
        <v>2751344.165</v>
      </c>
      <c r="H29" s="475">
        <f t="shared" si="6"/>
        <v>661181.06499999994</v>
      </c>
      <c r="I29" s="475">
        <v>0</v>
      </c>
      <c r="J29" s="475">
        <f t="shared" si="6"/>
        <v>0</v>
      </c>
      <c r="K29" s="475">
        <f>SUM(E29:J29)</f>
        <v>5099617.0199999996</v>
      </c>
      <c r="L29" s="565">
        <f>SUM(G29:H29)</f>
        <v>3412525.23</v>
      </c>
      <c r="M29" s="362"/>
      <c r="O29" s="469"/>
      <c r="P29" s="469"/>
      <c r="Q29" s="469"/>
      <c r="R29" s="469"/>
      <c r="S29" s="469"/>
      <c r="T29" s="363"/>
      <c r="U29" s="469"/>
      <c r="V29" s="469"/>
      <c r="W29" s="469"/>
    </row>
    <row r="30" spans="1:23" x14ac:dyDescent="0.25">
      <c r="A30" s="473" t="s">
        <v>3466</v>
      </c>
      <c r="B30" s="470"/>
      <c r="C30" s="470"/>
      <c r="D30" s="470"/>
      <c r="E30" s="474">
        <f>E28-E29</f>
        <v>-108638.14000000106</v>
      </c>
      <c r="F30" s="474">
        <f t="shared" ref="F30:L30" si="7">F28-F29</f>
        <v>733594.78000000014</v>
      </c>
      <c r="G30" s="474">
        <f t="shared" si="7"/>
        <v>-1599060.5249999999</v>
      </c>
      <c r="H30" s="474">
        <f t="shared" si="7"/>
        <v>-95429.014999999665</v>
      </c>
      <c r="I30" s="474">
        <f t="shared" si="7"/>
        <v>0</v>
      </c>
      <c r="J30" s="474">
        <f t="shared" si="7"/>
        <v>0</v>
      </c>
      <c r="K30" s="474">
        <f t="shared" si="7"/>
        <v>-1069532.8999999999</v>
      </c>
      <c r="L30" s="474">
        <f t="shared" si="7"/>
        <v>-1694489.5399999996</v>
      </c>
      <c r="M30" s="427"/>
      <c r="O30" s="470"/>
      <c r="P30" s="470"/>
      <c r="Q30" s="470"/>
      <c r="R30" s="470"/>
      <c r="S30" s="470"/>
      <c r="T30" s="470"/>
      <c r="U30" s="470"/>
      <c r="V30" s="470"/>
      <c r="W30" s="470"/>
    </row>
    <row r="31" spans="1:23" x14ac:dyDescent="0.25">
      <c r="A31" s="468"/>
      <c r="B31" s="469"/>
      <c r="C31" s="469"/>
      <c r="D31" s="469"/>
      <c r="E31" s="363"/>
      <c r="F31" s="363"/>
      <c r="G31" s="363"/>
      <c r="H31" s="363"/>
      <c r="I31" s="363"/>
      <c r="J31" s="363"/>
      <c r="K31" s="363"/>
      <c r="L31" s="353"/>
      <c r="M31" s="362"/>
      <c r="O31" s="469"/>
      <c r="P31" s="469"/>
      <c r="Q31" s="469"/>
      <c r="R31" s="469"/>
      <c r="S31" s="469"/>
      <c r="T31" s="363"/>
      <c r="U31" s="469"/>
      <c r="V31" s="469"/>
      <c r="W31" s="469"/>
    </row>
    <row r="32" spans="1:23" x14ac:dyDescent="0.25">
      <c r="A32" s="437" t="s">
        <v>3467</v>
      </c>
      <c r="E32" s="481">
        <f>'All Departments'!C74</f>
        <v>2622482.4400000004</v>
      </c>
      <c r="F32" s="481">
        <f>'All Departments'!I74</f>
        <v>751701.1399999999</v>
      </c>
      <c r="G32" s="481">
        <f>'All Departments'!O74</f>
        <v>5502688.3300000001</v>
      </c>
      <c r="H32" s="481">
        <f>'All Departments'!U74</f>
        <v>1322362.1299999999</v>
      </c>
      <c r="I32" s="481">
        <f>'All Departments'!AA74</f>
        <v>246368</v>
      </c>
      <c r="J32" s="481">
        <f>'All Departments'!AG74</f>
        <v>0</v>
      </c>
      <c r="K32" s="481">
        <f>SUM(E32:J32)</f>
        <v>10445602.039999999</v>
      </c>
      <c r="L32" s="507">
        <f>SUM(G32:H32)</f>
        <v>6825050.46</v>
      </c>
      <c r="O32" s="470"/>
      <c r="P32" s="470"/>
      <c r="Q32" s="470"/>
      <c r="R32" s="470"/>
      <c r="S32" s="470"/>
      <c r="T32" s="360"/>
      <c r="U32" s="470"/>
      <c r="V32" s="470"/>
      <c r="W32" s="470"/>
    </row>
    <row r="33" spans="1:23" s="509" customFormat="1" x14ac:dyDescent="0.25">
      <c r="A33" s="473"/>
      <c r="B33" s="473"/>
      <c r="C33" s="473"/>
      <c r="D33" s="473"/>
      <c r="E33" s="474"/>
      <c r="F33" s="474"/>
      <c r="G33" s="474"/>
      <c r="H33" s="474"/>
      <c r="I33" s="474"/>
      <c r="J33" s="474"/>
      <c r="K33" s="474"/>
      <c r="L33" s="354"/>
      <c r="M33" s="365"/>
      <c r="N33" s="549"/>
      <c r="O33" s="471"/>
      <c r="P33" s="471"/>
      <c r="Q33" s="471"/>
      <c r="R33" s="471"/>
      <c r="S33" s="471"/>
      <c r="T33" s="360"/>
      <c r="U33" s="471"/>
      <c r="V33" s="471"/>
      <c r="W33" s="471"/>
    </row>
    <row r="34" spans="1:23" s="509" customFormat="1" x14ac:dyDescent="0.25">
      <c r="A34" s="352" t="s">
        <v>1864</v>
      </c>
      <c r="B34" s="473"/>
      <c r="C34" s="473"/>
      <c r="D34" s="473"/>
      <c r="E34" s="474"/>
      <c r="F34" s="474"/>
      <c r="G34" s="474"/>
      <c r="H34" s="474"/>
      <c r="I34" s="474"/>
      <c r="J34" s="474"/>
      <c r="K34" s="474"/>
      <c r="L34" s="354"/>
      <c r="M34" s="365"/>
      <c r="N34" s="549"/>
      <c r="O34" s="471"/>
      <c r="P34" s="471"/>
      <c r="Q34" s="471"/>
      <c r="R34" s="471"/>
      <c r="S34" s="471"/>
      <c r="T34" s="360"/>
      <c r="U34" s="471"/>
      <c r="V34" s="471"/>
      <c r="W34" s="471"/>
    </row>
    <row r="35" spans="1:23" s="509" customFormat="1" x14ac:dyDescent="0.25">
      <c r="A35" s="352" t="s">
        <v>1912</v>
      </c>
      <c r="B35" s="473"/>
      <c r="C35" s="473"/>
      <c r="D35" s="473"/>
      <c r="E35" s="474"/>
      <c r="F35" s="474"/>
      <c r="G35" s="474"/>
      <c r="H35" s="474"/>
      <c r="I35" s="474"/>
      <c r="J35" s="474"/>
      <c r="K35" s="474"/>
      <c r="L35" s="354"/>
      <c r="M35" s="365"/>
      <c r="N35" s="549"/>
      <c r="O35" s="471"/>
      <c r="P35" s="471"/>
      <c r="Q35" s="471"/>
      <c r="R35" s="471"/>
      <c r="S35" s="471"/>
      <c r="T35" s="360"/>
      <c r="U35" s="471"/>
      <c r="V35" s="471"/>
      <c r="W35" s="471"/>
    </row>
    <row r="36" spans="1:23" s="509" customFormat="1" x14ac:dyDescent="0.25">
      <c r="A36" s="352" t="s">
        <v>1865</v>
      </c>
      <c r="B36" s="473"/>
      <c r="C36" s="473"/>
      <c r="D36" s="473"/>
      <c r="E36" s="474"/>
      <c r="F36" s="474"/>
      <c r="G36" s="474"/>
      <c r="H36" s="474"/>
      <c r="I36" s="474"/>
      <c r="J36" s="474"/>
      <c r="K36" s="474"/>
      <c r="L36" s="354"/>
      <c r="M36" s="365"/>
      <c r="N36" s="549"/>
      <c r="O36" s="471"/>
      <c r="P36" s="471"/>
      <c r="Q36" s="471"/>
      <c r="R36" s="471"/>
      <c r="S36" s="471"/>
      <c r="T36" s="360"/>
      <c r="U36" s="471"/>
      <c r="V36" s="471"/>
      <c r="W36" s="471"/>
    </row>
    <row r="37" spans="1:23" s="509" customFormat="1" x14ac:dyDescent="0.25">
      <c r="A37" s="352"/>
      <c r="B37" s="473"/>
      <c r="C37" s="473"/>
      <c r="D37" s="473"/>
      <c r="E37" s="474"/>
      <c r="F37" s="474"/>
      <c r="G37" s="474"/>
      <c r="H37" s="474"/>
      <c r="I37" s="474"/>
      <c r="J37" s="474"/>
      <c r="K37" s="474"/>
      <c r="L37" s="354"/>
      <c r="M37" s="365"/>
      <c r="N37" s="549"/>
      <c r="O37" s="471"/>
      <c r="P37" s="471"/>
      <c r="Q37" s="471"/>
      <c r="R37" s="471"/>
      <c r="S37" s="471"/>
      <c r="T37" s="360"/>
      <c r="U37" s="471"/>
      <c r="V37" s="471"/>
      <c r="W37" s="471"/>
    </row>
    <row r="38" spans="1:23" s="509" customFormat="1" x14ac:dyDescent="0.25">
      <c r="A38" s="352"/>
      <c r="B38" s="473"/>
      <c r="C38" s="473"/>
      <c r="D38" s="473"/>
      <c r="E38" s="474"/>
      <c r="F38" s="474"/>
      <c r="G38" s="474"/>
      <c r="H38" s="474"/>
      <c r="I38" s="474"/>
      <c r="J38" s="474"/>
      <c r="K38" s="474"/>
      <c r="L38" s="354"/>
      <c r="M38" s="365"/>
      <c r="N38" s="549"/>
      <c r="O38" s="471"/>
      <c r="P38" s="471"/>
      <c r="Q38" s="471"/>
      <c r="R38" s="471"/>
      <c r="S38" s="471"/>
      <c r="T38" s="360"/>
      <c r="U38" s="471"/>
      <c r="V38" s="471"/>
      <c r="W38" s="471"/>
    </row>
    <row r="39" spans="1:23" x14ac:dyDescent="0.25">
      <c r="A39" s="469"/>
      <c r="B39" s="469"/>
      <c r="C39" s="469"/>
      <c r="D39" s="469"/>
      <c r="E39" s="363"/>
      <c r="F39" s="363"/>
      <c r="G39" s="363"/>
      <c r="H39" s="363"/>
      <c r="I39" s="363"/>
      <c r="J39" s="363"/>
      <c r="K39" s="363"/>
      <c r="L39" s="353"/>
      <c r="M39" s="362"/>
      <c r="N39" s="549"/>
      <c r="O39" s="469"/>
      <c r="P39" s="469"/>
      <c r="Q39" s="469"/>
      <c r="R39" s="469"/>
      <c r="S39" s="469"/>
      <c r="T39" s="363"/>
      <c r="U39" s="469"/>
      <c r="V39" s="469"/>
      <c r="W39" s="469"/>
    </row>
    <row r="45" spans="1:23" x14ac:dyDescent="0.25">
      <c r="A45" s="470"/>
      <c r="B45" s="471"/>
      <c r="C45" s="471"/>
      <c r="D45" s="471"/>
      <c r="E45" s="364"/>
      <c r="F45" s="364"/>
      <c r="G45" s="364"/>
      <c r="H45" s="364"/>
      <c r="I45" s="364"/>
      <c r="J45" s="364"/>
      <c r="K45" s="360"/>
      <c r="L45" s="354"/>
      <c r="M45" s="365"/>
      <c r="O45" s="471"/>
      <c r="P45" s="471"/>
      <c r="Q45" s="471"/>
      <c r="R45" s="471"/>
      <c r="S45" s="471"/>
      <c r="T45" s="360"/>
      <c r="U45" s="470"/>
      <c r="V45" s="470"/>
      <c r="W45" s="470"/>
    </row>
    <row r="46" spans="1:23" x14ac:dyDescent="0.25">
      <c r="A46" s="353"/>
      <c r="B46" s="353"/>
      <c r="C46" s="353"/>
      <c r="D46" s="353"/>
      <c r="E46" s="363"/>
      <c r="F46" s="363"/>
      <c r="G46" s="363"/>
      <c r="H46" s="363"/>
      <c r="I46" s="363"/>
      <c r="J46" s="363"/>
      <c r="K46" s="363"/>
      <c r="L46" s="353"/>
      <c r="M46" s="362"/>
      <c r="O46" s="469"/>
      <c r="P46" s="469"/>
      <c r="Q46" s="469"/>
      <c r="R46" s="469"/>
      <c r="S46" s="469"/>
      <c r="T46" s="363"/>
      <c r="U46" s="470"/>
      <c r="V46" s="470"/>
      <c r="W46" s="470"/>
    </row>
    <row r="47" spans="1:23" x14ac:dyDescent="0.25">
      <c r="E47" s="427"/>
      <c r="F47" s="427"/>
      <c r="G47" s="427"/>
      <c r="H47" s="427"/>
      <c r="I47" s="427"/>
      <c r="J47" s="427"/>
      <c r="K47" s="427"/>
      <c r="O47" s="470"/>
      <c r="P47" s="470"/>
      <c r="Q47" s="470"/>
      <c r="R47" s="470"/>
      <c r="S47" s="470"/>
      <c r="T47" s="470"/>
      <c r="U47" s="470"/>
      <c r="V47" s="470"/>
      <c r="W47" s="470"/>
    </row>
    <row r="48" spans="1:23" ht="18.75" x14ac:dyDescent="0.3">
      <c r="A48" s="575" t="s">
        <v>3469</v>
      </c>
      <c r="B48" s="575"/>
      <c r="C48" s="575"/>
      <c r="D48" s="575"/>
      <c r="E48" s="575"/>
      <c r="F48" s="575"/>
      <c r="O48" s="470"/>
      <c r="P48" s="470"/>
      <c r="Q48" s="470"/>
      <c r="R48" s="470"/>
      <c r="S48" s="470"/>
      <c r="T48" s="470"/>
      <c r="U48" s="470"/>
      <c r="V48" s="470"/>
      <c r="W48" s="470"/>
    </row>
    <row r="49" spans="1:23" s="509" customFormat="1" x14ac:dyDescent="0.25">
      <c r="A49" s="550">
        <f>VLOOKUP(B49,'Full Trial Balance'!$A$4:$G$2306,7,FALSE)</f>
        <v>408071.7</v>
      </c>
      <c r="B49" s="531" t="s">
        <v>1978</v>
      </c>
      <c r="C49" s="531" t="s">
        <v>1979</v>
      </c>
      <c r="D49" s="531"/>
      <c r="E49" s="531"/>
      <c r="F49" s="531"/>
      <c r="N49" s="352"/>
      <c r="O49" s="470"/>
      <c r="P49" s="470"/>
      <c r="Q49" s="470"/>
      <c r="R49" s="470"/>
      <c r="S49" s="470"/>
      <c r="T49" s="470"/>
      <c r="U49" s="470"/>
      <c r="V49" s="470"/>
      <c r="W49" s="470"/>
    </row>
    <row r="50" spans="1:23" s="509" customFormat="1" x14ac:dyDescent="0.25">
      <c r="A50" s="550">
        <f>VLOOKUP(B50,'Full Trial Balance'!$A$4:$G$2306,7,FALSE)</f>
        <v>157443.74</v>
      </c>
      <c r="B50" s="531" t="s">
        <v>2359</v>
      </c>
      <c r="C50" s="531" t="s">
        <v>1979</v>
      </c>
      <c r="D50" s="531"/>
      <c r="E50" s="531"/>
      <c r="F50" s="531"/>
      <c r="N50" s="352"/>
      <c r="O50" s="470"/>
      <c r="P50" s="470"/>
      <c r="Q50" s="470"/>
      <c r="R50" s="470"/>
      <c r="S50" s="470"/>
      <c r="T50" s="470"/>
      <c r="U50" s="470"/>
      <c r="V50" s="470"/>
      <c r="W50" s="470"/>
    </row>
    <row r="51" spans="1:23" s="509" customFormat="1" x14ac:dyDescent="0.25">
      <c r="A51" s="550">
        <f>VLOOKUP(B51,'Full Trial Balance'!$A$4:$G$2306,7,FALSE)</f>
        <v>1664918.95</v>
      </c>
      <c r="B51" s="531" t="s">
        <v>2554</v>
      </c>
      <c r="C51" s="531" t="s">
        <v>1979</v>
      </c>
      <c r="D51" s="531"/>
      <c r="E51" s="531"/>
      <c r="F51" s="531"/>
      <c r="N51" s="352"/>
      <c r="O51" s="470"/>
      <c r="P51" s="470"/>
      <c r="Q51" s="470"/>
      <c r="R51" s="470"/>
      <c r="S51" s="470"/>
      <c r="T51" s="470"/>
      <c r="U51" s="470"/>
      <c r="V51" s="470"/>
      <c r="W51" s="470"/>
    </row>
    <row r="52" spans="1:23" s="509" customFormat="1" x14ac:dyDescent="0.25">
      <c r="A52" s="550">
        <f>VLOOKUP(B52,'Full Trial Balance'!$A$4:$G$2306,7,FALSE)</f>
        <v>649090.94999999995</v>
      </c>
      <c r="B52" s="531" t="s">
        <v>2809</v>
      </c>
      <c r="C52" s="531" t="s">
        <v>1979</v>
      </c>
      <c r="D52" s="531"/>
      <c r="E52" s="531"/>
      <c r="F52" s="531"/>
      <c r="N52" s="352"/>
      <c r="O52" s="470"/>
      <c r="P52" s="470"/>
      <c r="Q52" s="470"/>
      <c r="R52" s="470"/>
      <c r="S52" s="470"/>
      <c r="T52" s="470"/>
      <c r="U52" s="470"/>
      <c r="V52" s="470"/>
      <c r="W52" s="470"/>
    </row>
    <row r="53" spans="1:23" s="509" customFormat="1" x14ac:dyDescent="0.25">
      <c r="A53" s="550">
        <f>VLOOKUP(B53,'Full Trial Balance'!$A$4:$G$2306,7,FALSE)</f>
        <v>204725.42</v>
      </c>
      <c r="B53" s="531" t="s">
        <v>3012</v>
      </c>
      <c r="C53" s="531" t="s">
        <v>1979</v>
      </c>
      <c r="D53" s="531"/>
      <c r="E53" s="531"/>
      <c r="F53" s="531"/>
      <c r="N53" s="352"/>
      <c r="O53" s="470"/>
      <c r="P53" s="470"/>
      <c r="Q53" s="470"/>
      <c r="R53" s="470"/>
      <c r="S53" s="470"/>
      <c r="T53" s="470"/>
      <c r="U53" s="470"/>
      <c r="V53" s="470"/>
      <c r="W53" s="470"/>
    </row>
    <row r="54" spans="1:23" s="509" customFormat="1" x14ac:dyDescent="0.25">
      <c r="A54" s="550">
        <f>VLOOKUP(B54,'Full Trial Balance'!$A$4:$G$2306,7,FALSE)</f>
        <v>0</v>
      </c>
      <c r="B54" s="531" t="s">
        <v>3228</v>
      </c>
      <c r="C54" s="531" t="s">
        <v>1979</v>
      </c>
      <c r="D54" s="531"/>
      <c r="E54" s="531"/>
      <c r="F54" s="531"/>
      <c r="N54" s="352"/>
      <c r="O54" s="470"/>
      <c r="P54" s="470"/>
      <c r="Q54" s="470"/>
      <c r="R54" s="470"/>
      <c r="S54" s="470"/>
      <c r="T54" s="470"/>
      <c r="U54" s="470"/>
      <c r="V54" s="470"/>
      <c r="W54" s="470"/>
    </row>
    <row r="55" spans="1:23" x14ac:dyDescent="0.25">
      <c r="A55" s="551">
        <f>VLOOKUP(B55,'Full Trial Balance'!$A$4:$G$2306,7,FALSE)</f>
        <v>237869.13</v>
      </c>
      <c r="B55" s="530" t="s">
        <v>1994</v>
      </c>
      <c r="C55" s="530" t="s">
        <v>1995</v>
      </c>
      <c r="D55" s="530"/>
      <c r="E55" s="530"/>
      <c r="F55" s="530"/>
      <c r="O55" s="470"/>
      <c r="P55" s="470"/>
      <c r="Q55" s="470"/>
      <c r="R55" s="470"/>
      <c r="S55" s="470"/>
      <c r="T55" s="470"/>
      <c r="U55" s="470"/>
      <c r="V55" s="470"/>
      <c r="W55" s="470"/>
    </row>
    <row r="56" spans="1:23" x14ac:dyDescent="0.25">
      <c r="A56" s="551">
        <f>VLOOKUP(B56,'Full Trial Balance'!$A$4:$G$2306,7,FALSE)</f>
        <v>67962.63</v>
      </c>
      <c r="B56" s="530" t="s">
        <v>2367</v>
      </c>
      <c r="C56" s="530" t="s">
        <v>1995</v>
      </c>
      <c r="D56" s="530"/>
      <c r="E56" s="530"/>
      <c r="F56" s="530"/>
      <c r="O56" s="470"/>
      <c r="P56" s="470"/>
      <c r="Q56" s="470"/>
      <c r="R56" s="470"/>
      <c r="S56" s="470"/>
      <c r="T56" s="470"/>
      <c r="U56" s="470"/>
      <c r="V56" s="470"/>
      <c r="W56" s="470"/>
    </row>
    <row r="57" spans="1:23" x14ac:dyDescent="0.25">
      <c r="A57" s="551">
        <f>VLOOKUP(B57,'Full Trial Balance'!$A$4:$G$2306,7,FALSE)</f>
        <v>424766.36</v>
      </c>
      <c r="B57" s="530" t="s">
        <v>2562</v>
      </c>
      <c r="C57" s="530" t="s">
        <v>1995</v>
      </c>
      <c r="D57" s="530"/>
      <c r="E57" s="530"/>
      <c r="F57" s="530"/>
      <c r="O57" s="470"/>
      <c r="P57" s="470"/>
      <c r="Q57" s="470"/>
      <c r="R57" s="470"/>
      <c r="S57" s="470"/>
      <c r="T57" s="470"/>
      <c r="U57" s="470"/>
      <c r="V57" s="470"/>
      <c r="W57" s="470"/>
    </row>
    <row r="58" spans="1:23" x14ac:dyDescent="0.25">
      <c r="A58" s="551">
        <f>VLOOKUP(B58,'Full Trial Balance'!$A$4:$G$2306,7,FALSE)</f>
        <v>118934.53</v>
      </c>
      <c r="B58" s="530" t="s">
        <v>2817</v>
      </c>
      <c r="C58" s="530" t="s">
        <v>1995</v>
      </c>
      <c r="D58" s="530"/>
      <c r="E58" s="530"/>
      <c r="F58" s="530"/>
      <c r="O58" s="470"/>
      <c r="P58" s="470"/>
      <c r="Q58" s="470"/>
      <c r="R58" s="470"/>
      <c r="S58" s="470"/>
      <c r="T58" s="470"/>
      <c r="U58" s="470"/>
      <c r="V58" s="470"/>
      <c r="W58" s="470"/>
    </row>
    <row r="59" spans="1:23" x14ac:dyDescent="0.25">
      <c r="A59" s="550">
        <f>VLOOKUP(B59,'Full Trial Balance'!$A$4:$G$2306,7,FALSE)</f>
        <v>999752.05</v>
      </c>
      <c r="B59" s="531" t="s">
        <v>1970</v>
      </c>
      <c r="C59" s="531" t="s">
        <v>1971</v>
      </c>
      <c r="D59" s="531"/>
      <c r="E59" s="531"/>
      <c r="F59" s="531"/>
      <c r="O59" s="470"/>
      <c r="P59" s="470"/>
      <c r="Q59" s="470"/>
      <c r="R59" s="470"/>
      <c r="S59" s="470"/>
      <c r="T59" s="470"/>
      <c r="U59" s="470"/>
      <c r="V59" s="470"/>
      <c r="W59" s="470"/>
    </row>
    <row r="60" spans="1:23" x14ac:dyDescent="0.25">
      <c r="A60" s="550">
        <f>VLOOKUP(B60,'Full Trial Balance'!$A$4:$G$2306,7,FALSE)</f>
        <v>233871.05</v>
      </c>
      <c r="B60" s="531" t="s">
        <v>2355</v>
      </c>
      <c r="C60" s="531" t="s">
        <v>1971</v>
      </c>
      <c r="D60" s="531"/>
      <c r="E60" s="531"/>
      <c r="F60" s="531"/>
      <c r="O60" s="470"/>
      <c r="P60" s="470"/>
      <c r="Q60" s="470"/>
      <c r="R60" s="470"/>
      <c r="S60" s="470"/>
      <c r="T60" s="470"/>
      <c r="U60" s="470"/>
      <c r="V60" s="470"/>
      <c r="W60" s="470"/>
    </row>
    <row r="61" spans="1:23" x14ac:dyDescent="0.25">
      <c r="A61" s="550">
        <f>VLOOKUP(B61,'Full Trial Balance'!$A$4:$G$2306,7,FALSE)</f>
        <v>1699505.23</v>
      </c>
      <c r="B61" s="531" t="s">
        <v>2550</v>
      </c>
      <c r="C61" s="531" t="s">
        <v>1971</v>
      </c>
      <c r="D61" s="531"/>
      <c r="E61" s="531"/>
      <c r="F61" s="531"/>
      <c r="O61" s="470"/>
      <c r="P61" s="470"/>
      <c r="Q61" s="470"/>
      <c r="R61" s="470"/>
      <c r="S61" s="470"/>
      <c r="T61" s="470"/>
      <c r="U61" s="470"/>
      <c r="V61" s="470"/>
      <c r="W61" s="470"/>
    </row>
    <row r="62" spans="1:23" x14ac:dyDescent="0.25">
      <c r="A62" s="550">
        <f>VLOOKUP(B62,'Full Trial Balance'!$A$4:$G$2306,7,FALSE)</f>
        <v>399604.18</v>
      </c>
      <c r="B62" s="531" t="s">
        <v>2805</v>
      </c>
      <c r="C62" s="531" t="s">
        <v>1971</v>
      </c>
      <c r="D62" s="531"/>
      <c r="E62" s="531"/>
      <c r="F62" s="531"/>
      <c r="O62" s="470"/>
      <c r="P62" s="470"/>
      <c r="Q62" s="470"/>
      <c r="R62" s="470"/>
      <c r="S62" s="470"/>
      <c r="T62" s="470"/>
      <c r="U62" s="470"/>
      <c r="V62" s="470"/>
      <c r="W62" s="470"/>
    </row>
    <row r="63" spans="1:23" x14ac:dyDescent="0.25">
      <c r="A63" s="550">
        <f>VLOOKUP(B63,'Full Trial Balance'!$A$4:$G$2306,7,FALSE)</f>
        <v>0</v>
      </c>
      <c r="B63" s="531" t="s">
        <v>3008</v>
      </c>
      <c r="C63" s="531" t="s">
        <v>1971</v>
      </c>
      <c r="D63" s="531"/>
      <c r="E63" s="531"/>
      <c r="F63" s="531"/>
      <c r="O63" s="470"/>
      <c r="P63" s="470"/>
      <c r="Q63" s="470"/>
      <c r="R63" s="470"/>
      <c r="S63" s="470"/>
      <c r="T63" s="470"/>
      <c r="U63" s="470"/>
      <c r="V63" s="470"/>
      <c r="W63" s="470"/>
    </row>
    <row r="64" spans="1:23" x14ac:dyDescent="0.25">
      <c r="A64" s="550">
        <f>VLOOKUP(B64,'Full Trial Balance'!$A$4:$G$2306,7,FALSE)</f>
        <v>0</v>
      </c>
      <c r="B64" s="531" t="s">
        <v>3224</v>
      </c>
      <c r="C64" s="531" t="s">
        <v>1971</v>
      </c>
      <c r="D64" s="531"/>
      <c r="E64" s="531"/>
      <c r="F64" s="531"/>
      <c r="O64" s="470"/>
      <c r="P64" s="470"/>
      <c r="Q64" s="470"/>
      <c r="R64" s="470"/>
      <c r="S64" s="470"/>
      <c r="T64" s="470"/>
      <c r="U64" s="470"/>
      <c r="V64" s="470"/>
      <c r="W64" s="470"/>
    </row>
    <row r="65" spans="1:23" x14ac:dyDescent="0.25">
      <c r="A65" s="551">
        <f>VLOOKUP(B65,'Full Trial Balance'!$A$4:$G$2306,7,FALSE)</f>
        <v>0</v>
      </c>
      <c r="B65" s="530" t="s">
        <v>1972</v>
      </c>
      <c r="C65" s="530" t="s">
        <v>1973</v>
      </c>
      <c r="D65" s="530"/>
      <c r="E65" s="530"/>
      <c r="F65" s="530"/>
      <c r="O65" s="470"/>
      <c r="P65" s="470"/>
      <c r="Q65" s="470"/>
      <c r="R65" s="470"/>
      <c r="S65" s="470"/>
      <c r="T65" s="470"/>
      <c r="U65" s="470"/>
      <c r="V65" s="470"/>
      <c r="W65" s="470"/>
    </row>
    <row r="66" spans="1:23" x14ac:dyDescent="0.25">
      <c r="A66" s="551">
        <f>VLOOKUP(B66,'Full Trial Balance'!$A$4:$G$2306,7,FALSE)</f>
        <v>0</v>
      </c>
      <c r="B66" s="530" t="s">
        <v>2356</v>
      </c>
      <c r="C66" s="530" t="s">
        <v>1973</v>
      </c>
      <c r="D66" s="530"/>
      <c r="E66" s="530"/>
      <c r="F66" s="530"/>
      <c r="O66" s="470"/>
      <c r="P66" s="470"/>
      <c r="Q66" s="470"/>
      <c r="R66" s="470"/>
      <c r="S66" s="470"/>
      <c r="T66" s="470"/>
      <c r="U66" s="470"/>
      <c r="V66" s="470"/>
      <c r="W66" s="470"/>
    </row>
    <row r="67" spans="1:23" x14ac:dyDescent="0.25">
      <c r="A67" s="551">
        <f>VLOOKUP(B67,'Full Trial Balance'!$A$4:$G$2306,7,FALSE)</f>
        <v>100268.08</v>
      </c>
      <c r="B67" s="530" t="s">
        <v>2551</v>
      </c>
      <c r="C67" s="530" t="s">
        <v>1973</v>
      </c>
      <c r="D67" s="530"/>
      <c r="E67" s="530"/>
      <c r="F67" s="530"/>
      <c r="O67" s="470"/>
      <c r="P67" s="470"/>
      <c r="Q67" s="470"/>
      <c r="R67" s="470"/>
      <c r="S67" s="470"/>
      <c r="T67" s="470"/>
      <c r="U67" s="470"/>
      <c r="V67" s="470"/>
      <c r="W67" s="470"/>
    </row>
    <row r="68" spans="1:23" x14ac:dyDescent="0.25">
      <c r="A68" s="551">
        <f>VLOOKUP(B68,'Full Trial Balance'!$A$4:$G$2306,7,FALSE)</f>
        <v>0</v>
      </c>
      <c r="B68" s="530" t="s">
        <v>2806</v>
      </c>
      <c r="C68" s="530" t="s">
        <v>1973</v>
      </c>
      <c r="D68" s="530"/>
      <c r="E68" s="530"/>
      <c r="F68" s="530"/>
      <c r="O68" s="470"/>
      <c r="P68" s="470"/>
      <c r="Q68" s="470"/>
      <c r="R68" s="470"/>
      <c r="S68" s="470"/>
      <c r="T68" s="470"/>
      <c r="U68" s="470"/>
      <c r="V68" s="470"/>
      <c r="W68" s="470"/>
    </row>
    <row r="69" spans="1:23" x14ac:dyDescent="0.25">
      <c r="A69" s="551">
        <f>VLOOKUP(B69,'Full Trial Balance'!$A$4:$G$2306,7,FALSE)</f>
        <v>0</v>
      </c>
      <c r="B69" s="530" t="s">
        <v>3009</v>
      </c>
      <c r="C69" s="530" t="s">
        <v>1973</v>
      </c>
      <c r="D69" s="530"/>
      <c r="E69" s="530"/>
      <c r="F69" s="530"/>
      <c r="O69" s="470"/>
      <c r="P69" s="470"/>
      <c r="Q69" s="470"/>
      <c r="R69" s="470"/>
      <c r="S69" s="470"/>
      <c r="T69" s="470"/>
      <c r="U69" s="470"/>
      <c r="V69" s="470"/>
      <c r="W69" s="470"/>
    </row>
    <row r="70" spans="1:23" x14ac:dyDescent="0.25">
      <c r="A70" s="551">
        <f>VLOOKUP(B70,'Full Trial Balance'!$A$4:$G$2306,7,FALSE)</f>
        <v>0</v>
      </c>
      <c r="B70" s="530" t="s">
        <v>3225</v>
      </c>
      <c r="C70" s="530" t="s">
        <v>1973</v>
      </c>
      <c r="D70" s="530"/>
      <c r="E70" s="530"/>
      <c r="F70" s="530"/>
      <c r="O70" s="470"/>
      <c r="P70" s="470"/>
      <c r="Q70" s="470"/>
      <c r="R70" s="470"/>
      <c r="S70" s="470"/>
      <c r="T70" s="470"/>
      <c r="U70" s="470"/>
      <c r="V70" s="470"/>
      <c r="W70" s="470"/>
    </row>
    <row r="71" spans="1:23" x14ac:dyDescent="0.25">
      <c r="A71" s="550">
        <f>VLOOKUP(B71,'Full Trial Balance'!$A$4:$G$2306,7,FALSE)</f>
        <v>1014128.21</v>
      </c>
      <c r="B71" s="531" t="s">
        <v>1974</v>
      </c>
      <c r="C71" s="531" t="s">
        <v>1975</v>
      </c>
      <c r="D71" s="531"/>
      <c r="E71" s="531"/>
      <c r="F71" s="531"/>
      <c r="O71" s="470"/>
      <c r="P71" s="470"/>
      <c r="Q71" s="470"/>
      <c r="R71" s="470"/>
      <c r="S71" s="470"/>
      <c r="T71" s="470"/>
      <c r="U71" s="470"/>
      <c r="V71" s="470"/>
      <c r="W71" s="470"/>
    </row>
    <row r="72" spans="1:23" x14ac:dyDescent="0.25">
      <c r="A72" s="550">
        <f>VLOOKUP(B72,'Full Trial Balance'!$A$4:$G$2306,7,FALSE)</f>
        <v>313511.82</v>
      </c>
      <c r="B72" s="531" t="s">
        <v>2357</v>
      </c>
      <c r="C72" s="531" t="s">
        <v>1975</v>
      </c>
      <c r="D72" s="531"/>
      <c r="E72" s="531"/>
      <c r="F72" s="531"/>
      <c r="O72" s="470"/>
      <c r="P72" s="470"/>
      <c r="Q72" s="470"/>
      <c r="R72" s="470"/>
      <c r="S72" s="470"/>
      <c r="T72" s="470"/>
      <c r="U72" s="470"/>
      <c r="V72" s="470"/>
      <c r="W72" s="470"/>
    </row>
    <row r="73" spans="1:23" x14ac:dyDescent="0.25">
      <c r="A73" s="550">
        <f>VLOOKUP(B73,'Full Trial Balance'!$A$4:$G$2306,7,FALSE)</f>
        <v>0</v>
      </c>
      <c r="B73" s="531" t="s">
        <v>2552</v>
      </c>
      <c r="C73" s="531" t="s">
        <v>1975</v>
      </c>
      <c r="D73" s="531"/>
      <c r="E73" s="531"/>
      <c r="F73" s="531"/>
    </row>
    <row r="74" spans="1:23" x14ac:dyDescent="0.25">
      <c r="A74" s="550">
        <f>VLOOKUP(B74,'Full Trial Balance'!$A$4:$G$2306,7,FALSE)</f>
        <v>783985.9</v>
      </c>
      <c r="B74" s="531" t="s">
        <v>2807</v>
      </c>
      <c r="C74" s="531" t="s">
        <v>1975</v>
      </c>
      <c r="D74" s="531"/>
      <c r="E74" s="531"/>
      <c r="F74" s="531"/>
    </row>
    <row r="75" spans="1:23" x14ac:dyDescent="0.25">
      <c r="A75" s="550">
        <f>VLOOKUP(B75,'Full Trial Balance'!$A$4:$G$2306,7,FALSE)</f>
        <v>0</v>
      </c>
      <c r="B75" s="531" t="s">
        <v>3010</v>
      </c>
      <c r="C75" s="531" t="s">
        <v>1975</v>
      </c>
      <c r="D75" s="531"/>
      <c r="E75" s="531"/>
      <c r="F75" s="531"/>
    </row>
    <row r="76" spans="1:23" x14ac:dyDescent="0.25">
      <c r="A76" s="550">
        <f>VLOOKUP(B76,'Full Trial Balance'!$A$4:$G$2306,7,FALSE)</f>
        <v>0</v>
      </c>
      <c r="B76" s="531" t="s">
        <v>3226</v>
      </c>
      <c r="C76" s="531" t="s">
        <v>1975</v>
      </c>
      <c r="D76" s="531"/>
      <c r="E76" s="531"/>
      <c r="F76" s="531"/>
    </row>
    <row r="77" spans="1:23" x14ac:dyDescent="0.25">
      <c r="A77" s="551">
        <f>VLOOKUP(B77,'Full Trial Balance'!$A$4:$G$2306,7,FALSE)</f>
        <v>1712835.54</v>
      </c>
      <c r="B77" s="530" t="s">
        <v>1813</v>
      </c>
      <c r="C77" s="530" t="s">
        <v>2006</v>
      </c>
      <c r="D77" s="530"/>
      <c r="E77" s="530"/>
      <c r="F77" s="530"/>
      <c r="G77" s="506"/>
      <c r="H77" s="506"/>
      <c r="I77" s="506"/>
      <c r="J77" s="506"/>
      <c r="K77" s="506"/>
    </row>
    <row r="78" spans="1:23" x14ac:dyDescent="0.25">
      <c r="A78" s="551">
        <f>VLOOKUP(B78,'Full Trial Balance'!$A$4:$G$2306,7,FALSE)</f>
        <v>827325.35</v>
      </c>
      <c r="B78" s="530" t="s">
        <v>1820</v>
      </c>
      <c r="C78" s="530" t="s">
        <v>2006</v>
      </c>
      <c r="D78" s="530"/>
      <c r="E78" s="530"/>
      <c r="F78" s="530"/>
      <c r="G78" s="506"/>
      <c r="H78" s="506"/>
      <c r="I78" s="506"/>
      <c r="J78" s="506"/>
      <c r="K78" s="506"/>
    </row>
    <row r="79" spans="1:23" x14ac:dyDescent="0.25">
      <c r="A79" s="551">
        <f>VLOOKUP(B79,'Full Trial Balance'!$A$4:$G$2306,7,FALSE)</f>
        <v>1421923.71</v>
      </c>
      <c r="B79" s="530" t="s">
        <v>1827</v>
      </c>
      <c r="C79" s="530" t="s">
        <v>2006</v>
      </c>
      <c r="D79" s="530"/>
      <c r="E79" s="530"/>
      <c r="F79" s="530"/>
      <c r="G79" s="506"/>
      <c r="H79" s="506"/>
      <c r="I79" s="506"/>
      <c r="J79" s="506"/>
      <c r="K79" s="506"/>
    </row>
    <row r="80" spans="1:23" x14ac:dyDescent="0.25">
      <c r="A80" s="551">
        <f>VLOOKUP(B80,'Full Trial Balance'!$A$4:$G$2306,7,FALSE)</f>
        <v>710961.85</v>
      </c>
      <c r="B80" s="530" t="s">
        <v>1833</v>
      </c>
      <c r="C80" s="530" t="s">
        <v>2006</v>
      </c>
      <c r="D80" s="530"/>
      <c r="E80" s="530"/>
      <c r="F80" s="530"/>
      <c r="G80" s="506"/>
      <c r="H80" s="506"/>
      <c r="I80" s="506"/>
      <c r="J80" s="506"/>
      <c r="K80" s="506"/>
    </row>
    <row r="81" spans="1:6" x14ac:dyDescent="0.25">
      <c r="A81" s="550">
        <f>VLOOKUP(B81,'Full Trial Balance'!$A$4:$G$2306,7,FALSE)</f>
        <v>401927.02</v>
      </c>
      <c r="B81" s="531" t="s">
        <v>1811</v>
      </c>
      <c r="C81" s="531" t="s">
        <v>2005</v>
      </c>
      <c r="D81" s="531"/>
      <c r="E81" s="531"/>
      <c r="F81" s="531"/>
    </row>
    <row r="82" spans="1:6" x14ac:dyDescent="0.25">
      <c r="A82" s="550">
        <f>VLOOKUP(B82,'Full Trial Balance'!$A$4:$G$2306,7,FALSE)</f>
        <v>301877.81</v>
      </c>
      <c r="B82" s="531" t="s">
        <v>1818</v>
      </c>
      <c r="C82" s="531" t="s">
        <v>2005</v>
      </c>
      <c r="D82" s="531"/>
      <c r="E82" s="531"/>
      <c r="F82" s="531"/>
    </row>
    <row r="83" spans="1:6" x14ac:dyDescent="0.25">
      <c r="A83" s="550">
        <f>VLOOKUP(B83,'Full Trial Balance'!$A$4:$G$2306,7,FALSE)</f>
        <v>1387113.02</v>
      </c>
      <c r="B83" s="531" t="s">
        <v>1825</v>
      </c>
      <c r="C83" s="531" t="s">
        <v>2005</v>
      </c>
      <c r="D83" s="531"/>
      <c r="E83" s="531"/>
      <c r="F83" s="531"/>
    </row>
    <row r="84" spans="1:6" x14ac:dyDescent="0.25">
      <c r="A84" s="550">
        <f>VLOOKUP(B84,'Full Trial Balance'!$A$4:$G$2306,7,FALSE)</f>
        <v>160134.64000000001</v>
      </c>
      <c r="B84" s="531" t="s">
        <v>1831</v>
      </c>
      <c r="C84" s="531" t="s">
        <v>2005</v>
      </c>
      <c r="D84" s="531"/>
      <c r="E84" s="531"/>
      <c r="F84" s="531"/>
    </row>
    <row r="85" spans="1:6" x14ac:dyDescent="0.25">
      <c r="A85" s="551">
        <f>VLOOKUP(B85,'Full Trial Balance'!$A$4:$G$2306,7,FALSE)</f>
        <v>523439.92</v>
      </c>
      <c r="B85" s="530" t="s">
        <v>2542</v>
      </c>
      <c r="C85" s="530" t="s">
        <v>2543</v>
      </c>
      <c r="D85" s="530"/>
      <c r="E85" s="530"/>
      <c r="F85" s="530"/>
    </row>
    <row r="86" spans="1:6" x14ac:dyDescent="0.25">
      <c r="A86" s="551">
        <f>VLOOKUP(B86,'Full Trial Balance'!$A$4:$G$2306,7,FALSE)</f>
        <v>112911.87</v>
      </c>
      <c r="B86" s="530" t="s">
        <v>2800</v>
      </c>
      <c r="C86" s="530" t="s">
        <v>2543</v>
      </c>
      <c r="D86" s="530"/>
      <c r="E86" s="530"/>
      <c r="F86" s="530"/>
    </row>
    <row r="87" spans="1:6" x14ac:dyDescent="0.25">
      <c r="A87" s="550">
        <f>VLOOKUP(B87,'Full Trial Balance'!$A$4:$G$2306,7,FALSE)</f>
        <v>8340661.0499999998</v>
      </c>
      <c r="B87" s="531" t="s">
        <v>1952</v>
      </c>
      <c r="C87" s="531" t="s">
        <v>1953</v>
      </c>
      <c r="D87" s="531"/>
      <c r="E87" s="531"/>
      <c r="F87" s="531"/>
    </row>
    <row r="88" spans="1:6" x14ac:dyDescent="0.25">
      <c r="A88" s="550">
        <f>VLOOKUP(B88,'Full Trial Balance'!$A$4:$G$2306,7,FALSE)</f>
        <v>821827.98</v>
      </c>
      <c r="B88" s="531" t="s">
        <v>2348</v>
      </c>
      <c r="C88" s="531" t="s">
        <v>1953</v>
      </c>
      <c r="D88" s="531"/>
      <c r="E88" s="531"/>
      <c r="F88" s="531"/>
    </row>
    <row r="89" spans="1:6" x14ac:dyDescent="0.25">
      <c r="A89" s="550">
        <f>VLOOKUP(B89,'Full Trial Balance'!$A$4:$G$2306,7,FALSE)</f>
        <v>786357.78</v>
      </c>
      <c r="B89" s="531" t="s">
        <v>2537</v>
      </c>
      <c r="C89" s="531" t="s">
        <v>1953</v>
      </c>
      <c r="D89" s="531"/>
      <c r="E89" s="531"/>
      <c r="F89" s="531"/>
    </row>
    <row r="90" spans="1:6" x14ac:dyDescent="0.25">
      <c r="A90" s="550">
        <f>VLOOKUP(B90,'Full Trial Balance'!$A$4:$G$2306,7,FALSE)</f>
        <v>3732772.66</v>
      </c>
      <c r="B90" s="531" t="s">
        <v>2796</v>
      </c>
      <c r="C90" s="531" t="s">
        <v>1953</v>
      </c>
      <c r="D90" s="531"/>
      <c r="E90" s="531"/>
      <c r="F90" s="531"/>
    </row>
    <row r="91" spans="1:6" x14ac:dyDescent="0.25">
      <c r="A91" s="550">
        <f>VLOOKUP(B91,'Full Trial Balance'!$A$4:$G$2306,7,FALSE)</f>
        <v>-3339185.78</v>
      </c>
      <c r="B91" s="531" t="s">
        <v>3002</v>
      </c>
      <c r="C91" s="531" t="s">
        <v>1953</v>
      </c>
      <c r="D91" s="531"/>
      <c r="E91" s="531"/>
      <c r="F91" s="531"/>
    </row>
    <row r="92" spans="1:6" x14ac:dyDescent="0.25">
      <c r="A92" s="550">
        <f>VLOOKUP(B92,'Full Trial Balance'!$A$4:$G$2306,7,FALSE)</f>
        <v>-8368016.5300000003</v>
      </c>
      <c r="B92" s="531" t="s">
        <v>3218</v>
      </c>
      <c r="C92" s="531" t="s">
        <v>1953</v>
      </c>
      <c r="D92" s="531"/>
      <c r="E92" s="531"/>
      <c r="F92" s="531"/>
    </row>
    <row r="93" spans="1:6" x14ac:dyDescent="0.25">
      <c r="A93" s="551">
        <f>VLOOKUP(B93,'Full Trial Balance'!$A$4:$G$2306,7,FALSE)</f>
        <v>180694.54</v>
      </c>
      <c r="B93" s="530" t="s">
        <v>1809</v>
      </c>
      <c r="C93" s="530" t="s">
        <v>2004</v>
      </c>
      <c r="D93" s="530"/>
      <c r="E93" s="530"/>
      <c r="F93" s="530"/>
    </row>
    <row r="94" spans="1:6" x14ac:dyDescent="0.25">
      <c r="A94" s="551">
        <f>VLOOKUP(B94,'Full Trial Balance'!$A$4:$G$2306,7,FALSE)</f>
        <v>287617.37</v>
      </c>
      <c r="B94" s="530" t="s">
        <v>1816</v>
      </c>
      <c r="C94" s="530" t="s">
        <v>2004</v>
      </c>
      <c r="D94" s="530"/>
      <c r="E94" s="530"/>
      <c r="F94" s="530"/>
    </row>
    <row r="95" spans="1:6" x14ac:dyDescent="0.25">
      <c r="A95" s="551">
        <f>VLOOKUP(B95,'Full Trial Balance'!$A$4:$G$2306,7,FALSE)</f>
        <v>31921.49</v>
      </c>
      <c r="B95" s="530" t="s">
        <v>1823</v>
      </c>
      <c r="C95" s="530" t="s">
        <v>2004</v>
      </c>
      <c r="D95" s="530"/>
      <c r="E95" s="530"/>
      <c r="F95" s="530"/>
    </row>
    <row r="96" spans="1:6" x14ac:dyDescent="0.25">
      <c r="A96" s="551">
        <f>VLOOKUP(B96,'Full Trial Balance'!$A$4:$G$2306,7,FALSE)</f>
        <v>13294.28</v>
      </c>
      <c r="B96" s="530" t="s">
        <v>1829</v>
      </c>
      <c r="C96" s="530" t="s">
        <v>2004</v>
      </c>
      <c r="D96" s="530"/>
      <c r="E96" s="530"/>
      <c r="F96" s="530"/>
    </row>
    <row r="97" spans="1:6" x14ac:dyDescent="0.25">
      <c r="A97" s="551">
        <f>VLOOKUP(B97,'Full Trial Balance'!$A$4:$G$2306,7,FALSE)</f>
        <v>0</v>
      </c>
      <c r="B97" s="530" t="s">
        <v>3021</v>
      </c>
      <c r="C97" s="530" t="s">
        <v>2004</v>
      </c>
      <c r="D97" s="530"/>
      <c r="E97" s="530"/>
      <c r="F97" s="530"/>
    </row>
    <row r="98" spans="1:6" x14ac:dyDescent="0.25">
      <c r="A98" s="551">
        <f>VLOOKUP(B98,'Full Trial Balance'!$A$4:$G$2306,7,FALSE)</f>
        <v>0</v>
      </c>
      <c r="B98" s="530" t="s">
        <v>3237</v>
      </c>
      <c r="C98" s="530" t="s">
        <v>2004</v>
      </c>
      <c r="D98" s="530"/>
      <c r="E98" s="530"/>
      <c r="F98" s="530"/>
    </row>
    <row r="99" spans="1:6" x14ac:dyDescent="0.25">
      <c r="A99" s="550">
        <f>VLOOKUP(B99,'Full Trial Balance'!$A$4:$G$2306,7,FALSE)</f>
        <v>230763.25</v>
      </c>
      <c r="B99" s="531" t="s">
        <v>1966</v>
      </c>
      <c r="C99" s="531" t="s">
        <v>1967</v>
      </c>
      <c r="D99" s="531"/>
      <c r="E99" s="531"/>
      <c r="F99" s="531"/>
    </row>
    <row r="100" spans="1:6" x14ac:dyDescent="0.25">
      <c r="A100" s="550">
        <f>VLOOKUP(B100,'Full Trial Balance'!$A$4:$G$2306,7,FALSE)</f>
        <v>0</v>
      </c>
      <c r="B100" s="531" t="s">
        <v>2353</v>
      </c>
      <c r="C100" s="531" t="s">
        <v>1967</v>
      </c>
      <c r="D100" s="531"/>
      <c r="E100" s="531"/>
      <c r="F100" s="531"/>
    </row>
    <row r="101" spans="1:6" x14ac:dyDescent="0.25">
      <c r="A101" s="550">
        <f>VLOOKUP(B101,'Full Trial Balance'!$A$4:$G$2306,7,FALSE)</f>
        <v>0</v>
      </c>
      <c r="B101" s="531" t="s">
        <v>2548</v>
      </c>
      <c r="C101" s="531" t="s">
        <v>1967</v>
      </c>
      <c r="D101" s="531"/>
      <c r="E101" s="531"/>
      <c r="F101" s="531"/>
    </row>
    <row r="102" spans="1:6" x14ac:dyDescent="0.25">
      <c r="A102" s="550">
        <f>VLOOKUP(B102,'Full Trial Balance'!$A$4:$G$2306,7,FALSE)</f>
        <v>0</v>
      </c>
      <c r="B102" s="531" t="s">
        <v>2803</v>
      </c>
      <c r="C102" s="531" t="s">
        <v>1967</v>
      </c>
      <c r="D102" s="531"/>
      <c r="E102" s="531"/>
      <c r="F102" s="531"/>
    </row>
    <row r="103" spans="1:6" x14ac:dyDescent="0.25">
      <c r="A103" s="550">
        <f>VLOOKUP(B103,'Full Trial Balance'!$A$4:$G$2306,7,FALSE)</f>
        <v>0</v>
      </c>
      <c r="B103" s="531" t="s">
        <v>3006</v>
      </c>
      <c r="C103" s="531" t="s">
        <v>1967</v>
      </c>
      <c r="D103" s="531"/>
      <c r="E103" s="531"/>
      <c r="F103" s="531"/>
    </row>
    <row r="104" spans="1:6" x14ac:dyDescent="0.25">
      <c r="A104" s="550">
        <f>VLOOKUP(B104,'Full Trial Balance'!$A$4:$G$2306,7,FALSE)</f>
        <v>0</v>
      </c>
      <c r="B104" s="531" t="s">
        <v>3222</v>
      </c>
      <c r="C104" s="531" t="s">
        <v>1967</v>
      </c>
      <c r="D104" s="531"/>
      <c r="E104" s="531"/>
      <c r="F104" s="531"/>
    </row>
    <row r="105" spans="1:6" x14ac:dyDescent="0.25">
      <c r="A105" s="551">
        <f>VLOOKUP(B105,'Full Trial Balance'!$A$4:$G$2306,7,FALSE)</f>
        <v>818500.77</v>
      </c>
      <c r="B105" s="530" t="s">
        <v>1964</v>
      </c>
      <c r="C105" s="530" t="s">
        <v>1965</v>
      </c>
      <c r="D105" s="530"/>
      <c r="E105" s="530"/>
      <c r="F105" s="530"/>
    </row>
    <row r="106" spans="1:6" x14ac:dyDescent="0.25">
      <c r="A106" s="551">
        <f>VLOOKUP(B106,'Full Trial Balance'!$A$4:$G$2306,7,FALSE)</f>
        <v>0</v>
      </c>
      <c r="B106" s="530" t="s">
        <v>2352</v>
      </c>
      <c r="C106" s="530" t="s">
        <v>1965</v>
      </c>
      <c r="D106" s="530"/>
      <c r="E106" s="530"/>
      <c r="F106" s="530"/>
    </row>
    <row r="107" spans="1:6" x14ac:dyDescent="0.25">
      <c r="A107" s="551">
        <f>VLOOKUP(B107,'Full Trial Balance'!$A$4:$G$2306,7,FALSE)</f>
        <v>0</v>
      </c>
      <c r="B107" s="530" t="s">
        <v>2547</v>
      </c>
      <c r="C107" s="530" t="s">
        <v>1965</v>
      </c>
      <c r="D107" s="530"/>
      <c r="E107" s="530"/>
      <c r="F107" s="530"/>
    </row>
    <row r="108" spans="1:6" x14ac:dyDescent="0.25">
      <c r="A108" s="551">
        <f>VLOOKUP(B108,'Full Trial Balance'!$A$4:$G$2306,7,FALSE)</f>
        <v>0</v>
      </c>
      <c r="B108" s="530" t="s">
        <v>2802</v>
      </c>
      <c r="C108" s="530" t="s">
        <v>1965</v>
      </c>
      <c r="D108" s="530"/>
      <c r="E108" s="530"/>
      <c r="F108" s="530"/>
    </row>
    <row r="109" spans="1:6" x14ac:dyDescent="0.25">
      <c r="A109" s="551">
        <f>VLOOKUP(B109,'Full Trial Balance'!$A$4:$G$2306,7,FALSE)</f>
        <v>0</v>
      </c>
      <c r="B109" s="530" t="s">
        <v>3005</v>
      </c>
      <c r="C109" s="530" t="s">
        <v>1965</v>
      </c>
      <c r="D109" s="530"/>
      <c r="E109" s="530"/>
      <c r="F109" s="530"/>
    </row>
    <row r="110" spans="1:6" x14ac:dyDescent="0.25">
      <c r="A110" s="551">
        <f>VLOOKUP(B110,'Full Trial Balance'!$A$4:$G$2306,7,FALSE)</f>
        <v>0</v>
      </c>
      <c r="B110" s="530" t="s">
        <v>3221</v>
      </c>
      <c r="C110" s="530" t="s">
        <v>1965</v>
      </c>
      <c r="D110" s="530"/>
      <c r="E110" s="530"/>
      <c r="F110" s="530"/>
    </row>
    <row r="111" spans="1:6" x14ac:dyDescent="0.25">
      <c r="A111" s="550">
        <f>VLOOKUP(B111,'Full Trial Balance'!$A$4:$G$2306,7,FALSE)</f>
        <v>334004.37</v>
      </c>
      <c r="B111" s="531" t="s">
        <v>2539</v>
      </c>
      <c r="C111" s="531" t="s">
        <v>2540</v>
      </c>
      <c r="D111" s="531"/>
      <c r="E111" s="531"/>
      <c r="F111" s="531"/>
    </row>
    <row r="112" spans="1:6" x14ac:dyDescent="0.25">
      <c r="A112" s="550">
        <f>VLOOKUP(B112,'Full Trial Balance'!$A$4:$G$2306,7,FALSE)</f>
        <v>158870.89000000001</v>
      </c>
      <c r="B112" s="531" t="s">
        <v>2798</v>
      </c>
      <c r="C112" s="531" t="s">
        <v>2540</v>
      </c>
      <c r="D112" s="531"/>
      <c r="E112" s="531"/>
      <c r="F112" s="531"/>
    </row>
  </sheetData>
  <sheetProtection password="CFD3" sheet="1" objects="1" scenarios="1" selectLockedCells="1" selectUnlockedCells="1"/>
  <mergeCells count="6">
    <mergeCell ref="A1:K1"/>
    <mergeCell ref="A2:K2"/>
    <mergeCell ref="A3:K3"/>
    <mergeCell ref="A48:F48"/>
    <mergeCell ref="N14:P14"/>
    <mergeCell ref="N5:P5"/>
  </mergeCells>
  <pageMargins left="0.7" right="0.7" top="0.75" bottom="0.75" header="0.3" footer="0.3"/>
  <pageSetup firstPageNumber="10" orientation="portrait" useFirstPageNumber="1" verticalDpi="300" r:id="rId1"/>
  <headerFooter>
    <oddFooter>&amp;L&amp;9&amp;F - &amp;A&amp;C&amp;9Marina Coast Water District&amp;R&amp;9&amp;P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13"/>
  <sheetViews>
    <sheetView workbookViewId="0">
      <pane ySplit="4" topLeftCell="A5" activePane="bottomLeft" state="frozenSplit"/>
      <selection pane="bottomLeft" activeCell="B5" sqref="B5"/>
    </sheetView>
  </sheetViews>
  <sheetFormatPr defaultColWidth="9.140625" defaultRowHeight="15" outlineLevelCol="1" x14ac:dyDescent="0.25"/>
  <cols>
    <col min="1" max="1" width="6.28515625" style="123" hidden="1" customWidth="1" outlineLevel="1"/>
    <col min="2" max="2" width="14.140625" style="112" customWidth="1" collapsed="1"/>
    <col min="3" max="3" width="39.28515625" style="112" bestFit="1" customWidth="1"/>
    <col min="4" max="4" width="15.85546875" style="112" bestFit="1" customWidth="1"/>
    <col min="5" max="5" width="18.28515625" style="112" bestFit="1" customWidth="1"/>
    <col min="6" max="6" width="17.28515625" style="112" bestFit="1" customWidth="1"/>
    <col min="7" max="7" width="17.85546875" style="112" bestFit="1" customWidth="1"/>
    <col min="8" max="8" width="15.28515625" style="112" bestFit="1" customWidth="1"/>
    <col min="9" max="9" width="6.7109375" style="478" bestFit="1" customWidth="1"/>
    <col min="10" max="16384" width="9.140625" style="112"/>
  </cols>
  <sheetData>
    <row r="1" spans="1:9" ht="20.25" x14ac:dyDescent="0.3">
      <c r="B1" s="118" t="s">
        <v>1107</v>
      </c>
    </row>
    <row r="2" spans="1:9" x14ac:dyDescent="0.25">
      <c r="B2" s="117" t="s">
        <v>1109</v>
      </c>
    </row>
    <row r="3" spans="1:9" x14ac:dyDescent="0.25">
      <c r="A3" s="124"/>
      <c r="B3" s="67" t="s">
        <v>962</v>
      </c>
      <c r="C3" s="67" t="s">
        <v>0</v>
      </c>
      <c r="D3" s="110"/>
      <c r="E3" s="110"/>
      <c r="G3" s="110"/>
    </row>
    <row r="4" spans="1:9" x14ac:dyDescent="0.25">
      <c r="A4" s="108" t="s">
        <v>1077</v>
      </c>
      <c r="B4" s="66" t="s">
        <v>963</v>
      </c>
      <c r="C4" s="65" t="s">
        <v>193</v>
      </c>
      <c r="D4" s="65" t="s">
        <v>1110</v>
      </c>
      <c r="E4" s="65" t="s">
        <v>1111</v>
      </c>
      <c r="F4" s="65" t="s">
        <v>1112</v>
      </c>
      <c r="G4" s="65" t="s">
        <v>1113</v>
      </c>
      <c r="H4" s="65" t="s">
        <v>1114</v>
      </c>
      <c r="I4" s="483" t="s">
        <v>3428</v>
      </c>
    </row>
    <row r="5" spans="1:9" x14ac:dyDescent="0.25">
      <c r="A5" s="124" t="str">
        <f t="shared" ref="A5:A36" si="0">LEFT(B5,2)</f>
        <v>01</v>
      </c>
      <c r="B5" s="100" t="s">
        <v>847</v>
      </c>
      <c r="C5" s="102" t="s">
        <v>1120</v>
      </c>
      <c r="D5" s="101">
        <f>VLOOKUP(B5,'Full Trial Balance'!$A$4:$G$2306,3,FALSE)</f>
        <v>2335889</v>
      </c>
      <c r="E5" s="101">
        <f>VLOOKUP(B5,'Full Trial Balance'!$A$4:$G$2306,4,FALSE)</f>
        <v>0</v>
      </c>
      <c r="F5" s="101">
        <f>VLOOKUP(B5,'Full Trial Balance'!$A$4:$G$2306,5,FALSE)</f>
        <v>2411.17</v>
      </c>
      <c r="G5" s="101">
        <f>VLOOKUP(B5,'Full Trial Balance'!$A$4:$G$2306,6,FALSE)</f>
        <v>927357.77</v>
      </c>
      <c r="H5" s="101">
        <f>VLOOKUP(B5,'Full Trial Balance'!$A$4:$G$2306,7,FALSE)</f>
        <v>-924946.6</v>
      </c>
      <c r="I5" s="478">
        <f t="shared" ref="I5:I36" si="1">H5+G5-F5</f>
        <v>4.1836756281554699E-11</v>
      </c>
    </row>
    <row r="6" spans="1:9" x14ac:dyDescent="0.25">
      <c r="A6" s="124" t="str">
        <f t="shared" si="0"/>
        <v>01</v>
      </c>
      <c r="B6" s="100" t="s">
        <v>848</v>
      </c>
      <c r="C6" s="102" t="s">
        <v>1121</v>
      </c>
      <c r="D6" s="101">
        <f>VLOOKUP(B6,'Full Trial Balance'!$A$4:$G$2306,3,FALSE)</f>
        <v>594141</v>
      </c>
      <c r="E6" s="101">
        <f>VLOOKUP(B6,'Full Trial Balance'!$A$4:$G$2306,4,FALSE)</f>
        <v>0</v>
      </c>
      <c r="F6" s="101">
        <f>VLOOKUP(B6,'Full Trial Balance'!$A$4:$G$2306,5,FALSE)</f>
        <v>0</v>
      </c>
      <c r="G6" s="101">
        <f>VLOOKUP(B6,'Full Trial Balance'!$A$4:$G$2306,6,FALSE)</f>
        <v>394568.54</v>
      </c>
      <c r="H6" s="101">
        <f>VLOOKUP(B6,'Full Trial Balance'!$A$4:$G$2306,7,FALSE)</f>
        <v>-394568.54</v>
      </c>
      <c r="I6" s="478">
        <f t="shared" si="1"/>
        <v>0</v>
      </c>
    </row>
    <row r="7" spans="1:9" x14ac:dyDescent="0.25">
      <c r="A7" s="124" t="str">
        <f t="shared" si="0"/>
        <v>01</v>
      </c>
      <c r="B7" s="100" t="s">
        <v>849</v>
      </c>
      <c r="C7" s="102" t="s">
        <v>1122</v>
      </c>
      <c r="D7" s="101">
        <f>VLOOKUP(B7,'Full Trial Balance'!$A$4:$G$2306,3,FALSE)</f>
        <v>0</v>
      </c>
      <c r="E7" s="101">
        <f>VLOOKUP(B7,'Full Trial Balance'!$A$4:$G$2306,4,FALSE)</f>
        <v>0</v>
      </c>
      <c r="F7" s="101">
        <f>VLOOKUP(B7,'Full Trial Balance'!$A$4:$G$2306,5,FALSE)</f>
        <v>0</v>
      </c>
      <c r="G7" s="101">
        <f>VLOOKUP(B7,'Full Trial Balance'!$A$4:$G$2306,6,FALSE)</f>
        <v>0</v>
      </c>
      <c r="H7" s="101">
        <f>VLOOKUP(B7,'Full Trial Balance'!$A$4:$G$2306,7,FALSE)</f>
        <v>0</v>
      </c>
      <c r="I7" s="478">
        <f t="shared" si="1"/>
        <v>0</v>
      </c>
    </row>
    <row r="8" spans="1:9" x14ac:dyDescent="0.25">
      <c r="A8" s="124" t="str">
        <f t="shared" si="0"/>
        <v>01</v>
      </c>
      <c r="B8" s="100" t="s">
        <v>850</v>
      </c>
      <c r="C8" s="102" t="s">
        <v>1123</v>
      </c>
      <c r="D8" s="101">
        <f>VLOOKUP(B8,'Full Trial Balance'!$A$4:$G$2306,3,FALSE)</f>
        <v>1042548</v>
      </c>
      <c r="E8" s="101">
        <f>VLOOKUP(B8,'Full Trial Balance'!$A$4:$G$2306,4,FALSE)</f>
        <v>0</v>
      </c>
      <c r="F8" s="101">
        <f>VLOOKUP(B8,'Full Trial Balance'!$A$4:$G$2306,5,FALSE)</f>
        <v>1045</v>
      </c>
      <c r="G8" s="101">
        <f>VLOOKUP(B8,'Full Trial Balance'!$A$4:$G$2306,6,FALSE)</f>
        <v>553138.09</v>
      </c>
      <c r="H8" s="101">
        <f>VLOOKUP(B8,'Full Trial Balance'!$A$4:$G$2306,7,FALSE)</f>
        <v>-552093.09</v>
      </c>
      <c r="I8" s="478">
        <f t="shared" si="1"/>
        <v>0</v>
      </c>
    </row>
    <row r="9" spans="1:9" x14ac:dyDescent="0.25">
      <c r="A9" s="124" t="str">
        <f t="shared" si="0"/>
        <v>01</v>
      </c>
      <c r="B9" s="100" t="s">
        <v>851</v>
      </c>
      <c r="C9" s="102" t="s">
        <v>1124</v>
      </c>
      <c r="D9" s="101">
        <f>VLOOKUP(B9,'Full Trial Balance'!$A$4:$G$2306,3,FALSE)</f>
        <v>33122</v>
      </c>
      <c r="E9" s="101">
        <f>VLOOKUP(B9,'Full Trial Balance'!$A$4:$G$2306,4,FALSE)</f>
        <v>0</v>
      </c>
      <c r="F9" s="101">
        <f>VLOOKUP(B9,'Full Trial Balance'!$A$4:$G$2306,5,FALSE)</f>
        <v>0</v>
      </c>
      <c r="G9" s="101">
        <f>VLOOKUP(B9,'Full Trial Balance'!$A$4:$G$2306,6,FALSE)</f>
        <v>24719.05</v>
      </c>
      <c r="H9" s="101">
        <f>VLOOKUP(B9,'Full Trial Balance'!$A$4:$G$2306,7,FALSE)</f>
        <v>-24719.05</v>
      </c>
      <c r="I9" s="478">
        <f t="shared" si="1"/>
        <v>0</v>
      </c>
    </row>
    <row r="10" spans="1:9" x14ac:dyDescent="0.25">
      <c r="A10" s="124" t="str">
        <f t="shared" si="0"/>
        <v>01</v>
      </c>
      <c r="B10" s="100" t="s">
        <v>852</v>
      </c>
      <c r="C10" s="102" t="s">
        <v>1125</v>
      </c>
      <c r="D10" s="101">
        <f>VLOOKUP(B10,'Full Trial Balance'!$A$4:$G$2306,3,FALSE)</f>
        <v>0</v>
      </c>
      <c r="E10" s="101">
        <f>VLOOKUP(B10,'Full Trial Balance'!$A$4:$G$2306,4,FALSE)</f>
        <v>0</v>
      </c>
      <c r="F10" s="101">
        <f>VLOOKUP(B10,'Full Trial Balance'!$A$4:$G$2306,5,FALSE)</f>
        <v>0</v>
      </c>
      <c r="G10" s="101">
        <f>VLOOKUP(B10,'Full Trial Balance'!$A$4:$G$2306,6,FALSE)</f>
        <v>0</v>
      </c>
      <c r="H10" s="101">
        <f>VLOOKUP(B10,'Full Trial Balance'!$A$4:$G$2306,7,FALSE)</f>
        <v>0</v>
      </c>
      <c r="I10" s="478">
        <f t="shared" si="1"/>
        <v>0</v>
      </c>
    </row>
    <row r="11" spans="1:9" x14ac:dyDescent="0.25">
      <c r="A11" s="124" t="str">
        <f t="shared" si="0"/>
        <v>01</v>
      </c>
      <c r="B11" s="100" t="s">
        <v>853</v>
      </c>
      <c r="C11" s="102" t="s">
        <v>6</v>
      </c>
      <c r="D11" s="101">
        <f>VLOOKUP(B11,'Full Trial Balance'!$A$4:$G$2306,3,FALSE)</f>
        <v>87171</v>
      </c>
      <c r="E11" s="101">
        <f>VLOOKUP(B11,'Full Trial Balance'!$A$4:$G$2306,4,FALSE)</f>
        <v>0</v>
      </c>
      <c r="F11" s="101">
        <f>VLOOKUP(B11,'Full Trial Balance'!$A$4:$G$2306,5,FALSE)</f>
        <v>5213.28</v>
      </c>
      <c r="G11" s="101">
        <f>VLOOKUP(B11,'Full Trial Balance'!$A$4:$G$2306,6,FALSE)</f>
        <v>49070.64</v>
      </c>
      <c r="H11" s="101">
        <f>VLOOKUP(B11,'Full Trial Balance'!$A$4:$G$2306,7,FALSE)</f>
        <v>-43857.36</v>
      </c>
      <c r="I11" s="478">
        <f t="shared" si="1"/>
        <v>0</v>
      </c>
    </row>
    <row r="12" spans="1:9" x14ac:dyDescent="0.25">
      <c r="A12" s="124" t="str">
        <f t="shared" si="0"/>
        <v>01</v>
      </c>
      <c r="B12" s="100" t="s">
        <v>854</v>
      </c>
      <c r="C12" s="102" t="s">
        <v>855</v>
      </c>
      <c r="D12" s="101">
        <f>VLOOKUP(B12,'Full Trial Balance'!$A$4:$G$2306,3,FALSE)</f>
        <v>0</v>
      </c>
      <c r="E12" s="101">
        <f>VLOOKUP(B12,'Full Trial Balance'!$A$4:$G$2306,4,FALSE)</f>
        <v>0</v>
      </c>
      <c r="F12" s="101">
        <f>VLOOKUP(B12,'Full Trial Balance'!$A$4:$G$2306,5,FALSE)</f>
        <v>0</v>
      </c>
      <c r="G12" s="101">
        <f>VLOOKUP(B12,'Full Trial Balance'!$A$4:$G$2306,6,FALSE)</f>
        <v>0</v>
      </c>
      <c r="H12" s="101">
        <f>VLOOKUP(B12,'Full Trial Balance'!$A$4:$G$2306,7,FALSE)</f>
        <v>0</v>
      </c>
      <c r="I12" s="478">
        <f t="shared" si="1"/>
        <v>0</v>
      </c>
    </row>
    <row r="13" spans="1:9" x14ac:dyDescent="0.25">
      <c r="A13" s="124" t="str">
        <f t="shared" si="0"/>
        <v>01</v>
      </c>
      <c r="B13" s="100" t="s">
        <v>859</v>
      </c>
      <c r="C13" s="102" t="s">
        <v>1126</v>
      </c>
      <c r="D13" s="101">
        <f>VLOOKUP(B13,'Full Trial Balance'!$A$4:$G$2306,3,FALSE)</f>
        <v>25000</v>
      </c>
      <c r="E13" s="101">
        <f>VLOOKUP(B13,'Full Trial Balance'!$A$4:$G$2306,4,FALSE)</f>
        <v>0</v>
      </c>
      <c r="F13" s="101">
        <f>VLOOKUP(B13,'Full Trial Balance'!$A$4:$G$2306,5,FALSE)</f>
        <v>2053.86</v>
      </c>
      <c r="G13" s="101">
        <f>VLOOKUP(B13,'Full Trial Balance'!$A$4:$G$2306,6,FALSE)</f>
        <v>12912.45</v>
      </c>
      <c r="H13" s="101">
        <f>VLOOKUP(B13,'Full Trial Balance'!$A$4:$G$2306,7,FALSE)</f>
        <v>-10858.59</v>
      </c>
      <c r="I13" s="478">
        <f t="shared" si="1"/>
        <v>0</v>
      </c>
    </row>
    <row r="14" spans="1:9" x14ac:dyDescent="0.25">
      <c r="A14" s="124" t="str">
        <f t="shared" si="0"/>
        <v>01</v>
      </c>
      <c r="B14" s="100" t="s">
        <v>856</v>
      </c>
      <c r="C14" s="102" t="s">
        <v>8</v>
      </c>
      <c r="D14" s="101">
        <f>VLOOKUP(B14,'Full Trial Balance'!$A$4:$G$2306,3,FALSE)</f>
        <v>16605</v>
      </c>
      <c r="E14" s="101">
        <f>VLOOKUP(B14,'Full Trial Balance'!$A$4:$G$2306,4,FALSE)</f>
        <v>0</v>
      </c>
      <c r="F14" s="101">
        <f>VLOOKUP(B14,'Full Trial Balance'!$A$4:$G$2306,5,FALSE)</f>
        <v>0</v>
      </c>
      <c r="G14" s="101">
        <f>VLOOKUP(B14,'Full Trial Balance'!$A$4:$G$2306,6,FALSE)</f>
        <v>0</v>
      </c>
      <c r="H14" s="101">
        <f>VLOOKUP(B14,'Full Trial Balance'!$A$4:$G$2306,7,FALSE)</f>
        <v>0</v>
      </c>
      <c r="I14" s="478">
        <f t="shared" si="1"/>
        <v>0</v>
      </c>
    </row>
    <row r="15" spans="1:9" x14ac:dyDescent="0.25">
      <c r="A15" s="124" t="str">
        <f t="shared" si="0"/>
        <v>01</v>
      </c>
      <c r="B15" s="100" t="s">
        <v>857</v>
      </c>
      <c r="C15" s="102" t="s">
        <v>10</v>
      </c>
      <c r="D15" s="101">
        <f>VLOOKUP(B15,'Full Trial Balance'!$A$4:$G$2306,3,FALSE)</f>
        <v>21117</v>
      </c>
      <c r="E15" s="101">
        <f>VLOOKUP(B15,'Full Trial Balance'!$A$4:$G$2306,4,FALSE)</f>
        <v>0</v>
      </c>
      <c r="F15" s="101">
        <f>VLOOKUP(B15,'Full Trial Balance'!$A$4:$G$2306,5,FALSE)</f>
        <v>0</v>
      </c>
      <c r="G15" s="101">
        <f>VLOOKUP(B15,'Full Trial Balance'!$A$4:$G$2306,6,FALSE)</f>
        <v>11810.55</v>
      </c>
      <c r="H15" s="101">
        <f>VLOOKUP(B15,'Full Trial Balance'!$A$4:$G$2306,7,FALSE)</f>
        <v>-11810.55</v>
      </c>
      <c r="I15" s="478">
        <f t="shared" si="1"/>
        <v>0</v>
      </c>
    </row>
    <row r="16" spans="1:9" x14ac:dyDescent="0.25">
      <c r="A16" s="124" t="str">
        <f t="shared" si="0"/>
        <v>01</v>
      </c>
      <c r="B16" s="100" t="s">
        <v>858</v>
      </c>
      <c r="C16" s="102" t="s">
        <v>12</v>
      </c>
      <c r="D16" s="101">
        <f>VLOOKUP(B16,'Full Trial Balance'!$A$4:$G$2306,3,FALSE)</f>
        <v>0</v>
      </c>
      <c r="E16" s="101">
        <f>VLOOKUP(B16,'Full Trial Balance'!$A$4:$G$2306,4,FALSE)</f>
        <v>0</v>
      </c>
      <c r="F16" s="101">
        <f>VLOOKUP(B16,'Full Trial Balance'!$A$4:$G$2306,5,FALSE)</f>
        <v>0</v>
      </c>
      <c r="G16" s="101">
        <f>VLOOKUP(B16,'Full Trial Balance'!$A$4:$G$2306,6,FALSE)</f>
        <v>0</v>
      </c>
      <c r="H16" s="101">
        <f>VLOOKUP(B16,'Full Trial Balance'!$A$4:$G$2306,7,FALSE)</f>
        <v>0</v>
      </c>
      <c r="I16" s="478">
        <f t="shared" si="1"/>
        <v>0</v>
      </c>
    </row>
    <row r="17" spans="1:9" x14ac:dyDescent="0.25">
      <c r="A17" s="124" t="str">
        <f t="shared" si="0"/>
        <v>01</v>
      </c>
      <c r="B17" s="100" t="s">
        <v>870</v>
      </c>
      <c r="C17" s="102" t="s">
        <v>13</v>
      </c>
      <c r="D17" s="101">
        <f>VLOOKUP(B17,'Full Trial Balance'!$A$4:$G$2306,3,FALSE)</f>
        <v>13000</v>
      </c>
      <c r="E17" s="101">
        <f>VLOOKUP(B17,'Full Trial Balance'!$A$4:$G$2306,4,FALSE)</f>
        <v>0</v>
      </c>
      <c r="F17" s="101">
        <f>VLOOKUP(B17,'Full Trial Balance'!$A$4:$G$2306,5,FALSE)</f>
        <v>0</v>
      </c>
      <c r="G17" s="101">
        <f>VLOOKUP(B17,'Full Trial Balance'!$A$4:$G$2306,6,FALSE)</f>
        <v>6063.34</v>
      </c>
      <c r="H17" s="101">
        <f>VLOOKUP(B17,'Full Trial Balance'!$A$4:$G$2306,7,FALSE)</f>
        <v>-6063.34</v>
      </c>
      <c r="I17" s="478">
        <f t="shared" si="1"/>
        <v>0</v>
      </c>
    </row>
    <row r="18" spans="1:9" x14ac:dyDescent="0.25">
      <c r="A18" s="124" t="str">
        <f t="shared" si="0"/>
        <v>01</v>
      </c>
      <c r="B18" s="100" t="s">
        <v>871</v>
      </c>
      <c r="C18" s="102" t="s">
        <v>1127</v>
      </c>
      <c r="D18" s="101">
        <f>VLOOKUP(B18,'Full Trial Balance'!$A$4:$G$2306,3,FALSE)</f>
        <v>4000</v>
      </c>
      <c r="E18" s="101">
        <f>VLOOKUP(B18,'Full Trial Balance'!$A$4:$G$2306,4,FALSE)</f>
        <v>0</v>
      </c>
      <c r="F18" s="101">
        <f>VLOOKUP(B18,'Full Trial Balance'!$A$4:$G$2306,5,FALSE)</f>
        <v>0</v>
      </c>
      <c r="G18" s="101">
        <f>VLOOKUP(B18,'Full Trial Balance'!$A$4:$G$2306,6,FALSE)</f>
        <v>135.96</v>
      </c>
      <c r="H18" s="101">
        <f>VLOOKUP(B18,'Full Trial Balance'!$A$4:$G$2306,7,FALSE)</f>
        <v>-135.96</v>
      </c>
      <c r="I18" s="478">
        <f t="shared" si="1"/>
        <v>0</v>
      </c>
    </row>
    <row r="19" spans="1:9" x14ac:dyDescent="0.25">
      <c r="A19" s="124" t="str">
        <f t="shared" si="0"/>
        <v>01</v>
      </c>
      <c r="B19" s="100" t="s">
        <v>872</v>
      </c>
      <c r="C19" s="102" t="s">
        <v>15</v>
      </c>
      <c r="D19" s="101">
        <f>VLOOKUP(B19,'Full Trial Balance'!$A$4:$G$2306,3,FALSE)</f>
        <v>19500</v>
      </c>
      <c r="E19" s="101">
        <f>VLOOKUP(B19,'Full Trial Balance'!$A$4:$G$2306,4,FALSE)</f>
        <v>0</v>
      </c>
      <c r="F19" s="101">
        <f>VLOOKUP(B19,'Full Trial Balance'!$A$4:$G$2306,5,FALSE)</f>
        <v>1693</v>
      </c>
      <c r="G19" s="101">
        <f>VLOOKUP(B19,'Full Trial Balance'!$A$4:$G$2306,6,FALSE)</f>
        <v>11303.46</v>
      </c>
      <c r="H19" s="101">
        <f>VLOOKUP(B19,'Full Trial Balance'!$A$4:$G$2306,7,FALSE)</f>
        <v>-9610.4599999999991</v>
      </c>
      <c r="I19" s="478">
        <f t="shared" si="1"/>
        <v>0</v>
      </c>
    </row>
    <row r="20" spans="1:9" x14ac:dyDescent="0.25">
      <c r="A20" s="124" t="str">
        <f t="shared" si="0"/>
        <v>01</v>
      </c>
      <c r="B20" s="100" t="s">
        <v>944</v>
      </c>
      <c r="C20" s="102" t="s">
        <v>843</v>
      </c>
      <c r="D20" s="101">
        <f>VLOOKUP(B20,'Full Trial Balance'!$A$4:$G$2306,3,FALSE)</f>
        <v>40</v>
      </c>
      <c r="E20" s="101">
        <f>VLOOKUP(B20,'Full Trial Balance'!$A$4:$G$2306,4,FALSE)</f>
        <v>0</v>
      </c>
      <c r="F20" s="101">
        <f>VLOOKUP(B20,'Full Trial Balance'!$A$4:$G$2306,5,FALSE)</f>
        <v>0</v>
      </c>
      <c r="G20" s="101">
        <f>VLOOKUP(B20,'Full Trial Balance'!$A$4:$G$2306,6,FALSE)</f>
        <v>17.32</v>
      </c>
      <c r="H20" s="101">
        <f>VLOOKUP(B20,'Full Trial Balance'!$A$4:$G$2306,7,FALSE)</f>
        <v>-17.32</v>
      </c>
      <c r="I20" s="478">
        <f t="shared" si="1"/>
        <v>0</v>
      </c>
    </row>
    <row r="21" spans="1:9" x14ac:dyDescent="0.25">
      <c r="A21" s="124" t="str">
        <f t="shared" si="0"/>
        <v>01</v>
      </c>
      <c r="B21" s="100" t="s">
        <v>860</v>
      </c>
      <c r="C21" s="102" t="s">
        <v>16</v>
      </c>
      <c r="D21" s="101">
        <f>VLOOKUP(B21,'Full Trial Balance'!$A$4:$G$2306,3,FALSE)</f>
        <v>3000</v>
      </c>
      <c r="E21" s="101">
        <f>VLOOKUP(B21,'Full Trial Balance'!$A$4:$G$2306,4,FALSE)</f>
        <v>0</v>
      </c>
      <c r="F21" s="101">
        <f>VLOOKUP(B21,'Full Trial Balance'!$A$4:$G$2306,5,FALSE)</f>
        <v>0</v>
      </c>
      <c r="G21" s="101">
        <f>VLOOKUP(B21,'Full Trial Balance'!$A$4:$G$2306,6,FALSE)</f>
        <v>1320</v>
      </c>
      <c r="H21" s="101">
        <f>VLOOKUP(B21,'Full Trial Balance'!$A$4:$G$2306,7,FALSE)</f>
        <v>-1320</v>
      </c>
      <c r="I21" s="478">
        <f t="shared" si="1"/>
        <v>0</v>
      </c>
    </row>
    <row r="22" spans="1:9" x14ac:dyDescent="0.25">
      <c r="A22" s="124" t="str">
        <f t="shared" si="0"/>
        <v>01</v>
      </c>
      <c r="B22" s="100" t="s">
        <v>861</v>
      </c>
      <c r="C22" s="102" t="s">
        <v>17</v>
      </c>
      <c r="D22" s="101">
        <f>VLOOKUP(B22,'Full Trial Balance'!$A$4:$G$2306,3,FALSE)</f>
        <v>12325</v>
      </c>
      <c r="E22" s="101">
        <f>VLOOKUP(B22,'Full Trial Balance'!$A$4:$G$2306,4,FALSE)</f>
        <v>0</v>
      </c>
      <c r="F22" s="101">
        <f>VLOOKUP(B22,'Full Trial Balance'!$A$4:$G$2306,5,FALSE)</f>
        <v>0</v>
      </c>
      <c r="G22" s="101">
        <f>VLOOKUP(B22,'Full Trial Balance'!$A$4:$G$2306,6,FALSE)</f>
        <v>10786.57</v>
      </c>
      <c r="H22" s="101">
        <f>VLOOKUP(B22,'Full Trial Balance'!$A$4:$G$2306,7,FALSE)</f>
        <v>-10786.57</v>
      </c>
      <c r="I22" s="478">
        <f t="shared" si="1"/>
        <v>0</v>
      </c>
    </row>
    <row r="23" spans="1:9" x14ac:dyDescent="0.25">
      <c r="A23" s="124" t="str">
        <f t="shared" si="0"/>
        <v>01</v>
      </c>
      <c r="B23" s="100" t="s">
        <v>869</v>
      </c>
      <c r="C23" s="102" t="s">
        <v>18</v>
      </c>
      <c r="D23" s="101">
        <f>VLOOKUP(B23,'Full Trial Balance'!$A$4:$G$2306,3,FALSE)</f>
        <v>0</v>
      </c>
      <c r="E23" s="101">
        <f>VLOOKUP(B23,'Full Trial Balance'!$A$4:$G$2306,4,FALSE)</f>
        <v>0</v>
      </c>
      <c r="F23" s="101">
        <f>VLOOKUP(B23,'Full Trial Balance'!$A$4:$G$2306,5,FALSE)</f>
        <v>0</v>
      </c>
      <c r="G23" s="101">
        <f>VLOOKUP(B23,'Full Trial Balance'!$A$4:$G$2306,6,FALSE)</f>
        <v>0</v>
      </c>
      <c r="H23" s="101">
        <f>VLOOKUP(B23,'Full Trial Balance'!$A$4:$G$2306,7,FALSE)</f>
        <v>0</v>
      </c>
      <c r="I23" s="478">
        <f t="shared" si="1"/>
        <v>0</v>
      </c>
    </row>
    <row r="24" spans="1:9" x14ac:dyDescent="0.25">
      <c r="A24" s="124" t="str">
        <f t="shared" si="0"/>
        <v>01</v>
      </c>
      <c r="B24" s="100" t="s">
        <v>862</v>
      </c>
      <c r="C24" s="102" t="s">
        <v>19</v>
      </c>
      <c r="D24" s="101">
        <f>VLOOKUP(B24,'Full Trial Balance'!$A$4:$G$2306,3,FALSE)</f>
        <v>0</v>
      </c>
      <c r="E24" s="101">
        <f>VLOOKUP(B24,'Full Trial Balance'!$A$4:$G$2306,4,FALSE)</f>
        <v>0</v>
      </c>
      <c r="F24" s="101">
        <f>VLOOKUP(B24,'Full Trial Balance'!$A$4:$G$2306,5,FALSE)</f>
        <v>0</v>
      </c>
      <c r="G24" s="101">
        <f>VLOOKUP(B24,'Full Trial Balance'!$A$4:$G$2306,6,FALSE)</f>
        <v>0</v>
      </c>
      <c r="H24" s="101">
        <f>VLOOKUP(B24,'Full Trial Balance'!$A$4:$G$2306,7,FALSE)</f>
        <v>0</v>
      </c>
      <c r="I24" s="478">
        <f t="shared" si="1"/>
        <v>0</v>
      </c>
    </row>
    <row r="25" spans="1:9" x14ac:dyDescent="0.25">
      <c r="A25" s="124" t="str">
        <f t="shared" si="0"/>
        <v>01</v>
      </c>
      <c r="B25" s="100" t="s">
        <v>863</v>
      </c>
      <c r="C25" s="102" t="s">
        <v>1128</v>
      </c>
      <c r="D25" s="101">
        <f>VLOOKUP(B25,'Full Trial Balance'!$A$4:$G$2306,3,FALSE)</f>
        <v>3425</v>
      </c>
      <c r="E25" s="101">
        <f>VLOOKUP(B25,'Full Trial Balance'!$A$4:$G$2306,4,FALSE)</f>
        <v>0</v>
      </c>
      <c r="F25" s="101">
        <f>VLOOKUP(B25,'Full Trial Balance'!$A$4:$G$2306,5,FALSE)</f>
        <v>0</v>
      </c>
      <c r="G25" s="101">
        <f>VLOOKUP(B25,'Full Trial Balance'!$A$4:$G$2306,6,FALSE)</f>
        <v>0</v>
      </c>
      <c r="H25" s="101">
        <f>VLOOKUP(B25,'Full Trial Balance'!$A$4:$G$2306,7,FALSE)</f>
        <v>0</v>
      </c>
      <c r="I25" s="478">
        <f t="shared" si="1"/>
        <v>0</v>
      </c>
    </row>
    <row r="26" spans="1:9" x14ac:dyDescent="0.25">
      <c r="A26" s="124" t="str">
        <f t="shared" si="0"/>
        <v>01</v>
      </c>
      <c r="B26" s="100" t="s">
        <v>948</v>
      </c>
      <c r="C26" s="102" t="s">
        <v>1129</v>
      </c>
      <c r="D26" s="101">
        <f>VLOOKUP(B26,'Full Trial Balance'!$A$4:$G$2306,3,FALSE)</f>
        <v>3125</v>
      </c>
      <c r="E26" s="101">
        <f>VLOOKUP(B26,'Full Trial Balance'!$A$4:$G$2306,4,FALSE)</f>
        <v>0</v>
      </c>
      <c r="F26" s="101">
        <f>VLOOKUP(B26,'Full Trial Balance'!$A$4:$G$2306,5,FALSE)</f>
        <v>0</v>
      </c>
      <c r="G26" s="101">
        <f>VLOOKUP(B26,'Full Trial Balance'!$A$4:$G$2306,6,FALSE)</f>
        <v>0</v>
      </c>
      <c r="H26" s="101">
        <f>VLOOKUP(B26,'Full Trial Balance'!$A$4:$G$2306,7,FALSE)</f>
        <v>0</v>
      </c>
      <c r="I26" s="478">
        <f t="shared" si="1"/>
        <v>0</v>
      </c>
    </row>
    <row r="27" spans="1:9" x14ac:dyDescent="0.25">
      <c r="A27" s="124" t="str">
        <f t="shared" si="0"/>
        <v>01</v>
      </c>
      <c r="B27" s="100" t="s">
        <v>864</v>
      </c>
      <c r="C27" s="102" t="s">
        <v>181</v>
      </c>
      <c r="D27" s="101">
        <f>VLOOKUP(B27,'Full Trial Balance'!$A$4:$G$2306,3,FALSE)</f>
        <v>0</v>
      </c>
      <c r="E27" s="101">
        <f>VLOOKUP(B27,'Full Trial Balance'!$A$4:$G$2306,4,FALSE)</f>
        <v>0</v>
      </c>
      <c r="F27" s="101">
        <f>VLOOKUP(B27,'Full Trial Balance'!$A$4:$G$2306,5,FALSE)</f>
        <v>0</v>
      </c>
      <c r="G27" s="101">
        <f>VLOOKUP(B27,'Full Trial Balance'!$A$4:$G$2306,6,FALSE)</f>
        <v>0</v>
      </c>
      <c r="H27" s="101">
        <f>VLOOKUP(B27,'Full Trial Balance'!$A$4:$G$2306,7,FALSE)</f>
        <v>0</v>
      </c>
      <c r="I27" s="478">
        <f t="shared" si="1"/>
        <v>0</v>
      </c>
    </row>
    <row r="28" spans="1:9" x14ac:dyDescent="0.25">
      <c r="A28" s="124" t="str">
        <f t="shared" si="0"/>
        <v>01</v>
      </c>
      <c r="B28" s="100" t="s">
        <v>865</v>
      </c>
      <c r="C28" s="102" t="s">
        <v>21</v>
      </c>
      <c r="D28" s="101">
        <f>VLOOKUP(B28,'Full Trial Balance'!$A$4:$G$2306,3,FALSE)</f>
        <v>0</v>
      </c>
      <c r="E28" s="101">
        <f>VLOOKUP(B28,'Full Trial Balance'!$A$4:$G$2306,4,FALSE)</f>
        <v>0</v>
      </c>
      <c r="F28" s="101">
        <f>VLOOKUP(B28,'Full Trial Balance'!$A$4:$G$2306,5,FALSE)</f>
        <v>0</v>
      </c>
      <c r="G28" s="101">
        <f>VLOOKUP(B28,'Full Trial Balance'!$A$4:$G$2306,6,FALSE)</f>
        <v>0</v>
      </c>
      <c r="H28" s="101">
        <f>VLOOKUP(B28,'Full Trial Balance'!$A$4:$G$2306,7,FALSE)</f>
        <v>0</v>
      </c>
      <c r="I28" s="478">
        <f t="shared" si="1"/>
        <v>0</v>
      </c>
    </row>
    <row r="29" spans="1:9" x14ac:dyDescent="0.25">
      <c r="A29" s="124" t="str">
        <f t="shared" si="0"/>
        <v>01</v>
      </c>
      <c r="B29" s="100" t="s">
        <v>1130</v>
      </c>
      <c r="C29" s="102" t="s">
        <v>1131</v>
      </c>
      <c r="D29" s="101">
        <f>VLOOKUP(B29,'Full Trial Balance'!$A$4:$G$2306,3,FALSE)</f>
        <v>52037.14</v>
      </c>
      <c r="E29" s="101">
        <f>VLOOKUP(B29,'Full Trial Balance'!$A$4:$G$2306,4,FALSE)</f>
        <v>0</v>
      </c>
      <c r="F29" s="101">
        <f>VLOOKUP(B29,'Full Trial Balance'!$A$4:$G$2306,5,FALSE)</f>
        <v>0</v>
      </c>
      <c r="G29" s="101">
        <f>VLOOKUP(B29,'Full Trial Balance'!$A$4:$G$2306,6,FALSE)</f>
        <v>26915.759999999998</v>
      </c>
      <c r="H29" s="101">
        <f>VLOOKUP(B29,'Full Trial Balance'!$A$4:$G$2306,7,FALSE)</f>
        <v>-26915.759999999998</v>
      </c>
      <c r="I29" s="478">
        <f t="shared" si="1"/>
        <v>0</v>
      </c>
    </row>
    <row r="30" spans="1:9" x14ac:dyDescent="0.25">
      <c r="A30" s="124" t="str">
        <f t="shared" si="0"/>
        <v>01</v>
      </c>
      <c r="B30" s="100" t="s">
        <v>868</v>
      </c>
      <c r="C30" s="102" t="s">
        <v>32</v>
      </c>
      <c r="D30" s="101">
        <f>VLOOKUP(B30,'Full Trial Balance'!$A$4:$G$2306,3,FALSE)</f>
        <v>0</v>
      </c>
      <c r="E30" s="101">
        <f>VLOOKUP(B30,'Full Trial Balance'!$A$4:$G$2306,4,FALSE)</f>
        <v>0</v>
      </c>
      <c r="F30" s="101">
        <f>VLOOKUP(B30,'Full Trial Balance'!$A$4:$G$2306,5,FALSE)</f>
        <v>0</v>
      </c>
      <c r="G30" s="101">
        <f>VLOOKUP(B30,'Full Trial Balance'!$A$4:$G$2306,6,FALSE)</f>
        <v>0</v>
      </c>
      <c r="H30" s="101">
        <f>VLOOKUP(B30,'Full Trial Balance'!$A$4:$G$2306,7,FALSE)</f>
        <v>0</v>
      </c>
      <c r="I30" s="478">
        <f t="shared" si="1"/>
        <v>0</v>
      </c>
    </row>
    <row r="31" spans="1:9" x14ac:dyDescent="0.25">
      <c r="A31" s="124" t="str">
        <f t="shared" si="0"/>
        <v>01</v>
      </c>
      <c r="B31" s="100" t="s">
        <v>866</v>
      </c>
      <c r="C31" s="102" t="s">
        <v>867</v>
      </c>
      <c r="D31" s="101">
        <f>VLOOKUP(B31,'Full Trial Balance'!$A$4:$G$2306,3,FALSE)</f>
        <v>0</v>
      </c>
      <c r="E31" s="101">
        <f>VLOOKUP(B31,'Full Trial Balance'!$A$4:$G$2306,4,FALSE)</f>
        <v>0</v>
      </c>
      <c r="F31" s="101">
        <f>VLOOKUP(B31,'Full Trial Balance'!$A$4:$G$2306,5,FALSE)</f>
        <v>0</v>
      </c>
      <c r="G31" s="101">
        <f>VLOOKUP(B31,'Full Trial Balance'!$A$4:$G$2306,6,FALSE)</f>
        <v>0</v>
      </c>
      <c r="H31" s="101">
        <f>VLOOKUP(B31,'Full Trial Balance'!$A$4:$G$2306,7,FALSE)</f>
        <v>0</v>
      </c>
      <c r="I31" s="478">
        <f t="shared" si="1"/>
        <v>0</v>
      </c>
    </row>
    <row r="32" spans="1:9" x14ac:dyDescent="0.25">
      <c r="A32" s="124" t="str">
        <f t="shared" si="0"/>
        <v>02</v>
      </c>
      <c r="B32" s="100" t="s">
        <v>882</v>
      </c>
      <c r="C32" s="102" t="s">
        <v>1126</v>
      </c>
      <c r="D32" s="101">
        <f>VLOOKUP(B32,'Full Trial Balance'!$A$4:$G$2306,3,FALSE)</f>
        <v>0</v>
      </c>
      <c r="E32" s="101">
        <f>VLOOKUP(B32,'Full Trial Balance'!$A$4:$G$2306,4,FALSE)</f>
        <v>0</v>
      </c>
      <c r="F32" s="101">
        <f>VLOOKUP(B32,'Full Trial Balance'!$A$4:$G$2306,5,FALSE)</f>
        <v>0</v>
      </c>
      <c r="G32" s="101">
        <f>VLOOKUP(B32,'Full Trial Balance'!$A$4:$G$2306,6,FALSE)</f>
        <v>0</v>
      </c>
      <c r="H32" s="101">
        <f>VLOOKUP(B32,'Full Trial Balance'!$A$4:$G$2306,7,FALSE)</f>
        <v>0</v>
      </c>
      <c r="I32" s="478">
        <f t="shared" si="1"/>
        <v>0</v>
      </c>
    </row>
    <row r="33" spans="1:9" x14ac:dyDescent="0.25">
      <c r="A33" s="124" t="str">
        <f t="shared" si="0"/>
        <v>02</v>
      </c>
      <c r="B33" s="100" t="s">
        <v>881</v>
      </c>
      <c r="C33" s="102" t="s">
        <v>12</v>
      </c>
      <c r="D33" s="101">
        <f>VLOOKUP(B33,'Full Trial Balance'!$A$4:$G$2306,3,FALSE)</f>
        <v>0</v>
      </c>
      <c r="E33" s="101">
        <f>VLOOKUP(B33,'Full Trial Balance'!$A$4:$G$2306,4,FALSE)</f>
        <v>0</v>
      </c>
      <c r="F33" s="101">
        <f>VLOOKUP(B33,'Full Trial Balance'!$A$4:$G$2306,5,FALSE)</f>
        <v>0</v>
      </c>
      <c r="G33" s="101">
        <f>VLOOKUP(B33,'Full Trial Balance'!$A$4:$G$2306,6,FALSE)</f>
        <v>875.25</v>
      </c>
      <c r="H33" s="101">
        <f>VLOOKUP(B33,'Full Trial Balance'!$A$4:$G$2306,7,FALSE)</f>
        <v>-875.25</v>
      </c>
      <c r="I33" s="478">
        <f t="shared" si="1"/>
        <v>0</v>
      </c>
    </row>
    <row r="34" spans="1:9" x14ac:dyDescent="0.25">
      <c r="A34" s="124" t="str">
        <f t="shared" si="0"/>
        <v>02</v>
      </c>
      <c r="B34" s="100" t="s">
        <v>889</v>
      </c>
      <c r="C34" s="102" t="s">
        <v>13</v>
      </c>
      <c r="D34" s="101">
        <f>VLOOKUP(B34,'Full Trial Balance'!$A$4:$G$2306,3,FALSE)</f>
        <v>4900</v>
      </c>
      <c r="E34" s="101">
        <f>VLOOKUP(B34,'Full Trial Balance'!$A$4:$G$2306,4,FALSE)</f>
        <v>0</v>
      </c>
      <c r="F34" s="101">
        <f>VLOOKUP(B34,'Full Trial Balance'!$A$4:$G$2306,5,FALSE)</f>
        <v>0</v>
      </c>
      <c r="G34" s="101">
        <f>VLOOKUP(B34,'Full Trial Balance'!$A$4:$G$2306,6,FALSE)</f>
        <v>2312.06</v>
      </c>
      <c r="H34" s="101">
        <f>VLOOKUP(B34,'Full Trial Balance'!$A$4:$G$2306,7,FALSE)</f>
        <v>-2312.06</v>
      </c>
      <c r="I34" s="478">
        <f t="shared" si="1"/>
        <v>0</v>
      </c>
    </row>
    <row r="35" spans="1:9" x14ac:dyDescent="0.25">
      <c r="A35" s="124" t="str">
        <f t="shared" si="0"/>
        <v>02</v>
      </c>
      <c r="B35" s="100" t="s">
        <v>890</v>
      </c>
      <c r="C35" s="102" t="s">
        <v>1127</v>
      </c>
      <c r="D35" s="101">
        <f>VLOOKUP(B35,'Full Trial Balance'!$A$4:$G$2306,3,FALSE)</f>
        <v>0</v>
      </c>
      <c r="E35" s="101">
        <f>VLOOKUP(B35,'Full Trial Balance'!$A$4:$G$2306,4,FALSE)</f>
        <v>0</v>
      </c>
      <c r="F35" s="101">
        <f>VLOOKUP(B35,'Full Trial Balance'!$A$4:$G$2306,5,FALSE)</f>
        <v>0</v>
      </c>
      <c r="G35" s="101">
        <f>VLOOKUP(B35,'Full Trial Balance'!$A$4:$G$2306,6,FALSE)</f>
        <v>0</v>
      </c>
      <c r="H35" s="101">
        <f>VLOOKUP(B35,'Full Trial Balance'!$A$4:$G$2306,7,FALSE)</f>
        <v>0</v>
      </c>
      <c r="I35" s="478">
        <f t="shared" si="1"/>
        <v>0</v>
      </c>
    </row>
    <row r="36" spans="1:9" x14ac:dyDescent="0.25">
      <c r="A36" s="124" t="str">
        <f t="shared" si="0"/>
        <v>02</v>
      </c>
      <c r="B36" s="100" t="s">
        <v>891</v>
      </c>
      <c r="C36" s="102" t="s">
        <v>15</v>
      </c>
      <c r="D36" s="101">
        <f>VLOOKUP(B36,'Full Trial Balance'!$A$4:$G$2306,3,FALSE)</f>
        <v>7300</v>
      </c>
      <c r="E36" s="101">
        <f>VLOOKUP(B36,'Full Trial Balance'!$A$4:$G$2306,4,FALSE)</f>
        <v>0</v>
      </c>
      <c r="F36" s="101">
        <f>VLOOKUP(B36,'Full Trial Balance'!$A$4:$G$2306,5,FALSE)</f>
        <v>654</v>
      </c>
      <c r="G36" s="101">
        <f>VLOOKUP(B36,'Full Trial Balance'!$A$4:$G$2306,6,FALSE)</f>
        <v>4260.53</v>
      </c>
      <c r="H36" s="101">
        <f>VLOOKUP(B36,'Full Trial Balance'!$A$4:$G$2306,7,FALSE)</f>
        <v>-3606.53</v>
      </c>
      <c r="I36" s="478">
        <f t="shared" si="1"/>
        <v>0</v>
      </c>
    </row>
    <row r="37" spans="1:9" x14ac:dyDescent="0.25">
      <c r="A37" s="124" t="str">
        <f t="shared" ref="A37:A68" si="2">LEFT(B37,2)</f>
        <v>02</v>
      </c>
      <c r="B37" s="100" t="s">
        <v>947</v>
      </c>
      <c r="C37" s="102" t="s">
        <v>843</v>
      </c>
      <c r="D37" s="101">
        <f>VLOOKUP(B37,'Full Trial Balance'!$A$4:$G$2306,3,FALSE)</f>
        <v>12</v>
      </c>
      <c r="E37" s="101">
        <f>VLOOKUP(B37,'Full Trial Balance'!$A$4:$G$2306,4,FALSE)</f>
        <v>0</v>
      </c>
      <c r="F37" s="101">
        <f>VLOOKUP(B37,'Full Trial Balance'!$A$4:$G$2306,5,FALSE)</f>
        <v>0</v>
      </c>
      <c r="G37" s="101">
        <f>VLOOKUP(B37,'Full Trial Balance'!$A$4:$G$2306,6,FALSE)</f>
        <v>4.95</v>
      </c>
      <c r="H37" s="101">
        <f>VLOOKUP(B37,'Full Trial Balance'!$A$4:$G$2306,7,FALSE)</f>
        <v>-4.95</v>
      </c>
      <c r="I37" s="478">
        <f t="shared" ref="I37:I68" si="3">H37+G37-F37</f>
        <v>0</v>
      </c>
    </row>
    <row r="38" spans="1:9" x14ac:dyDescent="0.25">
      <c r="A38" s="124" t="str">
        <f t="shared" si="2"/>
        <v>02</v>
      </c>
      <c r="B38" s="100" t="s">
        <v>883</v>
      </c>
      <c r="C38" s="102" t="s">
        <v>16</v>
      </c>
      <c r="D38" s="101">
        <f>VLOOKUP(B38,'Full Trial Balance'!$A$4:$G$2306,3,FALSE)</f>
        <v>500</v>
      </c>
      <c r="E38" s="101">
        <f>VLOOKUP(B38,'Full Trial Balance'!$A$4:$G$2306,4,FALSE)</f>
        <v>0</v>
      </c>
      <c r="F38" s="101">
        <f>VLOOKUP(B38,'Full Trial Balance'!$A$4:$G$2306,5,FALSE)</f>
        <v>0</v>
      </c>
      <c r="G38" s="101">
        <f>VLOOKUP(B38,'Full Trial Balance'!$A$4:$G$2306,6,FALSE)</f>
        <v>1320</v>
      </c>
      <c r="H38" s="101">
        <f>VLOOKUP(B38,'Full Trial Balance'!$A$4:$G$2306,7,FALSE)</f>
        <v>-1320</v>
      </c>
      <c r="I38" s="478">
        <f t="shared" si="3"/>
        <v>0</v>
      </c>
    </row>
    <row r="39" spans="1:9" x14ac:dyDescent="0.25">
      <c r="A39" s="124" t="str">
        <f t="shared" si="2"/>
        <v>02</v>
      </c>
      <c r="B39" s="100" t="s">
        <v>884</v>
      </c>
      <c r="C39" s="102" t="s">
        <v>17</v>
      </c>
      <c r="D39" s="101">
        <f>VLOOKUP(B39,'Full Trial Balance'!$A$4:$G$2306,3,FALSE)</f>
        <v>3400</v>
      </c>
      <c r="E39" s="101">
        <f>VLOOKUP(B39,'Full Trial Balance'!$A$4:$G$2306,4,FALSE)</f>
        <v>0</v>
      </c>
      <c r="F39" s="101">
        <f>VLOOKUP(B39,'Full Trial Balance'!$A$4:$G$2306,5,FALSE)</f>
        <v>0</v>
      </c>
      <c r="G39" s="101">
        <f>VLOOKUP(B39,'Full Trial Balance'!$A$4:$G$2306,6,FALSE)</f>
        <v>725.92</v>
      </c>
      <c r="H39" s="101">
        <f>VLOOKUP(B39,'Full Trial Balance'!$A$4:$G$2306,7,FALSE)</f>
        <v>-725.92</v>
      </c>
      <c r="I39" s="478">
        <f t="shared" si="3"/>
        <v>0</v>
      </c>
    </row>
    <row r="40" spans="1:9" x14ac:dyDescent="0.25">
      <c r="A40" s="124" t="str">
        <f t="shared" si="2"/>
        <v>02</v>
      </c>
      <c r="B40" s="100" t="s">
        <v>878</v>
      </c>
      <c r="C40" s="102" t="s">
        <v>18</v>
      </c>
      <c r="D40" s="101">
        <f>VLOOKUP(B40,'Full Trial Balance'!$A$4:$G$2306,3,FALSE)</f>
        <v>0</v>
      </c>
      <c r="E40" s="101">
        <f>VLOOKUP(B40,'Full Trial Balance'!$A$4:$G$2306,4,FALSE)</f>
        <v>0</v>
      </c>
      <c r="F40" s="101">
        <f>VLOOKUP(B40,'Full Trial Balance'!$A$4:$G$2306,5,FALSE)</f>
        <v>0</v>
      </c>
      <c r="G40" s="101">
        <f>VLOOKUP(B40,'Full Trial Balance'!$A$4:$G$2306,6,FALSE)</f>
        <v>0</v>
      </c>
      <c r="H40" s="101">
        <f>VLOOKUP(B40,'Full Trial Balance'!$A$4:$G$2306,7,FALSE)</f>
        <v>0</v>
      </c>
      <c r="I40" s="478">
        <f t="shared" si="3"/>
        <v>0</v>
      </c>
    </row>
    <row r="41" spans="1:9" x14ac:dyDescent="0.25">
      <c r="A41" s="124" t="str">
        <f t="shared" si="2"/>
        <v>02</v>
      </c>
      <c r="B41" s="100" t="s">
        <v>885</v>
      </c>
      <c r="C41" s="102" t="s">
        <v>1128</v>
      </c>
      <c r="D41" s="101">
        <f>VLOOKUP(B41,'Full Trial Balance'!$A$4:$G$2306,3,FALSE)</f>
        <v>1895</v>
      </c>
      <c r="E41" s="101">
        <f>VLOOKUP(B41,'Full Trial Balance'!$A$4:$G$2306,4,FALSE)</f>
        <v>0</v>
      </c>
      <c r="F41" s="101">
        <f>VLOOKUP(B41,'Full Trial Balance'!$A$4:$G$2306,5,FALSE)</f>
        <v>0</v>
      </c>
      <c r="G41" s="101">
        <f>VLOOKUP(B41,'Full Trial Balance'!$A$4:$G$2306,6,FALSE)</f>
        <v>0</v>
      </c>
      <c r="H41" s="101">
        <f>VLOOKUP(B41,'Full Trial Balance'!$A$4:$G$2306,7,FALSE)</f>
        <v>0</v>
      </c>
      <c r="I41" s="478">
        <f t="shared" si="3"/>
        <v>0</v>
      </c>
    </row>
    <row r="42" spans="1:9" x14ac:dyDescent="0.25">
      <c r="A42" s="124" t="str">
        <f t="shared" si="2"/>
        <v>02</v>
      </c>
      <c r="B42" s="100" t="s">
        <v>951</v>
      </c>
      <c r="C42" s="102" t="s">
        <v>1129</v>
      </c>
      <c r="D42" s="101">
        <f>VLOOKUP(B42,'Full Trial Balance'!$A$4:$G$2306,3,FALSE)</f>
        <v>895</v>
      </c>
      <c r="E42" s="101">
        <f>VLOOKUP(B42,'Full Trial Balance'!$A$4:$G$2306,4,FALSE)</f>
        <v>0</v>
      </c>
      <c r="F42" s="101">
        <f>VLOOKUP(B42,'Full Trial Balance'!$A$4:$G$2306,5,FALSE)</f>
        <v>0</v>
      </c>
      <c r="G42" s="101">
        <f>VLOOKUP(B42,'Full Trial Balance'!$A$4:$G$2306,6,FALSE)</f>
        <v>0</v>
      </c>
      <c r="H42" s="101">
        <f>VLOOKUP(B42,'Full Trial Balance'!$A$4:$G$2306,7,FALSE)</f>
        <v>0</v>
      </c>
      <c r="I42" s="478">
        <f t="shared" si="3"/>
        <v>0</v>
      </c>
    </row>
    <row r="43" spans="1:9" x14ac:dyDescent="0.25">
      <c r="A43" s="124" t="str">
        <f t="shared" si="2"/>
        <v>02</v>
      </c>
      <c r="B43" s="100" t="s">
        <v>886</v>
      </c>
      <c r="C43" s="102" t="s">
        <v>181</v>
      </c>
      <c r="D43" s="101">
        <f>VLOOKUP(B43,'Full Trial Balance'!$A$4:$G$2306,3,FALSE)</f>
        <v>0</v>
      </c>
      <c r="E43" s="101">
        <f>VLOOKUP(B43,'Full Trial Balance'!$A$4:$G$2306,4,FALSE)</f>
        <v>0</v>
      </c>
      <c r="F43" s="101">
        <f>VLOOKUP(B43,'Full Trial Balance'!$A$4:$G$2306,5,FALSE)</f>
        <v>0</v>
      </c>
      <c r="G43" s="101">
        <f>VLOOKUP(B43,'Full Trial Balance'!$A$4:$G$2306,6,FALSE)</f>
        <v>0</v>
      </c>
      <c r="H43" s="101">
        <f>VLOOKUP(B43,'Full Trial Balance'!$A$4:$G$2306,7,FALSE)</f>
        <v>0</v>
      </c>
      <c r="I43" s="478">
        <f t="shared" si="3"/>
        <v>0</v>
      </c>
    </row>
    <row r="44" spans="1:9" x14ac:dyDescent="0.25">
      <c r="A44" s="124" t="str">
        <f t="shared" si="2"/>
        <v>02</v>
      </c>
      <c r="B44" s="100" t="s">
        <v>1132</v>
      </c>
      <c r="C44" s="102" t="s">
        <v>21</v>
      </c>
      <c r="D44" s="101">
        <f>VLOOKUP(B44,'Full Trial Balance'!$A$4:$G$2306,3,FALSE)</f>
        <v>0</v>
      </c>
      <c r="E44" s="101">
        <f>VLOOKUP(B44,'Full Trial Balance'!$A$4:$G$2306,4,FALSE)</f>
        <v>0</v>
      </c>
      <c r="F44" s="101">
        <f>VLOOKUP(B44,'Full Trial Balance'!$A$4:$G$2306,5,FALSE)</f>
        <v>0</v>
      </c>
      <c r="G44" s="101">
        <f>VLOOKUP(B44,'Full Trial Balance'!$A$4:$G$2306,6,FALSE)</f>
        <v>0</v>
      </c>
      <c r="H44" s="101">
        <f>VLOOKUP(B44,'Full Trial Balance'!$A$4:$G$2306,7,FALSE)</f>
        <v>0</v>
      </c>
      <c r="I44" s="478">
        <f t="shared" si="3"/>
        <v>0</v>
      </c>
    </row>
    <row r="45" spans="1:9" x14ac:dyDescent="0.25">
      <c r="A45" s="124" t="str">
        <f t="shared" si="2"/>
        <v>02</v>
      </c>
      <c r="B45" s="100" t="s">
        <v>1133</v>
      </c>
      <c r="C45" s="102" t="s">
        <v>1131</v>
      </c>
      <c r="D45" s="101">
        <f>VLOOKUP(B45,'Full Trial Balance'!$A$4:$G$2306,3,FALSE)</f>
        <v>14355.07</v>
      </c>
      <c r="E45" s="101">
        <f>VLOOKUP(B45,'Full Trial Balance'!$A$4:$G$2306,4,FALSE)</f>
        <v>0</v>
      </c>
      <c r="F45" s="101">
        <f>VLOOKUP(B45,'Full Trial Balance'!$A$4:$G$2306,5,FALSE)</f>
        <v>0</v>
      </c>
      <c r="G45" s="101">
        <f>VLOOKUP(B45,'Full Trial Balance'!$A$4:$G$2306,6,FALSE)</f>
        <v>8074.72</v>
      </c>
      <c r="H45" s="101">
        <f>VLOOKUP(B45,'Full Trial Balance'!$A$4:$G$2306,7,FALSE)</f>
        <v>-8074.72</v>
      </c>
      <c r="I45" s="478">
        <f t="shared" si="3"/>
        <v>0</v>
      </c>
    </row>
    <row r="46" spans="1:9" x14ac:dyDescent="0.25">
      <c r="A46" s="124" t="str">
        <f t="shared" si="2"/>
        <v>02</v>
      </c>
      <c r="B46" s="100" t="s">
        <v>879</v>
      </c>
      <c r="C46" s="102" t="s">
        <v>1134</v>
      </c>
      <c r="D46" s="101">
        <f>VLOOKUP(B46,'Full Trial Balance'!$A$4:$G$2306,3,FALSE)</f>
        <v>141752</v>
      </c>
      <c r="E46" s="101">
        <f>VLOOKUP(B46,'Full Trial Balance'!$A$4:$G$2306,4,FALSE)</f>
        <v>0</v>
      </c>
      <c r="F46" s="101">
        <f>VLOOKUP(B46,'Full Trial Balance'!$A$4:$G$2306,5,FALSE)</f>
        <v>0</v>
      </c>
      <c r="G46" s="101">
        <f>VLOOKUP(B46,'Full Trial Balance'!$A$4:$G$2306,6,FALSE)</f>
        <v>61305.2</v>
      </c>
      <c r="H46" s="101">
        <f>VLOOKUP(B46,'Full Trial Balance'!$A$4:$G$2306,7,FALSE)</f>
        <v>-61305.2</v>
      </c>
      <c r="I46" s="478">
        <f t="shared" si="3"/>
        <v>0</v>
      </c>
    </row>
    <row r="47" spans="1:9" x14ac:dyDescent="0.25">
      <c r="A47" s="124" t="str">
        <f t="shared" si="2"/>
        <v>02</v>
      </c>
      <c r="B47" s="100" t="s">
        <v>880</v>
      </c>
      <c r="C47" s="102" t="s">
        <v>1135</v>
      </c>
      <c r="D47" s="101">
        <f>VLOOKUP(B47,'Full Trial Balance'!$A$4:$G$2306,3,FALSE)</f>
        <v>784747</v>
      </c>
      <c r="E47" s="101">
        <f>VLOOKUP(B47,'Full Trial Balance'!$A$4:$G$2306,4,FALSE)</f>
        <v>0</v>
      </c>
      <c r="F47" s="101">
        <f>VLOOKUP(B47,'Full Trial Balance'!$A$4:$G$2306,5,FALSE)</f>
        <v>711.97</v>
      </c>
      <c r="G47" s="101">
        <f>VLOOKUP(B47,'Full Trial Balance'!$A$4:$G$2306,6,FALSE)</f>
        <v>379502.29</v>
      </c>
      <c r="H47" s="101">
        <f>VLOOKUP(B47,'Full Trial Balance'!$A$4:$G$2306,7,FALSE)</f>
        <v>-378790.32</v>
      </c>
      <c r="I47" s="478">
        <f t="shared" si="3"/>
        <v>-2.7966962079517543E-11</v>
      </c>
    </row>
    <row r="48" spans="1:9" x14ac:dyDescent="0.25">
      <c r="A48" s="124" t="str">
        <f t="shared" si="2"/>
        <v>02</v>
      </c>
      <c r="B48" s="100" t="s">
        <v>888</v>
      </c>
      <c r="C48" s="102" t="s">
        <v>32</v>
      </c>
      <c r="D48" s="101">
        <f>VLOOKUP(B48,'Full Trial Balance'!$A$4:$G$2306,3,FALSE)</f>
        <v>0</v>
      </c>
      <c r="E48" s="101">
        <f>VLOOKUP(B48,'Full Trial Balance'!$A$4:$G$2306,4,FALSE)</f>
        <v>0</v>
      </c>
      <c r="F48" s="101">
        <f>VLOOKUP(B48,'Full Trial Balance'!$A$4:$G$2306,5,FALSE)</f>
        <v>0</v>
      </c>
      <c r="G48" s="101">
        <f>VLOOKUP(B48,'Full Trial Balance'!$A$4:$G$2306,6,FALSE)</f>
        <v>0</v>
      </c>
      <c r="H48" s="101">
        <f>VLOOKUP(B48,'Full Trial Balance'!$A$4:$G$2306,7,FALSE)</f>
        <v>0</v>
      </c>
      <c r="I48" s="478">
        <f t="shared" si="3"/>
        <v>0</v>
      </c>
    </row>
    <row r="49" spans="1:9" x14ac:dyDescent="0.25">
      <c r="A49" s="124" t="str">
        <f t="shared" si="2"/>
        <v>02</v>
      </c>
      <c r="B49" s="100" t="s">
        <v>887</v>
      </c>
      <c r="C49" s="102" t="s">
        <v>867</v>
      </c>
      <c r="D49" s="101">
        <f>VLOOKUP(B49,'Full Trial Balance'!$A$4:$G$2306,3,FALSE)</f>
        <v>0</v>
      </c>
      <c r="E49" s="101">
        <f>VLOOKUP(B49,'Full Trial Balance'!$A$4:$G$2306,4,FALSE)</f>
        <v>0</v>
      </c>
      <c r="F49" s="101">
        <f>VLOOKUP(B49,'Full Trial Balance'!$A$4:$G$2306,5,FALSE)</f>
        <v>0</v>
      </c>
      <c r="G49" s="101">
        <f>VLOOKUP(B49,'Full Trial Balance'!$A$4:$G$2306,6,FALSE)</f>
        <v>0</v>
      </c>
      <c r="H49" s="101">
        <f>VLOOKUP(B49,'Full Trial Balance'!$A$4:$G$2306,7,FALSE)</f>
        <v>0</v>
      </c>
      <c r="I49" s="478">
        <f t="shared" si="3"/>
        <v>0</v>
      </c>
    </row>
    <row r="50" spans="1:9" x14ac:dyDescent="0.25">
      <c r="A50" s="124" t="str">
        <f t="shared" si="2"/>
        <v>03</v>
      </c>
      <c r="B50" s="100" t="s">
        <v>901</v>
      </c>
      <c r="C50" s="102" t="s">
        <v>24</v>
      </c>
      <c r="D50" s="101">
        <f>VLOOKUP(B50,'Full Trial Balance'!$A$4:$G$2306,3,FALSE)</f>
        <v>4238977</v>
      </c>
      <c r="E50" s="101">
        <f>VLOOKUP(B50,'Full Trial Balance'!$A$4:$G$2306,4,FALSE)</f>
        <v>0</v>
      </c>
      <c r="F50" s="101">
        <f>VLOOKUP(B50,'Full Trial Balance'!$A$4:$G$2306,5,FALSE)</f>
        <v>3854.81</v>
      </c>
      <c r="G50" s="101">
        <f>VLOOKUP(B50,'Full Trial Balance'!$A$4:$G$2306,6,FALSE)</f>
        <v>1731864</v>
      </c>
      <c r="H50" s="101">
        <f>VLOOKUP(B50,'Full Trial Balance'!$A$4:$G$2306,7,FALSE)</f>
        <v>-1728009.19</v>
      </c>
      <c r="I50" s="478">
        <f t="shared" si="3"/>
        <v>5.5933924159035087E-11</v>
      </c>
    </row>
    <row r="51" spans="1:9" x14ac:dyDescent="0.25">
      <c r="A51" s="124" t="str">
        <f t="shared" si="2"/>
        <v>03</v>
      </c>
      <c r="B51" s="100" t="s">
        <v>894</v>
      </c>
      <c r="C51" s="102" t="s">
        <v>1121</v>
      </c>
      <c r="D51" s="101">
        <f>VLOOKUP(B51,'Full Trial Balance'!$A$4:$G$2306,3,FALSE)</f>
        <v>0</v>
      </c>
      <c r="E51" s="101">
        <f>VLOOKUP(B51,'Full Trial Balance'!$A$4:$G$2306,4,FALSE)</f>
        <v>0</v>
      </c>
      <c r="F51" s="101">
        <f>VLOOKUP(B51,'Full Trial Balance'!$A$4:$G$2306,5,FALSE)</f>
        <v>0</v>
      </c>
      <c r="G51" s="101">
        <f>VLOOKUP(B51,'Full Trial Balance'!$A$4:$G$2306,6,FALSE)</f>
        <v>0</v>
      </c>
      <c r="H51" s="101">
        <f>VLOOKUP(B51,'Full Trial Balance'!$A$4:$G$2306,7,FALSE)</f>
        <v>0</v>
      </c>
      <c r="I51" s="478">
        <f t="shared" si="3"/>
        <v>0</v>
      </c>
    </row>
    <row r="52" spans="1:9" x14ac:dyDescent="0.25">
      <c r="A52" s="124" t="str">
        <f t="shared" si="2"/>
        <v>03</v>
      </c>
      <c r="B52" s="100" t="s">
        <v>895</v>
      </c>
      <c r="C52" s="102" t="s">
        <v>1122</v>
      </c>
      <c r="D52" s="101">
        <f>VLOOKUP(B52,'Full Trial Balance'!$A$4:$G$2306,3,FALSE)</f>
        <v>0</v>
      </c>
      <c r="E52" s="101">
        <f>VLOOKUP(B52,'Full Trial Balance'!$A$4:$G$2306,4,FALSE)</f>
        <v>0</v>
      </c>
      <c r="F52" s="101">
        <f>VLOOKUP(B52,'Full Trial Balance'!$A$4:$G$2306,5,FALSE)</f>
        <v>0</v>
      </c>
      <c r="G52" s="101">
        <f>VLOOKUP(B52,'Full Trial Balance'!$A$4:$G$2306,6,FALSE)</f>
        <v>0</v>
      </c>
      <c r="H52" s="101">
        <f>VLOOKUP(B52,'Full Trial Balance'!$A$4:$G$2306,7,FALSE)</f>
        <v>0</v>
      </c>
      <c r="I52" s="478">
        <f t="shared" si="3"/>
        <v>0</v>
      </c>
    </row>
    <row r="53" spans="1:9" x14ac:dyDescent="0.25">
      <c r="A53" s="124" t="str">
        <f t="shared" si="2"/>
        <v>03</v>
      </c>
      <c r="B53" s="100" t="s">
        <v>896</v>
      </c>
      <c r="C53" s="102" t="s">
        <v>1123</v>
      </c>
      <c r="D53" s="101">
        <f>VLOOKUP(B53,'Full Trial Balance'!$A$4:$G$2306,3,FALSE)</f>
        <v>0</v>
      </c>
      <c r="E53" s="101">
        <f>VLOOKUP(B53,'Full Trial Balance'!$A$4:$G$2306,4,FALSE)</f>
        <v>0</v>
      </c>
      <c r="F53" s="101">
        <f>VLOOKUP(B53,'Full Trial Balance'!$A$4:$G$2306,5,FALSE)</f>
        <v>0</v>
      </c>
      <c r="G53" s="101">
        <f>VLOOKUP(B53,'Full Trial Balance'!$A$4:$G$2306,6,FALSE)</f>
        <v>0</v>
      </c>
      <c r="H53" s="101">
        <f>VLOOKUP(B53,'Full Trial Balance'!$A$4:$G$2306,7,FALSE)</f>
        <v>0</v>
      </c>
      <c r="I53" s="478">
        <f t="shared" si="3"/>
        <v>0</v>
      </c>
    </row>
    <row r="54" spans="1:9" x14ac:dyDescent="0.25">
      <c r="A54" s="124" t="str">
        <f t="shared" si="2"/>
        <v>03</v>
      </c>
      <c r="B54" s="100" t="s">
        <v>897</v>
      </c>
      <c r="C54" s="102" t="s">
        <v>1124</v>
      </c>
      <c r="D54" s="101">
        <f>VLOOKUP(B54,'Full Trial Balance'!$A$4:$G$2306,3,FALSE)</f>
        <v>0</v>
      </c>
      <c r="E54" s="101">
        <f>VLOOKUP(B54,'Full Trial Balance'!$A$4:$G$2306,4,FALSE)</f>
        <v>0</v>
      </c>
      <c r="F54" s="101">
        <f>VLOOKUP(B54,'Full Trial Balance'!$A$4:$G$2306,5,FALSE)</f>
        <v>0</v>
      </c>
      <c r="G54" s="101">
        <f>VLOOKUP(B54,'Full Trial Balance'!$A$4:$G$2306,6,FALSE)</f>
        <v>0</v>
      </c>
      <c r="H54" s="101">
        <f>VLOOKUP(B54,'Full Trial Balance'!$A$4:$G$2306,7,FALSE)</f>
        <v>0</v>
      </c>
      <c r="I54" s="478">
        <f t="shared" si="3"/>
        <v>0</v>
      </c>
    </row>
    <row r="55" spans="1:9" x14ac:dyDescent="0.25">
      <c r="A55" s="124" t="str">
        <f t="shared" si="2"/>
        <v>03</v>
      </c>
      <c r="B55" s="100" t="s">
        <v>898</v>
      </c>
      <c r="C55" s="102" t="s">
        <v>1125</v>
      </c>
      <c r="D55" s="101">
        <f>VLOOKUP(B55,'Full Trial Balance'!$A$4:$G$2306,3,FALSE)</f>
        <v>0</v>
      </c>
      <c r="E55" s="101">
        <f>VLOOKUP(B55,'Full Trial Balance'!$A$4:$G$2306,4,FALSE)</f>
        <v>0</v>
      </c>
      <c r="F55" s="101">
        <f>VLOOKUP(B55,'Full Trial Balance'!$A$4:$G$2306,5,FALSE)</f>
        <v>0</v>
      </c>
      <c r="G55" s="101">
        <f>VLOOKUP(B55,'Full Trial Balance'!$A$4:$G$2306,6,FALSE)</f>
        <v>0</v>
      </c>
      <c r="H55" s="101">
        <f>VLOOKUP(B55,'Full Trial Balance'!$A$4:$G$2306,7,FALSE)</f>
        <v>0</v>
      </c>
      <c r="I55" s="478">
        <f t="shared" si="3"/>
        <v>0</v>
      </c>
    </row>
    <row r="56" spans="1:9" x14ac:dyDescent="0.25">
      <c r="A56" s="124" t="str">
        <f t="shared" si="2"/>
        <v>03</v>
      </c>
      <c r="B56" s="100" t="s">
        <v>899</v>
      </c>
      <c r="C56" s="102" t="s">
        <v>6</v>
      </c>
      <c r="D56" s="101">
        <f>VLOOKUP(B56,'Full Trial Balance'!$A$4:$G$2306,3,FALSE)</f>
        <v>141964</v>
      </c>
      <c r="E56" s="101">
        <f>VLOOKUP(B56,'Full Trial Balance'!$A$4:$G$2306,4,FALSE)</f>
        <v>0</v>
      </c>
      <c r="F56" s="101">
        <f>VLOOKUP(B56,'Full Trial Balance'!$A$4:$G$2306,5,FALSE)</f>
        <v>0</v>
      </c>
      <c r="G56" s="101">
        <f>VLOOKUP(B56,'Full Trial Balance'!$A$4:$G$2306,6,FALSE)</f>
        <v>58139.81</v>
      </c>
      <c r="H56" s="101">
        <f>VLOOKUP(B56,'Full Trial Balance'!$A$4:$G$2306,7,FALSE)</f>
        <v>-58139.81</v>
      </c>
      <c r="I56" s="478">
        <f t="shared" si="3"/>
        <v>0</v>
      </c>
    </row>
    <row r="57" spans="1:9" x14ac:dyDescent="0.25">
      <c r="A57" s="124" t="str">
        <f t="shared" si="2"/>
        <v>03</v>
      </c>
      <c r="B57" s="100" t="s">
        <v>1136</v>
      </c>
      <c r="C57" s="102" t="s">
        <v>855</v>
      </c>
      <c r="D57" s="101">
        <f>VLOOKUP(B57,'Full Trial Balance'!$A$4:$G$2306,3,FALSE)</f>
        <v>0</v>
      </c>
      <c r="E57" s="101">
        <f>VLOOKUP(B57,'Full Trial Balance'!$A$4:$G$2306,4,FALSE)</f>
        <v>0</v>
      </c>
      <c r="F57" s="101">
        <f>VLOOKUP(B57,'Full Trial Balance'!$A$4:$G$2306,5,FALSE)</f>
        <v>0</v>
      </c>
      <c r="G57" s="101">
        <f>VLOOKUP(B57,'Full Trial Balance'!$A$4:$G$2306,6,FALSE)</f>
        <v>0</v>
      </c>
      <c r="H57" s="101">
        <f>VLOOKUP(B57,'Full Trial Balance'!$A$4:$G$2306,7,FALSE)</f>
        <v>0</v>
      </c>
      <c r="I57" s="478">
        <f t="shared" si="3"/>
        <v>0</v>
      </c>
    </row>
    <row r="58" spans="1:9" x14ac:dyDescent="0.25">
      <c r="A58" s="124" t="str">
        <f t="shared" si="2"/>
        <v>03</v>
      </c>
      <c r="B58" s="100" t="s">
        <v>907</v>
      </c>
      <c r="C58" s="102" t="s">
        <v>1126</v>
      </c>
      <c r="D58" s="101">
        <f>VLOOKUP(B58,'Full Trial Balance'!$A$4:$G$2306,3,FALSE)</f>
        <v>17370</v>
      </c>
      <c r="E58" s="101">
        <f>VLOOKUP(B58,'Full Trial Balance'!$A$4:$G$2306,4,FALSE)</f>
        <v>0</v>
      </c>
      <c r="F58" s="101">
        <f>VLOOKUP(B58,'Full Trial Balance'!$A$4:$G$2306,5,FALSE)</f>
        <v>888.25</v>
      </c>
      <c r="G58" s="101">
        <f>VLOOKUP(B58,'Full Trial Balance'!$A$4:$G$2306,6,FALSE)</f>
        <v>24927.91</v>
      </c>
      <c r="H58" s="101">
        <f>VLOOKUP(B58,'Full Trial Balance'!$A$4:$G$2306,7,FALSE)</f>
        <v>-24039.66</v>
      </c>
      <c r="I58" s="478">
        <f t="shared" si="3"/>
        <v>0</v>
      </c>
    </row>
    <row r="59" spans="1:9" x14ac:dyDescent="0.25">
      <c r="A59" s="124" t="str">
        <f t="shared" si="2"/>
        <v>03</v>
      </c>
      <c r="B59" s="100" t="s">
        <v>902</v>
      </c>
      <c r="C59" s="102" t="s">
        <v>8</v>
      </c>
      <c r="D59" s="101">
        <f>VLOOKUP(B59,'Full Trial Balance'!$A$4:$G$2306,3,FALSE)</f>
        <v>12300</v>
      </c>
      <c r="E59" s="101">
        <f>VLOOKUP(B59,'Full Trial Balance'!$A$4:$G$2306,4,FALSE)</f>
        <v>0</v>
      </c>
      <c r="F59" s="101">
        <f>VLOOKUP(B59,'Full Trial Balance'!$A$4:$G$2306,5,FALSE)</f>
        <v>0</v>
      </c>
      <c r="G59" s="101">
        <f>VLOOKUP(B59,'Full Trial Balance'!$A$4:$G$2306,6,FALSE)</f>
        <v>1605</v>
      </c>
      <c r="H59" s="101">
        <f>VLOOKUP(B59,'Full Trial Balance'!$A$4:$G$2306,7,FALSE)</f>
        <v>-1605</v>
      </c>
      <c r="I59" s="478">
        <f t="shared" si="3"/>
        <v>0</v>
      </c>
    </row>
    <row r="60" spans="1:9" x14ac:dyDescent="0.25">
      <c r="A60" s="124" t="str">
        <f t="shared" si="2"/>
        <v>03</v>
      </c>
      <c r="B60" s="100" t="s">
        <v>903</v>
      </c>
      <c r="C60" s="102" t="s">
        <v>188</v>
      </c>
      <c r="D60" s="101">
        <f>VLOOKUP(B60,'Full Trial Balance'!$A$4:$G$2306,3,FALSE)</f>
        <v>1006500</v>
      </c>
      <c r="E60" s="101">
        <f>VLOOKUP(B60,'Full Trial Balance'!$A$4:$G$2306,4,FALSE)</f>
        <v>0</v>
      </c>
      <c r="F60" s="101">
        <f>VLOOKUP(B60,'Full Trial Balance'!$A$4:$G$2306,5,FALSE)</f>
        <v>0</v>
      </c>
      <c r="G60" s="101">
        <f>VLOOKUP(B60,'Full Trial Balance'!$A$4:$G$2306,6,FALSE)</f>
        <v>959975.36</v>
      </c>
      <c r="H60" s="101">
        <f>VLOOKUP(B60,'Full Trial Balance'!$A$4:$G$2306,7,FALSE)</f>
        <v>-959975.36</v>
      </c>
      <c r="I60" s="478">
        <f t="shared" si="3"/>
        <v>0</v>
      </c>
    </row>
    <row r="61" spans="1:9" x14ac:dyDescent="0.25">
      <c r="A61" s="124" t="str">
        <f t="shared" si="2"/>
        <v>03</v>
      </c>
      <c r="B61" s="100" t="s">
        <v>904</v>
      </c>
      <c r="C61" s="102" t="s">
        <v>9</v>
      </c>
      <c r="D61" s="101">
        <f>VLOOKUP(B61,'Full Trial Balance'!$A$4:$G$2306,3,FALSE)</f>
        <v>967270</v>
      </c>
      <c r="E61" s="101">
        <f>VLOOKUP(B61,'Full Trial Balance'!$A$4:$G$2306,4,FALSE)</f>
        <v>0</v>
      </c>
      <c r="F61" s="101">
        <f>VLOOKUP(B61,'Full Trial Balance'!$A$4:$G$2306,5,FALSE)</f>
        <v>0</v>
      </c>
      <c r="G61" s="101">
        <f>VLOOKUP(B61,'Full Trial Balance'!$A$4:$G$2306,6,FALSE)</f>
        <v>485566.75</v>
      </c>
      <c r="H61" s="101">
        <f>VLOOKUP(B61,'Full Trial Balance'!$A$4:$G$2306,7,FALSE)</f>
        <v>-485566.75</v>
      </c>
      <c r="I61" s="478">
        <f t="shared" si="3"/>
        <v>0</v>
      </c>
    </row>
    <row r="62" spans="1:9" x14ac:dyDescent="0.25">
      <c r="A62" s="124" t="str">
        <f t="shared" si="2"/>
        <v>03</v>
      </c>
      <c r="B62" s="100" t="s">
        <v>900</v>
      </c>
      <c r="C62" s="102" t="s">
        <v>10</v>
      </c>
      <c r="D62" s="101">
        <f>VLOOKUP(B62,'Full Trial Balance'!$A$4:$G$2306,3,FALSE)</f>
        <v>0</v>
      </c>
      <c r="E62" s="101">
        <f>VLOOKUP(B62,'Full Trial Balance'!$A$4:$G$2306,4,FALSE)</f>
        <v>0</v>
      </c>
      <c r="F62" s="101">
        <f>VLOOKUP(B62,'Full Trial Balance'!$A$4:$G$2306,5,FALSE)</f>
        <v>0</v>
      </c>
      <c r="G62" s="101">
        <f>VLOOKUP(B62,'Full Trial Balance'!$A$4:$G$2306,6,FALSE)</f>
        <v>0</v>
      </c>
      <c r="H62" s="101">
        <f>VLOOKUP(B62,'Full Trial Balance'!$A$4:$G$2306,7,FALSE)</f>
        <v>0</v>
      </c>
      <c r="I62" s="478">
        <f t="shared" si="3"/>
        <v>0</v>
      </c>
    </row>
    <row r="63" spans="1:9" x14ac:dyDescent="0.25">
      <c r="A63" s="124" t="str">
        <f t="shared" si="2"/>
        <v>03</v>
      </c>
      <c r="B63" s="100" t="s">
        <v>905</v>
      </c>
      <c r="C63" s="102" t="s">
        <v>11</v>
      </c>
      <c r="D63" s="101">
        <f>VLOOKUP(B63,'Full Trial Balance'!$A$4:$G$2306,3,FALSE)</f>
        <v>110000</v>
      </c>
      <c r="E63" s="101">
        <f>VLOOKUP(B63,'Full Trial Balance'!$A$4:$G$2306,4,FALSE)</f>
        <v>0</v>
      </c>
      <c r="F63" s="101">
        <f>VLOOKUP(B63,'Full Trial Balance'!$A$4:$G$2306,5,FALSE)</f>
        <v>0</v>
      </c>
      <c r="G63" s="101">
        <f>VLOOKUP(B63,'Full Trial Balance'!$A$4:$G$2306,6,FALSE)</f>
        <v>78963.53</v>
      </c>
      <c r="H63" s="101">
        <f>VLOOKUP(B63,'Full Trial Balance'!$A$4:$G$2306,7,FALSE)</f>
        <v>-78963.53</v>
      </c>
      <c r="I63" s="478">
        <f t="shared" si="3"/>
        <v>0</v>
      </c>
    </row>
    <row r="64" spans="1:9" x14ac:dyDescent="0.25">
      <c r="A64" s="124" t="str">
        <f t="shared" si="2"/>
        <v>03</v>
      </c>
      <c r="B64" s="100" t="s">
        <v>906</v>
      </c>
      <c r="C64" s="102" t="s">
        <v>12</v>
      </c>
      <c r="D64" s="101">
        <f>VLOOKUP(B64,'Full Trial Balance'!$A$4:$G$2306,3,FALSE)</f>
        <v>1922400</v>
      </c>
      <c r="E64" s="101">
        <f>VLOOKUP(B64,'Full Trial Balance'!$A$4:$G$2306,4,FALSE)</f>
        <v>0</v>
      </c>
      <c r="F64" s="101">
        <f>VLOOKUP(B64,'Full Trial Balance'!$A$4:$G$2306,5,FALSE)</f>
        <v>0</v>
      </c>
      <c r="G64" s="101">
        <f>VLOOKUP(B64,'Full Trial Balance'!$A$4:$G$2306,6,FALSE)</f>
        <v>111287</v>
      </c>
      <c r="H64" s="101">
        <f>VLOOKUP(B64,'Full Trial Balance'!$A$4:$G$2306,7,FALSE)</f>
        <v>-111287</v>
      </c>
      <c r="I64" s="478">
        <f t="shared" si="3"/>
        <v>0</v>
      </c>
    </row>
    <row r="65" spans="1:9" x14ac:dyDescent="0.25">
      <c r="A65" s="124" t="str">
        <f t="shared" si="2"/>
        <v>03</v>
      </c>
      <c r="B65" s="100" t="s">
        <v>916</v>
      </c>
      <c r="C65" s="102" t="s">
        <v>13</v>
      </c>
      <c r="D65" s="101">
        <f>VLOOKUP(B65,'Full Trial Balance'!$A$4:$G$2306,3,FALSE)</f>
        <v>14250</v>
      </c>
      <c r="E65" s="101">
        <f>VLOOKUP(B65,'Full Trial Balance'!$A$4:$G$2306,4,FALSE)</f>
        <v>0</v>
      </c>
      <c r="F65" s="101">
        <f>VLOOKUP(B65,'Full Trial Balance'!$A$4:$G$2306,5,FALSE)</f>
        <v>0</v>
      </c>
      <c r="G65" s="101">
        <f>VLOOKUP(B65,'Full Trial Balance'!$A$4:$G$2306,6,FALSE)</f>
        <v>7095.22</v>
      </c>
      <c r="H65" s="101">
        <f>VLOOKUP(B65,'Full Trial Balance'!$A$4:$G$2306,7,FALSE)</f>
        <v>-7095.22</v>
      </c>
      <c r="I65" s="478">
        <f t="shared" si="3"/>
        <v>0</v>
      </c>
    </row>
    <row r="66" spans="1:9" x14ac:dyDescent="0.25">
      <c r="A66" s="124" t="str">
        <f t="shared" si="2"/>
        <v>03</v>
      </c>
      <c r="B66" s="100" t="s">
        <v>917</v>
      </c>
      <c r="C66" s="102" t="s">
        <v>15</v>
      </c>
      <c r="D66" s="101">
        <f>VLOOKUP(B66,'Full Trial Balance'!$A$4:$G$2306,3,FALSE)</f>
        <v>68000</v>
      </c>
      <c r="E66" s="101">
        <f>VLOOKUP(B66,'Full Trial Balance'!$A$4:$G$2306,4,FALSE)</f>
        <v>0</v>
      </c>
      <c r="F66" s="101">
        <f>VLOOKUP(B66,'Full Trial Balance'!$A$4:$G$2306,5,FALSE)</f>
        <v>6911</v>
      </c>
      <c r="G66" s="101">
        <f>VLOOKUP(B66,'Full Trial Balance'!$A$4:$G$2306,6,FALSE)</f>
        <v>40776.870000000003</v>
      </c>
      <c r="H66" s="101">
        <f>VLOOKUP(B66,'Full Trial Balance'!$A$4:$G$2306,7,FALSE)</f>
        <v>-33865.870000000003</v>
      </c>
      <c r="I66" s="478">
        <f t="shared" si="3"/>
        <v>0</v>
      </c>
    </row>
    <row r="67" spans="1:9" x14ac:dyDescent="0.25">
      <c r="A67" s="124" t="str">
        <f t="shared" si="2"/>
        <v>03</v>
      </c>
      <c r="B67" s="100" t="s">
        <v>946</v>
      </c>
      <c r="C67" s="102" t="s">
        <v>843</v>
      </c>
      <c r="D67" s="101">
        <f>VLOOKUP(B67,'Full Trial Balance'!$A$4:$G$2306,3,FALSE)</f>
        <v>65</v>
      </c>
      <c r="E67" s="101">
        <f>VLOOKUP(B67,'Full Trial Balance'!$A$4:$G$2306,4,FALSE)</f>
        <v>0</v>
      </c>
      <c r="F67" s="101">
        <f>VLOOKUP(B67,'Full Trial Balance'!$A$4:$G$2306,5,FALSE)</f>
        <v>0</v>
      </c>
      <c r="G67" s="101">
        <f>VLOOKUP(B67,'Full Trial Balance'!$A$4:$G$2306,6,FALSE)</f>
        <v>30.92</v>
      </c>
      <c r="H67" s="101">
        <f>VLOOKUP(B67,'Full Trial Balance'!$A$4:$G$2306,7,FALSE)</f>
        <v>-30.92</v>
      </c>
      <c r="I67" s="478">
        <f t="shared" si="3"/>
        <v>0</v>
      </c>
    </row>
    <row r="68" spans="1:9" x14ac:dyDescent="0.25">
      <c r="A68" s="124" t="str">
        <f t="shared" si="2"/>
        <v>03</v>
      </c>
      <c r="B68" s="100" t="s">
        <v>908</v>
      </c>
      <c r="C68" s="102" t="s">
        <v>16</v>
      </c>
      <c r="D68" s="101">
        <f>VLOOKUP(B68,'Full Trial Balance'!$A$4:$G$2306,3,FALSE)</f>
        <v>10000</v>
      </c>
      <c r="E68" s="101">
        <f>VLOOKUP(B68,'Full Trial Balance'!$A$4:$G$2306,4,FALSE)</f>
        <v>0</v>
      </c>
      <c r="F68" s="101">
        <f>VLOOKUP(B68,'Full Trial Balance'!$A$4:$G$2306,5,FALSE)</f>
        <v>0</v>
      </c>
      <c r="G68" s="101">
        <f>VLOOKUP(B68,'Full Trial Balance'!$A$4:$G$2306,6,FALSE)</f>
        <v>2237</v>
      </c>
      <c r="H68" s="101">
        <f>VLOOKUP(B68,'Full Trial Balance'!$A$4:$G$2306,7,FALSE)</f>
        <v>-2237</v>
      </c>
      <c r="I68" s="478">
        <f t="shared" si="3"/>
        <v>0</v>
      </c>
    </row>
    <row r="69" spans="1:9" x14ac:dyDescent="0.25">
      <c r="A69" s="124" t="str">
        <f t="shared" ref="A69:A100" si="4">LEFT(B69,2)</f>
        <v>03</v>
      </c>
      <c r="B69" s="100" t="s">
        <v>909</v>
      </c>
      <c r="C69" s="102" t="s">
        <v>17</v>
      </c>
      <c r="D69" s="101">
        <f>VLOOKUP(B69,'Full Trial Balance'!$A$4:$G$2306,3,FALSE)</f>
        <v>22100</v>
      </c>
      <c r="E69" s="101">
        <f>VLOOKUP(B69,'Full Trial Balance'!$A$4:$G$2306,4,FALSE)</f>
        <v>0</v>
      </c>
      <c r="F69" s="101">
        <f>VLOOKUP(B69,'Full Trial Balance'!$A$4:$G$2306,5,FALSE)</f>
        <v>0</v>
      </c>
      <c r="G69" s="101">
        <f>VLOOKUP(B69,'Full Trial Balance'!$A$4:$G$2306,6,FALSE)</f>
        <v>5538.41</v>
      </c>
      <c r="H69" s="101">
        <f>VLOOKUP(B69,'Full Trial Balance'!$A$4:$G$2306,7,FALSE)</f>
        <v>-5538.41</v>
      </c>
      <c r="I69" s="478">
        <f t="shared" ref="I69:I100" si="5">H69+G69-F69</f>
        <v>0</v>
      </c>
    </row>
    <row r="70" spans="1:9" x14ac:dyDescent="0.25">
      <c r="A70" s="124" t="str">
        <f t="shared" si="4"/>
        <v>03</v>
      </c>
      <c r="B70" s="100" t="s">
        <v>1137</v>
      </c>
      <c r="C70" s="102" t="s">
        <v>18</v>
      </c>
      <c r="D70" s="101">
        <f>VLOOKUP(B70,'Full Trial Balance'!$A$4:$G$2306,3,FALSE)</f>
        <v>0</v>
      </c>
      <c r="E70" s="101">
        <f>VLOOKUP(B70,'Full Trial Balance'!$A$4:$G$2306,4,FALSE)</f>
        <v>0</v>
      </c>
      <c r="F70" s="101">
        <f>VLOOKUP(B70,'Full Trial Balance'!$A$4:$G$2306,5,FALSE)</f>
        <v>0</v>
      </c>
      <c r="G70" s="101">
        <f>VLOOKUP(B70,'Full Trial Balance'!$A$4:$G$2306,6,FALSE)</f>
        <v>0</v>
      </c>
      <c r="H70" s="101">
        <f>VLOOKUP(B70,'Full Trial Balance'!$A$4:$G$2306,7,FALSE)</f>
        <v>0</v>
      </c>
      <c r="I70" s="478">
        <f t="shared" si="5"/>
        <v>0</v>
      </c>
    </row>
    <row r="71" spans="1:9" x14ac:dyDescent="0.25">
      <c r="A71" s="124" t="str">
        <f t="shared" si="4"/>
        <v>03</v>
      </c>
      <c r="B71" s="100" t="s">
        <v>910</v>
      </c>
      <c r="C71" s="102" t="s">
        <v>19</v>
      </c>
      <c r="D71" s="101">
        <f>VLOOKUP(B71,'Full Trial Balance'!$A$4:$G$2306,3,FALSE)</f>
        <v>5000</v>
      </c>
      <c r="E71" s="101">
        <f>VLOOKUP(B71,'Full Trial Balance'!$A$4:$G$2306,4,FALSE)</f>
        <v>0</v>
      </c>
      <c r="F71" s="101">
        <f>VLOOKUP(B71,'Full Trial Balance'!$A$4:$G$2306,5,FALSE)</f>
        <v>226.47</v>
      </c>
      <c r="G71" s="101">
        <f>VLOOKUP(B71,'Full Trial Balance'!$A$4:$G$2306,6,FALSE)</f>
        <v>7668</v>
      </c>
      <c r="H71" s="101">
        <f>VLOOKUP(B71,'Full Trial Balance'!$A$4:$G$2306,7,FALSE)</f>
        <v>-7441.53</v>
      </c>
      <c r="I71" s="478">
        <f t="shared" si="5"/>
        <v>2.5579538487363607E-13</v>
      </c>
    </row>
    <row r="72" spans="1:9" x14ac:dyDescent="0.25">
      <c r="A72" s="124" t="str">
        <f t="shared" si="4"/>
        <v>03</v>
      </c>
      <c r="B72" s="100" t="s">
        <v>911</v>
      </c>
      <c r="C72" s="102" t="s">
        <v>1128</v>
      </c>
      <c r="D72" s="101">
        <f>VLOOKUP(B72,'Full Trial Balance'!$A$4:$G$2306,3,FALSE)</f>
        <v>19550</v>
      </c>
      <c r="E72" s="101">
        <f>VLOOKUP(B72,'Full Trial Balance'!$A$4:$G$2306,4,FALSE)</f>
        <v>0</v>
      </c>
      <c r="F72" s="101">
        <f>VLOOKUP(B72,'Full Trial Balance'!$A$4:$G$2306,5,FALSE)</f>
        <v>0</v>
      </c>
      <c r="G72" s="101">
        <f>VLOOKUP(B72,'Full Trial Balance'!$A$4:$G$2306,6,FALSE)</f>
        <v>0</v>
      </c>
      <c r="H72" s="101">
        <f>VLOOKUP(B72,'Full Trial Balance'!$A$4:$G$2306,7,FALSE)</f>
        <v>0</v>
      </c>
      <c r="I72" s="478">
        <f t="shared" si="5"/>
        <v>0</v>
      </c>
    </row>
    <row r="73" spans="1:9" x14ac:dyDescent="0.25">
      <c r="A73" s="124" t="str">
        <f t="shared" si="4"/>
        <v>03</v>
      </c>
      <c r="B73" s="100" t="s">
        <v>950</v>
      </c>
      <c r="C73" s="102" t="s">
        <v>1129</v>
      </c>
      <c r="D73" s="101">
        <f>VLOOKUP(B73,'Full Trial Balance'!$A$4:$G$2306,3,FALSE)</f>
        <v>5650</v>
      </c>
      <c r="E73" s="101">
        <f>VLOOKUP(B73,'Full Trial Balance'!$A$4:$G$2306,4,FALSE)</f>
        <v>0</v>
      </c>
      <c r="F73" s="101">
        <f>VLOOKUP(B73,'Full Trial Balance'!$A$4:$G$2306,5,FALSE)</f>
        <v>0</v>
      </c>
      <c r="G73" s="101">
        <f>VLOOKUP(B73,'Full Trial Balance'!$A$4:$G$2306,6,FALSE)</f>
        <v>0</v>
      </c>
      <c r="H73" s="101">
        <f>VLOOKUP(B73,'Full Trial Balance'!$A$4:$G$2306,7,FALSE)</f>
        <v>0</v>
      </c>
      <c r="I73" s="478">
        <f t="shared" si="5"/>
        <v>0</v>
      </c>
    </row>
    <row r="74" spans="1:9" x14ac:dyDescent="0.25">
      <c r="A74" s="124" t="str">
        <f t="shared" si="4"/>
        <v>03</v>
      </c>
      <c r="B74" s="100" t="s">
        <v>912</v>
      </c>
      <c r="C74" s="102" t="s">
        <v>181</v>
      </c>
      <c r="D74" s="101">
        <f>VLOOKUP(B74,'Full Trial Balance'!$A$4:$G$2306,3,FALSE)</f>
        <v>24000</v>
      </c>
      <c r="E74" s="101">
        <f>VLOOKUP(B74,'Full Trial Balance'!$A$4:$G$2306,4,FALSE)</f>
        <v>0</v>
      </c>
      <c r="F74" s="101">
        <f>VLOOKUP(B74,'Full Trial Balance'!$A$4:$G$2306,5,FALSE)</f>
        <v>0</v>
      </c>
      <c r="G74" s="101">
        <f>VLOOKUP(B74,'Full Trial Balance'!$A$4:$G$2306,6,FALSE)</f>
        <v>12000</v>
      </c>
      <c r="H74" s="101">
        <f>VLOOKUP(B74,'Full Trial Balance'!$A$4:$G$2306,7,FALSE)</f>
        <v>-12000</v>
      </c>
      <c r="I74" s="478">
        <f t="shared" si="5"/>
        <v>0</v>
      </c>
    </row>
    <row r="75" spans="1:9" x14ac:dyDescent="0.25">
      <c r="A75" s="124" t="str">
        <f t="shared" si="4"/>
        <v>03</v>
      </c>
      <c r="B75" s="100" t="s">
        <v>913</v>
      </c>
      <c r="C75" s="102" t="s">
        <v>21</v>
      </c>
      <c r="D75" s="101">
        <f>VLOOKUP(B75,'Full Trial Balance'!$A$4:$G$2306,3,FALSE)</f>
        <v>0</v>
      </c>
      <c r="E75" s="101">
        <f>VLOOKUP(B75,'Full Trial Balance'!$A$4:$G$2306,4,FALSE)</f>
        <v>0</v>
      </c>
      <c r="F75" s="101">
        <f>VLOOKUP(B75,'Full Trial Balance'!$A$4:$G$2306,5,FALSE)</f>
        <v>8040.62</v>
      </c>
      <c r="G75" s="101">
        <f>VLOOKUP(B75,'Full Trial Balance'!$A$4:$G$2306,6,FALSE)</f>
        <v>198658.95</v>
      </c>
      <c r="H75" s="101">
        <f>VLOOKUP(B75,'Full Trial Balance'!$A$4:$G$2306,7,FALSE)</f>
        <v>-190618.33</v>
      </c>
      <c r="I75" s="478">
        <f t="shared" si="5"/>
        <v>2.4556356947869062E-11</v>
      </c>
    </row>
    <row r="76" spans="1:9" x14ac:dyDescent="0.25">
      <c r="A76" s="124" t="str">
        <f t="shared" si="4"/>
        <v>03</v>
      </c>
      <c r="B76" s="100" t="s">
        <v>1138</v>
      </c>
      <c r="C76" s="102" t="s">
        <v>1131</v>
      </c>
      <c r="D76" s="101">
        <f>VLOOKUP(B76,'Full Trial Balance'!$A$4:$G$2306,3,FALSE)</f>
        <v>93307.97</v>
      </c>
      <c r="E76" s="101">
        <f>VLOOKUP(B76,'Full Trial Balance'!$A$4:$G$2306,4,FALSE)</f>
        <v>0</v>
      </c>
      <c r="F76" s="101">
        <f>VLOOKUP(B76,'Full Trial Balance'!$A$4:$G$2306,5,FALSE)</f>
        <v>0</v>
      </c>
      <c r="G76" s="101">
        <f>VLOOKUP(B76,'Full Trial Balance'!$A$4:$G$2306,6,FALSE)</f>
        <v>44859.6</v>
      </c>
      <c r="H76" s="101">
        <f>VLOOKUP(B76,'Full Trial Balance'!$A$4:$G$2306,7,FALSE)</f>
        <v>-44859.6</v>
      </c>
      <c r="I76" s="478">
        <f t="shared" si="5"/>
        <v>0</v>
      </c>
    </row>
    <row r="77" spans="1:9" x14ac:dyDescent="0.25">
      <c r="A77" s="124" t="str">
        <f t="shared" si="4"/>
        <v>03</v>
      </c>
      <c r="B77" s="100" t="s">
        <v>915</v>
      </c>
      <c r="C77" s="102" t="s">
        <v>32</v>
      </c>
      <c r="D77" s="101">
        <f>VLOOKUP(B77,'Full Trial Balance'!$A$4:$G$2306,3,FALSE)</f>
        <v>0</v>
      </c>
      <c r="E77" s="101">
        <f>VLOOKUP(B77,'Full Trial Balance'!$A$4:$G$2306,4,FALSE)</f>
        <v>0</v>
      </c>
      <c r="F77" s="101">
        <f>VLOOKUP(B77,'Full Trial Balance'!$A$4:$G$2306,5,FALSE)</f>
        <v>0</v>
      </c>
      <c r="G77" s="101">
        <f>VLOOKUP(B77,'Full Trial Balance'!$A$4:$G$2306,6,FALSE)</f>
        <v>0</v>
      </c>
      <c r="H77" s="101">
        <f>VLOOKUP(B77,'Full Trial Balance'!$A$4:$G$2306,7,FALSE)</f>
        <v>0</v>
      </c>
      <c r="I77" s="478">
        <f t="shared" si="5"/>
        <v>0</v>
      </c>
    </row>
    <row r="78" spans="1:9" x14ac:dyDescent="0.25">
      <c r="A78" s="124" t="str">
        <f t="shared" si="4"/>
        <v>03</v>
      </c>
      <c r="B78" s="100" t="s">
        <v>914</v>
      </c>
      <c r="C78" s="102" t="s">
        <v>867</v>
      </c>
      <c r="D78" s="101">
        <f>VLOOKUP(B78,'Full Trial Balance'!$A$4:$G$2306,3,FALSE)</f>
        <v>0</v>
      </c>
      <c r="E78" s="101">
        <f>VLOOKUP(B78,'Full Trial Balance'!$A$4:$G$2306,4,FALSE)</f>
        <v>0</v>
      </c>
      <c r="F78" s="101">
        <f>VLOOKUP(B78,'Full Trial Balance'!$A$4:$G$2306,5,FALSE)</f>
        <v>0</v>
      </c>
      <c r="G78" s="101">
        <f>VLOOKUP(B78,'Full Trial Balance'!$A$4:$G$2306,6,FALSE)</f>
        <v>0</v>
      </c>
      <c r="H78" s="101">
        <f>VLOOKUP(B78,'Full Trial Balance'!$A$4:$G$2306,7,FALSE)</f>
        <v>0</v>
      </c>
      <c r="I78" s="478">
        <f t="shared" si="5"/>
        <v>0</v>
      </c>
    </row>
    <row r="79" spans="1:9" x14ac:dyDescent="0.25">
      <c r="A79" s="124" t="str">
        <f t="shared" si="4"/>
        <v>04</v>
      </c>
      <c r="B79" s="100" t="s">
        <v>925</v>
      </c>
      <c r="C79" s="102" t="s">
        <v>1126</v>
      </c>
      <c r="D79" s="101">
        <f>VLOOKUP(B79,'Full Trial Balance'!$A$4:$G$2306,3,FALSE)</f>
        <v>0</v>
      </c>
      <c r="E79" s="101">
        <f>VLOOKUP(B79,'Full Trial Balance'!$A$4:$G$2306,4,FALSE)</f>
        <v>0</v>
      </c>
      <c r="F79" s="101">
        <f>VLOOKUP(B79,'Full Trial Balance'!$A$4:$G$2306,5,FALSE)</f>
        <v>0</v>
      </c>
      <c r="G79" s="101">
        <f>VLOOKUP(B79,'Full Trial Balance'!$A$4:$G$2306,6,FALSE)</f>
        <v>0</v>
      </c>
      <c r="H79" s="101">
        <f>VLOOKUP(B79,'Full Trial Balance'!$A$4:$G$2306,7,FALSE)</f>
        <v>0</v>
      </c>
      <c r="I79" s="478">
        <f t="shared" si="5"/>
        <v>0</v>
      </c>
    </row>
    <row r="80" spans="1:9" x14ac:dyDescent="0.25">
      <c r="A80" s="124" t="str">
        <f t="shared" si="4"/>
        <v>04</v>
      </c>
      <c r="B80" s="100" t="s">
        <v>924</v>
      </c>
      <c r="C80" s="102" t="s">
        <v>11</v>
      </c>
      <c r="D80" s="101">
        <f>VLOOKUP(B80,'Full Trial Balance'!$A$4:$G$2306,3,FALSE)</f>
        <v>33000</v>
      </c>
      <c r="E80" s="101">
        <f>VLOOKUP(B80,'Full Trial Balance'!$A$4:$G$2306,4,FALSE)</f>
        <v>0</v>
      </c>
      <c r="F80" s="101">
        <f>VLOOKUP(B80,'Full Trial Balance'!$A$4:$G$2306,5,FALSE)</f>
        <v>12</v>
      </c>
      <c r="G80" s="101">
        <f>VLOOKUP(B80,'Full Trial Balance'!$A$4:$G$2306,6,FALSE)</f>
        <v>18663.490000000002</v>
      </c>
      <c r="H80" s="101">
        <f>VLOOKUP(B80,'Full Trial Balance'!$A$4:$G$2306,7,FALSE)</f>
        <v>-18651.490000000002</v>
      </c>
      <c r="I80" s="478">
        <f t="shared" si="5"/>
        <v>0</v>
      </c>
    </row>
    <row r="81" spans="1:9" x14ac:dyDescent="0.25">
      <c r="A81" s="124" t="str">
        <f t="shared" si="4"/>
        <v>04</v>
      </c>
      <c r="B81" s="100" t="s">
        <v>921</v>
      </c>
      <c r="C81" s="102" t="s">
        <v>12</v>
      </c>
      <c r="D81" s="101">
        <f>VLOOKUP(B81,'Full Trial Balance'!$A$4:$G$2306,3,FALSE)</f>
        <v>667722</v>
      </c>
      <c r="E81" s="101">
        <f>VLOOKUP(B81,'Full Trial Balance'!$A$4:$G$2306,4,FALSE)</f>
        <v>0</v>
      </c>
      <c r="F81" s="101">
        <f>VLOOKUP(B81,'Full Trial Balance'!$A$4:$G$2306,5,FALSE)</f>
        <v>0</v>
      </c>
      <c r="G81" s="101">
        <f>VLOOKUP(B81,'Full Trial Balance'!$A$4:$G$2306,6,FALSE)</f>
        <v>25784</v>
      </c>
      <c r="H81" s="101">
        <f>VLOOKUP(B81,'Full Trial Balance'!$A$4:$G$2306,7,FALSE)</f>
        <v>-25784</v>
      </c>
      <c r="I81" s="478">
        <f t="shared" si="5"/>
        <v>0</v>
      </c>
    </row>
    <row r="82" spans="1:9" x14ac:dyDescent="0.25">
      <c r="A82" s="124" t="str">
        <f t="shared" si="4"/>
        <v>04</v>
      </c>
      <c r="B82" s="100" t="s">
        <v>933</v>
      </c>
      <c r="C82" s="102" t="s">
        <v>13</v>
      </c>
      <c r="D82" s="101">
        <f>VLOOKUP(B82,'Full Trial Balance'!$A$4:$G$2306,3,FALSE)</f>
        <v>3800</v>
      </c>
      <c r="E82" s="101">
        <f>VLOOKUP(B82,'Full Trial Balance'!$A$4:$G$2306,4,FALSE)</f>
        <v>0</v>
      </c>
      <c r="F82" s="101">
        <f>VLOOKUP(B82,'Full Trial Balance'!$A$4:$G$2306,5,FALSE)</f>
        <v>0</v>
      </c>
      <c r="G82" s="101">
        <f>VLOOKUP(B82,'Full Trial Balance'!$A$4:$G$2306,6,FALSE)</f>
        <v>1849.76</v>
      </c>
      <c r="H82" s="101">
        <f>VLOOKUP(B82,'Full Trial Balance'!$A$4:$G$2306,7,FALSE)</f>
        <v>-1849.76</v>
      </c>
      <c r="I82" s="478">
        <f t="shared" si="5"/>
        <v>0</v>
      </c>
    </row>
    <row r="83" spans="1:9" x14ac:dyDescent="0.25">
      <c r="A83" s="124" t="str">
        <f t="shared" si="4"/>
        <v>04</v>
      </c>
      <c r="B83" s="100" t="s">
        <v>934</v>
      </c>
      <c r="C83" s="102" t="s">
        <v>15</v>
      </c>
      <c r="D83" s="101">
        <f>VLOOKUP(B83,'Full Trial Balance'!$A$4:$G$2306,3,FALSE)</f>
        <v>29000</v>
      </c>
      <c r="E83" s="101">
        <f>VLOOKUP(B83,'Full Trial Balance'!$A$4:$G$2306,4,FALSE)</f>
        <v>0</v>
      </c>
      <c r="F83" s="101">
        <f>VLOOKUP(B83,'Full Trial Balance'!$A$4:$G$2306,5,FALSE)</f>
        <v>2694</v>
      </c>
      <c r="G83" s="101">
        <f>VLOOKUP(B83,'Full Trial Balance'!$A$4:$G$2306,6,FALSE)</f>
        <v>16908.849999999999</v>
      </c>
      <c r="H83" s="101">
        <f>VLOOKUP(B83,'Full Trial Balance'!$A$4:$G$2306,7,FALSE)</f>
        <v>-14214.85</v>
      </c>
      <c r="I83" s="478">
        <f t="shared" si="5"/>
        <v>0</v>
      </c>
    </row>
    <row r="84" spans="1:9" x14ac:dyDescent="0.25">
      <c r="A84" s="124" t="str">
        <f t="shared" si="4"/>
        <v>04</v>
      </c>
      <c r="B84" s="100" t="s">
        <v>945</v>
      </c>
      <c r="C84" s="102" t="s">
        <v>843</v>
      </c>
      <c r="D84" s="101">
        <f>VLOOKUP(B84,'Full Trial Balance'!$A$4:$G$2306,3,FALSE)</f>
        <v>20</v>
      </c>
      <c r="E84" s="101">
        <f>VLOOKUP(B84,'Full Trial Balance'!$A$4:$G$2306,4,FALSE)</f>
        <v>0</v>
      </c>
      <c r="F84" s="101">
        <f>VLOOKUP(B84,'Full Trial Balance'!$A$4:$G$2306,5,FALSE)</f>
        <v>0</v>
      </c>
      <c r="G84" s="101">
        <f>VLOOKUP(B84,'Full Trial Balance'!$A$4:$G$2306,6,FALSE)</f>
        <v>8.66</v>
      </c>
      <c r="H84" s="101">
        <f>VLOOKUP(B84,'Full Trial Balance'!$A$4:$G$2306,7,FALSE)</f>
        <v>-8.66</v>
      </c>
      <c r="I84" s="478">
        <f t="shared" si="5"/>
        <v>0</v>
      </c>
    </row>
    <row r="85" spans="1:9" x14ac:dyDescent="0.25">
      <c r="A85" s="124" t="str">
        <f t="shared" si="4"/>
        <v>04</v>
      </c>
      <c r="B85" s="100" t="s">
        <v>926</v>
      </c>
      <c r="C85" s="102" t="s">
        <v>16</v>
      </c>
      <c r="D85" s="101">
        <f>VLOOKUP(B85,'Full Trial Balance'!$A$4:$G$2306,3,FALSE)</f>
        <v>10000</v>
      </c>
      <c r="E85" s="101">
        <f>VLOOKUP(B85,'Full Trial Balance'!$A$4:$G$2306,4,FALSE)</f>
        <v>0</v>
      </c>
      <c r="F85" s="101">
        <f>VLOOKUP(B85,'Full Trial Balance'!$A$4:$G$2306,5,FALSE)</f>
        <v>0</v>
      </c>
      <c r="G85" s="101">
        <f>VLOOKUP(B85,'Full Trial Balance'!$A$4:$G$2306,6,FALSE)</f>
        <v>2207</v>
      </c>
      <c r="H85" s="101">
        <f>VLOOKUP(B85,'Full Trial Balance'!$A$4:$G$2306,7,FALSE)</f>
        <v>-2207</v>
      </c>
      <c r="I85" s="478">
        <f t="shared" si="5"/>
        <v>0</v>
      </c>
    </row>
    <row r="86" spans="1:9" x14ac:dyDescent="0.25">
      <c r="A86" s="124" t="str">
        <f t="shared" si="4"/>
        <v>04</v>
      </c>
      <c r="B86" s="100" t="s">
        <v>927</v>
      </c>
      <c r="C86" s="102" t="s">
        <v>17</v>
      </c>
      <c r="D86" s="101">
        <f>VLOOKUP(B86,'Full Trial Balance'!$A$4:$G$2306,3,FALSE)</f>
        <v>4675</v>
      </c>
      <c r="E86" s="101">
        <f>VLOOKUP(B86,'Full Trial Balance'!$A$4:$G$2306,4,FALSE)</f>
        <v>0</v>
      </c>
      <c r="F86" s="101">
        <f>VLOOKUP(B86,'Full Trial Balance'!$A$4:$G$2306,5,FALSE)</f>
        <v>0</v>
      </c>
      <c r="G86" s="101">
        <f>VLOOKUP(B86,'Full Trial Balance'!$A$4:$G$2306,6,FALSE)</f>
        <v>9508.1299999999992</v>
      </c>
      <c r="H86" s="101">
        <f>VLOOKUP(B86,'Full Trial Balance'!$A$4:$G$2306,7,FALSE)</f>
        <v>-9508.1299999999992</v>
      </c>
      <c r="I86" s="478">
        <f t="shared" si="5"/>
        <v>0</v>
      </c>
    </row>
    <row r="87" spans="1:9" x14ac:dyDescent="0.25">
      <c r="A87" s="124" t="str">
        <f t="shared" si="4"/>
        <v>04</v>
      </c>
      <c r="B87" s="100" t="s">
        <v>1139</v>
      </c>
      <c r="C87" s="102" t="s">
        <v>18</v>
      </c>
      <c r="D87" s="101">
        <f>VLOOKUP(B87,'Full Trial Balance'!$A$4:$G$2306,3,FALSE)</f>
        <v>0</v>
      </c>
      <c r="E87" s="101">
        <f>VLOOKUP(B87,'Full Trial Balance'!$A$4:$G$2306,4,FALSE)</f>
        <v>0</v>
      </c>
      <c r="F87" s="101">
        <f>VLOOKUP(B87,'Full Trial Balance'!$A$4:$G$2306,5,FALSE)</f>
        <v>0</v>
      </c>
      <c r="G87" s="101">
        <f>VLOOKUP(B87,'Full Trial Balance'!$A$4:$G$2306,6,FALSE)</f>
        <v>0</v>
      </c>
      <c r="H87" s="101">
        <f>VLOOKUP(B87,'Full Trial Balance'!$A$4:$G$2306,7,FALSE)</f>
        <v>0</v>
      </c>
      <c r="I87" s="478">
        <f t="shared" si="5"/>
        <v>0</v>
      </c>
    </row>
    <row r="88" spans="1:9" x14ac:dyDescent="0.25">
      <c r="A88" s="124" t="str">
        <f t="shared" si="4"/>
        <v>04</v>
      </c>
      <c r="B88" s="100" t="s">
        <v>928</v>
      </c>
      <c r="C88" s="102" t="s">
        <v>1128</v>
      </c>
      <c r="D88" s="101">
        <f>VLOOKUP(B88,'Full Trial Balance'!$A$4:$G$2306,3,FALSE)</f>
        <v>7800</v>
      </c>
      <c r="E88" s="101">
        <f>VLOOKUP(B88,'Full Trial Balance'!$A$4:$G$2306,4,FALSE)</f>
        <v>0</v>
      </c>
      <c r="F88" s="101">
        <f>VLOOKUP(B88,'Full Trial Balance'!$A$4:$G$2306,5,FALSE)</f>
        <v>0</v>
      </c>
      <c r="G88" s="101">
        <f>VLOOKUP(B88,'Full Trial Balance'!$A$4:$G$2306,6,FALSE)</f>
        <v>0</v>
      </c>
      <c r="H88" s="101">
        <f>VLOOKUP(B88,'Full Trial Balance'!$A$4:$G$2306,7,FALSE)</f>
        <v>0</v>
      </c>
      <c r="I88" s="478">
        <f t="shared" si="5"/>
        <v>0</v>
      </c>
    </row>
    <row r="89" spans="1:9" x14ac:dyDescent="0.25">
      <c r="A89" s="124" t="str">
        <f t="shared" si="4"/>
        <v>04</v>
      </c>
      <c r="B89" s="100" t="s">
        <v>949</v>
      </c>
      <c r="C89" s="102" t="s">
        <v>1129</v>
      </c>
      <c r="D89" s="101">
        <f>VLOOKUP(B89,'Full Trial Balance'!$A$4:$G$2306,3,FALSE)</f>
        <v>1550</v>
      </c>
      <c r="E89" s="101">
        <f>VLOOKUP(B89,'Full Trial Balance'!$A$4:$G$2306,4,FALSE)</f>
        <v>0</v>
      </c>
      <c r="F89" s="101">
        <f>VLOOKUP(B89,'Full Trial Balance'!$A$4:$G$2306,5,FALSE)</f>
        <v>0</v>
      </c>
      <c r="G89" s="101">
        <f>VLOOKUP(B89,'Full Trial Balance'!$A$4:$G$2306,6,FALSE)</f>
        <v>0</v>
      </c>
      <c r="H89" s="101">
        <f>VLOOKUP(B89,'Full Trial Balance'!$A$4:$G$2306,7,FALSE)</f>
        <v>0</v>
      </c>
      <c r="I89" s="478">
        <f t="shared" si="5"/>
        <v>0</v>
      </c>
    </row>
    <row r="90" spans="1:9" x14ac:dyDescent="0.25">
      <c r="A90" s="124" t="str">
        <f t="shared" si="4"/>
        <v>04</v>
      </c>
      <c r="B90" s="100" t="s">
        <v>929</v>
      </c>
      <c r="C90" s="102" t="s">
        <v>181</v>
      </c>
      <c r="D90" s="101">
        <f>VLOOKUP(B90,'Full Trial Balance'!$A$4:$G$2306,3,FALSE)</f>
        <v>0</v>
      </c>
      <c r="E90" s="101">
        <f>VLOOKUP(B90,'Full Trial Balance'!$A$4:$G$2306,4,FALSE)</f>
        <v>0</v>
      </c>
      <c r="F90" s="101">
        <f>VLOOKUP(B90,'Full Trial Balance'!$A$4:$G$2306,5,FALSE)</f>
        <v>0</v>
      </c>
      <c r="G90" s="101">
        <f>VLOOKUP(B90,'Full Trial Balance'!$A$4:$G$2306,6,FALSE)</f>
        <v>0</v>
      </c>
      <c r="H90" s="101">
        <f>VLOOKUP(B90,'Full Trial Balance'!$A$4:$G$2306,7,FALSE)</f>
        <v>0</v>
      </c>
      <c r="I90" s="478">
        <f t="shared" si="5"/>
        <v>0</v>
      </c>
    </row>
    <row r="91" spans="1:9" x14ac:dyDescent="0.25">
      <c r="A91" s="124" t="str">
        <f t="shared" si="4"/>
        <v>04</v>
      </c>
      <c r="B91" s="100" t="s">
        <v>930</v>
      </c>
      <c r="C91" s="102" t="s">
        <v>21</v>
      </c>
      <c r="D91" s="101">
        <f>VLOOKUP(B91,'Full Trial Balance'!$A$4:$G$2306,3,FALSE)</f>
        <v>0</v>
      </c>
      <c r="E91" s="101">
        <f>VLOOKUP(B91,'Full Trial Balance'!$A$4:$G$2306,4,FALSE)</f>
        <v>0</v>
      </c>
      <c r="F91" s="101">
        <f>VLOOKUP(B91,'Full Trial Balance'!$A$4:$G$2306,5,FALSE)</f>
        <v>1607.53</v>
      </c>
      <c r="G91" s="101">
        <f>VLOOKUP(B91,'Full Trial Balance'!$A$4:$G$2306,6,FALSE)</f>
        <v>53914.04</v>
      </c>
      <c r="H91" s="101">
        <f>VLOOKUP(B91,'Full Trial Balance'!$A$4:$G$2306,7,FALSE)</f>
        <v>-52306.51</v>
      </c>
      <c r="I91" s="478">
        <f t="shared" si="5"/>
        <v>0</v>
      </c>
    </row>
    <row r="92" spans="1:9" x14ac:dyDescent="0.25">
      <c r="A92" s="124" t="str">
        <f t="shared" si="4"/>
        <v>04</v>
      </c>
      <c r="B92" s="100" t="s">
        <v>1140</v>
      </c>
      <c r="C92" s="102" t="s">
        <v>1131</v>
      </c>
      <c r="D92" s="101">
        <f>VLOOKUP(B92,'Full Trial Balance'!$A$4:$G$2306,3,FALSE)</f>
        <v>19738.22</v>
      </c>
      <c r="E92" s="101">
        <f>VLOOKUP(B92,'Full Trial Balance'!$A$4:$G$2306,4,FALSE)</f>
        <v>0</v>
      </c>
      <c r="F92" s="101">
        <f>VLOOKUP(B92,'Full Trial Balance'!$A$4:$G$2306,5,FALSE)</f>
        <v>0</v>
      </c>
      <c r="G92" s="101">
        <f>VLOOKUP(B92,'Full Trial Balance'!$A$4:$G$2306,6,FALSE)</f>
        <v>9869.1200000000008</v>
      </c>
      <c r="H92" s="101">
        <f>VLOOKUP(B92,'Full Trial Balance'!$A$4:$G$2306,7,FALSE)</f>
        <v>-9869.1200000000008</v>
      </c>
      <c r="I92" s="478">
        <f t="shared" si="5"/>
        <v>0</v>
      </c>
    </row>
    <row r="93" spans="1:9" x14ac:dyDescent="0.25">
      <c r="A93" s="124" t="str">
        <f t="shared" si="4"/>
        <v>04</v>
      </c>
      <c r="B93" s="100" t="s">
        <v>923</v>
      </c>
      <c r="C93" s="102" t="s">
        <v>22</v>
      </c>
      <c r="D93" s="101">
        <f>VLOOKUP(B93,'Full Trial Balance'!$A$4:$G$2306,3,FALSE)</f>
        <v>1933260</v>
      </c>
      <c r="E93" s="101">
        <f>VLOOKUP(B93,'Full Trial Balance'!$A$4:$G$2306,4,FALSE)</f>
        <v>0</v>
      </c>
      <c r="F93" s="101">
        <f>VLOOKUP(B93,'Full Trial Balance'!$A$4:$G$2306,5,FALSE)</f>
        <v>5086.43</v>
      </c>
      <c r="G93" s="101">
        <f>VLOOKUP(B93,'Full Trial Balance'!$A$4:$G$2306,6,FALSE)</f>
        <v>892391.59</v>
      </c>
      <c r="H93" s="101">
        <f>VLOOKUP(B93,'Full Trial Balance'!$A$4:$G$2306,7,FALSE)</f>
        <v>-887305.16</v>
      </c>
      <c r="I93" s="478">
        <f t="shared" si="5"/>
        <v>-6.5483618527650833E-11</v>
      </c>
    </row>
    <row r="94" spans="1:9" x14ac:dyDescent="0.25">
      <c r="A94" s="124" t="str">
        <f t="shared" si="4"/>
        <v>04</v>
      </c>
      <c r="B94" s="100" t="s">
        <v>922</v>
      </c>
      <c r="C94" s="102" t="s">
        <v>1135</v>
      </c>
      <c r="D94" s="101">
        <f>VLOOKUP(B94,'Full Trial Balance'!$A$4:$G$2306,3,FALSE)</f>
        <v>0</v>
      </c>
      <c r="E94" s="101">
        <f>VLOOKUP(B94,'Full Trial Balance'!$A$4:$G$2306,4,FALSE)</f>
        <v>0</v>
      </c>
      <c r="F94" s="101">
        <f>VLOOKUP(B94,'Full Trial Balance'!$A$4:$G$2306,5,FALSE)</f>
        <v>0</v>
      </c>
      <c r="G94" s="101">
        <f>VLOOKUP(B94,'Full Trial Balance'!$A$4:$G$2306,6,FALSE)</f>
        <v>0</v>
      </c>
      <c r="H94" s="101">
        <f>VLOOKUP(B94,'Full Trial Balance'!$A$4:$G$2306,7,FALSE)</f>
        <v>0</v>
      </c>
      <c r="I94" s="478">
        <f t="shared" si="5"/>
        <v>0</v>
      </c>
    </row>
    <row r="95" spans="1:9" x14ac:dyDescent="0.25">
      <c r="A95" s="124" t="str">
        <f t="shared" si="4"/>
        <v>04</v>
      </c>
      <c r="B95" s="100" t="s">
        <v>932</v>
      </c>
      <c r="C95" s="102" t="s">
        <v>32</v>
      </c>
      <c r="D95" s="101">
        <f>VLOOKUP(B95,'Full Trial Balance'!$A$4:$G$2306,3,FALSE)</f>
        <v>0</v>
      </c>
      <c r="E95" s="101">
        <f>VLOOKUP(B95,'Full Trial Balance'!$A$4:$G$2306,4,FALSE)</f>
        <v>0</v>
      </c>
      <c r="F95" s="101">
        <f>VLOOKUP(B95,'Full Trial Balance'!$A$4:$G$2306,5,FALSE)</f>
        <v>0</v>
      </c>
      <c r="G95" s="101">
        <f>VLOOKUP(B95,'Full Trial Balance'!$A$4:$G$2306,6,FALSE)</f>
        <v>0</v>
      </c>
      <c r="H95" s="101">
        <f>VLOOKUP(B95,'Full Trial Balance'!$A$4:$G$2306,7,FALSE)</f>
        <v>0</v>
      </c>
      <c r="I95" s="478">
        <f t="shared" si="5"/>
        <v>0</v>
      </c>
    </row>
    <row r="96" spans="1:9" x14ac:dyDescent="0.25">
      <c r="A96" s="124" t="str">
        <f t="shared" si="4"/>
        <v>04</v>
      </c>
      <c r="B96" s="100" t="s">
        <v>931</v>
      </c>
      <c r="C96" s="102" t="s">
        <v>867</v>
      </c>
      <c r="D96" s="101">
        <f>VLOOKUP(B96,'Full Trial Balance'!$A$4:$G$2306,3,FALSE)</f>
        <v>0</v>
      </c>
      <c r="E96" s="101">
        <f>VLOOKUP(B96,'Full Trial Balance'!$A$4:$G$2306,4,FALSE)</f>
        <v>0</v>
      </c>
      <c r="F96" s="101">
        <f>VLOOKUP(B96,'Full Trial Balance'!$A$4:$G$2306,5,FALSE)</f>
        <v>0</v>
      </c>
      <c r="G96" s="101">
        <f>VLOOKUP(B96,'Full Trial Balance'!$A$4:$G$2306,6,FALSE)</f>
        <v>0</v>
      </c>
      <c r="H96" s="101">
        <f>VLOOKUP(B96,'Full Trial Balance'!$A$4:$G$2306,7,FALSE)</f>
        <v>0</v>
      </c>
      <c r="I96" s="478">
        <f t="shared" si="5"/>
        <v>0</v>
      </c>
    </row>
    <row r="97" spans="1:9" x14ac:dyDescent="0.25">
      <c r="A97" s="124" t="str">
        <f t="shared" si="4"/>
        <v>05</v>
      </c>
      <c r="B97" s="100" t="s">
        <v>943</v>
      </c>
      <c r="C97" s="102" t="s">
        <v>15</v>
      </c>
      <c r="D97" s="101">
        <f>VLOOKUP(B97,'Full Trial Balance'!$A$4:$G$2306,3,FALSE)</f>
        <v>8000</v>
      </c>
      <c r="E97" s="101">
        <f>VLOOKUP(B97,'Full Trial Balance'!$A$4:$G$2306,4,FALSE)</f>
        <v>0</v>
      </c>
      <c r="F97" s="101">
        <f>VLOOKUP(B97,'Full Trial Balance'!$A$4:$G$2306,5,FALSE)</f>
        <v>850</v>
      </c>
      <c r="G97" s="101">
        <f>VLOOKUP(B97,'Full Trial Balance'!$A$4:$G$2306,6,FALSE)</f>
        <v>5014.1000000000004</v>
      </c>
      <c r="H97" s="101">
        <f>VLOOKUP(B97,'Full Trial Balance'!$A$4:$G$2306,7,FALSE)</f>
        <v>-4164.1000000000004</v>
      </c>
      <c r="I97" s="478">
        <f t="shared" si="5"/>
        <v>0</v>
      </c>
    </row>
    <row r="98" spans="1:9" x14ac:dyDescent="0.25">
      <c r="A98" s="124" t="str">
        <f t="shared" si="4"/>
        <v>05</v>
      </c>
      <c r="B98" s="100" t="s">
        <v>940</v>
      </c>
      <c r="C98" s="102" t="s">
        <v>17</v>
      </c>
      <c r="D98" s="101">
        <f>VLOOKUP(B98,'Full Trial Balance'!$A$4:$G$2306,3,FALSE)</f>
        <v>0</v>
      </c>
      <c r="E98" s="101">
        <f>VLOOKUP(B98,'Full Trial Balance'!$A$4:$G$2306,4,FALSE)</f>
        <v>0</v>
      </c>
      <c r="F98" s="101">
        <f>VLOOKUP(B98,'Full Trial Balance'!$A$4:$G$2306,5,FALSE)</f>
        <v>0</v>
      </c>
      <c r="G98" s="101">
        <f>VLOOKUP(B98,'Full Trial Balance'!$A$4:$G$2306,6,FALSE)</f>
        <v>0</v>
      </c>
      <c r="H98" s="101">
        <f>VLOOKUP(B98,'Full Trial Balance'!$A$4:$G$2306,7,FALSE)</f>
        <v>0</v>
      </c>
      <c r="I98" s="478">
        <f t="shared" si="5"/>
        <v>0</v>
      </c>
    </row>
    <row r="99" spans="1:9" x14ac:dyDescent="0.25">
      <c r="A99" s="124" t="str">
        <f t="shared" si="4"/>
        <v>05</v>
      </c>
      <c r="B99" s="100" t="s">
        <v>941</v>
      </c>
      <c r="C99" s="102" t="s">
        <v>1128</v>
      </c>
      <c r="D99" s="101">
        <f>VLOOKUP(B99,'Full Trial Balance'!$A$4:$G$2306,3,FALSE)</f>
        <v>3300</v>
      </c>
      <c r="E99" s="101">
        <f>VLOOKUP(B99,'Full Trial Balance'!$A$4:$G$2306,4,FALSE)</f>
        <v>0</v>
      </c>
      <c r="F99" s="101">
        <f>VLOOKUP(B99,'Full Trial Balance'!$A$4:$G$2306,5,FALSE)</f>
        <v>0</v>
      </c>
      <c r="G99" s="101">
        <f>VLOOKUP(B99,'Full Trial Balance'!$A$4:$G$2306,6,FALSE)</f>
        <v>0</v>
      </c>
      <c r="H99" s="101">
        <f>VLOOKUP(B99,'Full Trial Balance'!$A$4:$G$2306,7,FALSE)</f>
        <v>0</v>
      </c>
      <c r="I99" s="478">
        <f t="shared" si="5"/>
        <v>0</v>
      </c>
    </row>
    <row r="100" spans="1:9" x14ac:dyDescent="0.25">
      <c r="A100" s="124" t="str">
        <f t="shared" si="4"/>
        <v>05</v>
      </c>
      <c r="B100" s="100" t="s">
        <v>942</v>
      </c>
      <c r="C100" s="102" t="s">
        <v>21</v>
      </c>
      <c r="D100" s="101">
        <f>VLOOKUP(B100,'Full Trial Balance'!$A$4:$G$2306,3,FALSE)</f>
        <v>0</v>
      </c>
      <c r="E100" s="101">
        <f>VLOOKUP(B100,'Full Trial Balance'!$A$4:$G$2306,4,FALSE)</f>
        <v>0</v>
      </c>
      <c r="F100" s="101">
        <f>VLOOKUP(B100,'Full Trial Balance'!$A$4:$G$2306,5,FALSE)</f>
        <v>0</v>
      </c>
      <c r="G100" s="101">
        <f>VLOOKUP(B100,'Full Trial Balance'!$A$4:$G$2306,6,FALSE)</f>
        <v>0</v>
      </c>
      <c r="H100" s="101">
        <f>VLOOKUP(B100,'Full Trial Balance'!$A$4:$G$2306,7,FALSE)</f>
        <v>0</v>
      </c>
      <c r="I100" s="478">
        <f t="shared" si="5"/>
        <v>0</v>
      </c>
    </row>
    <row r="101" spans="1:9" x14ac:dyDescent="0.25">
      <c r="A101" s="124"/>
      <c r="B101" s="72" t="s">
        <v>979</v>
      </c>
      <c r="C101" s="111" t="s">
        <v>1058</v>
      </c>
      <c r="D101" s="122">
        <v>0</v>
      </c>
      <c r="E101" s="122">
        <v>0</v>
      </c>
      <c r="F101" s="122">
        <v>0</v>
      </c>
      <c r="G101" s="122">
        <v>0</v>
      </c>
      <c r="H101" s="122">
        <v>0</v>
      </c>
    </row>
    <row r="102" spans="1:9" x14ac:dyDescent="0.25">
      <c r="A102" s="124"/>
      <c r="B102" s="72"/>
      <c r="C102" s="111"/>
    </row>
    <row r="103" spans="1:9" x14ac:dyDescent="0.25">
      <c r="A103" s="124"/>
      <c r="B103" s="95" t="s">
        <v>1142</v>
      </c>
      <c r="C103" s="99"/>
      <c r="D103" s="98"/>
      <c r="E103" s="98"/>
      <c r="F103" s="98"/>
      <c r="G103" s="98"/>
      <c r="H103" s="98"/>
    </row>
    <row r="104" spans="1:9" x14ac:dyDescent="0.25">
      <c r="A104" s="124"/>
      <c r="B104" s="104"/>
      <c r="C104" s="99"/>
      <c r="D104" s="98"/>
      <c r="E104" s="98"/>
      <c r="F104" s="98"/>
      <c r="G104" s="98"/>
      <c r="H104" s="98"/>
    </row>
    <row r="105" spans="1:9" x14ac:dyDescent="0.25">
      <c r="A105" s="124"/>
      <c r="B105" s="104" t="s">
        <v>1143</v>
      </c>
      <c r="C105" s="99"/>
      <c r="D105" s="128">
        <f>SUMIF($A$5:$A$101,"01",D5:D101)</f>
        <v>4266045.1399999997</v>
      </c>
      <c r="E105" s="128">
        <f>SUMIF($A$5:$A$101,"01",E5:E101)</f>
        <v>0</v>
      </c>
      <c r="F105" s="128">
        <f>SUMIF($A$5:$A$101,"01",F5:F101)</f>
        <v>12416.310000000001</v>
      </c>
      <c r="G105" s="128">
        <f>SUMIF($A$5:$A$101,"01",G5:G101)</f>
        <v>2030119.5</v>
      </c>
      <c r="H105" s="128">
        <f>SUMIF($A$5:$A$101,"01",H5:H101)</f>
        <v>-2017703.1900000004</v>
      </c>
    </row>
    <row r="106" spans="1:9" x14ac:dyDescent="0.25">
      <c r="A106" s="124"/>
      <c r="B106" s="104" t="s">
        <v>1144</v>
      </c>
      <c r="C106" s="99"/>
      <c r="D106" s="128">
        <f>SUMIF($A$5:$A$101,"02",D5:D101)</f>
        <v>959756.07000000007</v>
      </c>
      <c r="E106" s="128">
        <f>SUMIF($A$5:$A$101,"02",E5:E101)</f>
        <v>0</v>
      </c>
      <c r="F106" s="128">
        <f>SUMIF($A$5:$A$101,"02",F5:F101)</f>
        <v>1365.97</v>
      </c>
      <c r="G106" s="128">
        <f>SUMIF($A$5:$A$101,"02",G5:G101)</f>
        <v>458380.92</v>
      </c>
      <c r="H106" s="128">
        <f>SUMIF($A$5:$A$101,"02",H5:H101)</f>
        <v>-457014.95</v>
      </c>
    </row>
    <row r="107" spans="1:9" x14ac:dyDescent="0.25">
      <c r="A107" s="124"/>
      <c r="B107" s="104" t="s">
        <v>1145</v>
      </c>
      <c r="C107" s="99"/>
      <c r="D107" s="128">
        <f>SUMIF($A$5:$A$101,"03",D5:D101)</f>
        <v>8678703.9700000007</v>
      </c>
      <c r="E107" s="128">
        <f>SUMIF($A$5:$A$101,"03",E5:E101)</f>
        <v>0</v>
      </c>
      <c r="F107" s="128">
        <f>SUMIF($A$5:$A$101,"03",F5:F101)</f>
        <v>19921.149999999998</v>
      </c>
      <c r="G107" s="128">
        <f>SUMIF($A$5:$A$101,"03",G5:G101)</f>
        <v>3771194.3300000005</v>
      </c>
      <c r="H107" s="128">
        <f>SUMIF($A$5:$A$101,"03",H5:H101)</f>
        <v>-3751273.18</v>
      </c>
    </row>
    <row r="108" spans="1:9" x14ac:dyDescent="0.25">
      <c r="A108" s="124"/>
      <c r="B108" s="104" t="s">
        <v>1146</v>
      </c>
      <c r="C108" s="99"/>
      <c r="D108" s="128">
        <f>SUMIF($A$5:$A$101,"04",D5:D101)</f>
        <v>2710565.2199999997</v>
      </c>
      <c r="E108" s="128">
        <f>SUMIF($A$5:$A$101,"04",E5:E101)</f>
        <v>0</v>
      </c>
      <c r="F108" s="128">
        <f>SUMIF($A$5:$A$101,"04",F5:F101)</f>
        <v>9399.9599999999991</v>
      </c>
      <c r="G108" s="128">
        <f>SUMIF($A$5:$A$101,"04",G5:G101)</f>
        <v>1031104.64</v>
      </c>
      <c r="H108" s="128">
        <f>SUMIF($A$5:$A$101,"04",H5:H101)</f>
        <v>-1021704.68</v>
      </c>
    </row>
    <row r="109" spans="1:9" x14ac:dyDescent="0.25">
      <c r="A109" s="124"/>
      <c r="B109" s="104" t="s">
        <v>1147</v>
      </c>
      <c r="C109" s="99"/>
      <c r="D109" s="128">
        <f>SUMIF($A$5:$A$101,"05",D5:D101)</f>
        <v>11300</v>
      </c>
      <c r="E109" s="128">
        <f>SUMIF($A$5:$A$101,"05",E5:E101)</f>
        <v>0</v>
      </c>
      <c r="F109" s="128">
        <f>SUMIF($A$5:$A$101,"05",F5:F101)</f>
        <v>850</v>
      </c>
      <c r="G109" s="128">
        <f>SUMIF($A$5:$A$101,"05",G5:G101)</f>
        <v>5014.1000000000004</v>
      </c>
      <c r="H109" s="128">
        <f>SUMIF($A$5:$A$101,"05",H5:H101)</f>
        <v>-4164.1000000000004</v>
      </c>
    </row>
    <row r="110" spans="1:9" x14ac:dyDescent="0.25">
      <c r="A110" s="124"/>
      <c r="B110" s="104" t="s">
        <v>1148</v>
      </c>
      <c r="C110" s="99"/>
      <c r="D110" s="128">
        <f>SUMIF($A$5:$A$101,"06",D5:D101)</f>
        <v>0</v>
      </c>
      <c r="E110" s="128">
        <f>SUMIF($A$5:$A$101,"06",E5:E101)</f>
        <v>0</v>
      </c>
      <c r="F110" s="128">
        <f>SUMIF($A$5:$A$101,"06",F5:F101)</f>
        <v>0</v>
      </c>
      <c r="G110" s="128">
        <f>SUMIF($A$5:$A$101,"06",G5:G101)</f>
        <v>0</v>
      </c>
      <c r="H110" s="128">
        <f>SUMIF($A$5:$A$101,"06",H5:H101)</f>
        <v>0</v>
      </c>
    </row>
    <row r="112" spans="1:9" ht="15.75" thickBot="1" x14ac:dyDescent="0.3">
      <c r="C112" s="491" t="s">
        <v>3430</v>
      </c>
      <c r="D112" s="492">
        <f>SUM(D5:D100)</f>
        <v>16626370.400000002</v>
      </c>
      <c r="E112" s="492">
        <f>SUM(E5:E100)</f>
        <v>0</v>
      </c>
      <c r="F112" s="492">
        <f>SUM(F5:F100)</f>
        <v>43953.39</v>
      </c>
      <c r="G112" s="492">
        <f>SUM(G5:G100)</f>
        <v>7295813.4899999993</v>
      </c>
      <c r="H112" s="492">
        <f>SUM(H5:H100)</f>
        <v>-7251860.0999999996</v>
      </c>
    </row>
    <row r="113" spans="4:8" ht="15.75" thickTop="1" x14ac:dyDescent="0.25">
      <c r="D113" s="480">
        <f>SUM(D105:D110)-D112</f>
        <v>0</v>
      </c>
      <c r="E113" s="480">
        <f>SUM(E105:E110)-E112</f>
        <v>0</v>
      </c>
      <c r="F113" s="480">
        <f>SUM(F105:F110)-F112</f>
        <v>0</v>
      </c>
      <c r="G113" s="480">
        <f>SUM(G105:G110)-G112</f>
        <v>0</v>
      </c>
      <c r="H113" s="480">
        <f>SUM(H105:H110)-H112</f>
        <v>0</v>
      </c>
    </row>
  </sheetData>
  <sheetProtection password="CFD3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798"/>
  <sheetViews>
    <sheetView topLeftCell="B1" workbookViewId="0">
      <pane ySplit="2" topLeftCell="A3" activePane="bottomLeft" state="frozen"/>
      <selection activeCell="B1" sqref="B1"/>
      <selection pane="bottomLeft" activeCell="B3" sqref="B3"/>
    </sheetView>
  </sheetViews>
  <sheetFormatPr defaultColWidth="9.42578125" defaultRowHeight="15" outlineLevelCol="1" x14ac:dyDescent="0.25"/>
  <cols>
    <col min="1" max="1" width="11.28515625" style="235" hidden="1" customWidth="1" outlineLevel="1"/>
    <col min="2" max="2" width="11.28515625" style="235" bestFit="1" customWidth="1" collapsed="1"/>
    <col min="3" max="3" width="9.42578125" style="235"/>
    <col min="4" max="5" width="9.42578125" style="235" hidden="1" customWidth="1" outlineLevel="1"/>
    <col min="6" max="6" width="16" style="235" hidden="1" customWidth="1" outlineLevel="1"/>
    <col min="7" max="7" width="18.7109375" style="235" bestFit="1" customWidth="1" collapsed="1"/>
    <col min="8" max="8" width="16" style="241" bestFit="1" customWidth="1"/>
    <col min="9" max="9" width="39.28515625" style="235" bestFit="1" customWidth="1"/>
    <col min="10" max="10" width="16.42578125" style="235" bestFit="1" customWidth="1"/>
    <col min="11" max="11" width="18.85546875" style="235" customWidth="1" outlineLevel="1"/>
    <col min="12" max="12" width="17.85546875" style="235" customWidth="1" outlineLevel="1"/>
    <col min="13" max="13" width="18.42578125" style="235" customWidth="1" outlineLevel="1"/>
    <col min="14" max="14" width="15.85546875" style="235" bestFit="1" customWidth="1"/>
    <col min="15" max="15" width="6.7109375" style="485" bestFit="1" customWidth="1"/>
    <col min="16" max="16384" width="9.42578125" style="235"/>
  </cols>
  <sheetData>
    <row r="1" spans="1:15" x14ac:dyDescent="0.25">
      <c r="B1" s="108" t="s">
        <v>1077</v>
      </c>
      <c r="C1" s="108" t="s">
        <v>1077</v>
      </c>
      <c r="F1" s="241"/>
      <c r="G1" s="108"/>
    </row>
    <row r="2" spans="1:15" s="241" customFormat="1" x14ac:dyDescent="0.25">
      <c r="A2" s="108" t="s">
        <v>1077</v>
      </c>
      <c r="B2" s="246" t="s">
        <v>1240</v>
      </c>
      <c r="C2" s="246" t="s">
        <v>1241</v>
      </c>
      <c r="D2" s="108" t="s">
        <v>1077</v>
      </c>
      <c r="F2" s="108" t="s">
        <v>1077</v>
      </c>
      <c r="G2" s="108" t="s">
        <v>1077</v>
      </c>
      <c r="H2" s="246" t="s">
        <v>1149</v>
      </c>
      <c r="I2" s="246" t="s">
        <v>1150</v>
      </c>
      <c r="J2" s="247" t="s">
        <v>1115</v>
      </c>
      <c r="K2" s="247" t="s">
        <v>1116</v>
      </c>
      <c r="L2" s="247" t="s">
        <v>1117</v>
      </c>
      <c r="M2" s="247" t="s">
        <v>1118</v>
      </c>
      <c r="N2" s="247" t="s">
        <v>1119</v>
      </c>
      <c r="O2" s="483" t="s">
        <v>3428</v>
      </c>
    </row>
    <row r="3" spans="1:15" x14ac:dyDescent="0.25">
      <c r="A3" s="241" t="str">
        <f t="shared" ref="A3:A66" si="0">LEFT(H3,5)</f>
        <v>01-01</v>
      </c>
      <c r="B3" s="241" t="str">
        <f t="shared" ref="B3:B66" si="1">LEFT(H3,2)</f>
        <v>01</v>
      </c>
      <c r="C3" s="241" t="str">
        <f t="shared" ref="C3:C66" si="2">RIGHT(A3,2)</f>
        <v>01</v>
      </c>
      <c r="D3" s="235" t="str">
        <f t="shared" ref="D3:D66" si="3">LEFT(A3,3)</f>
        <v>01-</v>
      </c>
      <c r="E3" s="241" t="s">
        <v>1250</v>
      </c>
      <c r="F3" s="241" t="str">
        <f t="shared" ref="F3:F66" si="4">RIGHT(H3,8)</f>
        <v>-010-000</v>
      </c>
      <c r="G3" s="235" t="str">
        <f t="shared" ref="G3:G17" si="5">CONCATENATE(D3,E3,F3)</f>
        <v>01-0x-010-000</v>
      </c>
      <c r="H3" s="241" t="s">
        <v>666</v>
      </c>
      <c r="I3" s="435" t="s">
        <v>665</v>
      </c>
      <c r="J3" s="436">
        <f>VLOOKUP(H3,'Full Trial Balance'!$A$4:$G$2306,3,FALSE)</f>
        <v>302296</v>
      </c>
      <c r="K3" s="438">
        <f>VLOOKUP(H3,'Full Trial Balance'!$A$4:$G$2306,4,FALSE)</f>
        <v>0</v>
      </c>
      <c r="L3" s="438">
        <f>VLOOKUP(H3,'Full Trial Balance'!$A$4:$G$2306,5,FALSE)</f>
        <v>142466.4</v>
      </c>
      <c r="M3" s="438">
        <f>VLOOKUP(H3,'Full Trial Balance'!$A$4:$G$2306,6,FALSE)</f>
        <v>11240.76</v>
      </c>
      <c r="N3" s="438">
        <f>VLOOKUP(H3,'Full Trial Balance'!$A$4:$G$2306,7,FALSE)</f>
        <v>131225.64000000001</v>
      </c>
      <c r="O3" s="485">
        <f t="shared" ref="O3:O66" si="6">N3-L3+M3</f>
        <v>2.0008883439004421E-11</v>
      </c>
    </row>
    <row r="4" spans="1:15" x14ac:dyDescent="0.25">
      <c r="A4" s="241" t="str">
        <f t="shared" si="0"/>
        <v>01-01</v>
      </c>
      <c r="B4" s="241" t="str">
        <f t="shared" si="1"/>
        <v>01</v>
      </c>
      <c r="C4" s="241" t="str">
        <f t="shared" si="2"/>
        <v>01</v>
      </c>
      <c r="D4" s="235" t="str">
        <f t="shared" si="3"/>
        <v>01-</v>
      </c>
      <c r="E4" s="241" t="s">
        <v>1250</v>
      </c>
      <c r="F4" s="241" t="str">
        <f t="shared" si="4"/>
        <v>-010-005</v>
      </c>
      <c r="G4" s="235" t="str">
        <f t="shared" si="5"/>
        <v>01-0x-010-005</v>
      </c>
      <c r="H4" s="241" t="s">
        <v>668</v>
      </c>
      <c r="I4" s="435" t="s">
        <v>667</v>
      </c>
      <c r="J4" s="438">
        <f>VLOOKUP(H4,'Full Trial Balance'!$A$4:$G$2306,3,FALSE)</f>
        <v>0</v>
      </c>
      <c r="K4" s="438">
        <f>VLOOKUP(H4,'Full Trial Balance'!$A$4:$G$2306,4,FALSE)</f>
        <v>0</v>
      </c>
      <c r="L4" s="438">
        <f>VLOOKUP(H4,'Full Trial Balance'!$A$4:$G$2306,5,FALSE)</f>
        <v>0</v>
      </c>
      <c r="M4" s="438">
        <f>VLOOKUP(H4,'Full Trial Balance'!$A$4:$G$2306,6,FALSE)</f>
        <v>0</v>
      </c>
      <c r="N4" s="438">
        <f>VLOOKUP(H4,'Full Trial Balance'!$A$4:$G$2306,7,FALSE)</f>
        <v>0</v>
      </c>
      <c r="O4" s="485">
        <f t="shared" si="6"/>
        <v>0</v>
      </c>
    </row>
    <row r="5" spans="1:15" x14ac:dyDescent="0.25">
      <c r="A5" s="241" t="str">
        <f t="shared" si="0"/>
        <v>01-01</v>
      </c>
      <c r="B5" s="241" t="str">
        <f t="shared" si="1"/>
        <v>01</v>
      </c>
      <c r="C5" s="241" t="str">
        <f t="shared" si="2"/>
        <v>01</v>
      </c>
      <c r="D5" s="235" t="str">
        <f t="shared" si="3"/>
        <v>01-</v>
      </c>
      <c r="E5" s="241" t="s">
        <v>1250</v>
      </c>
      <c r="F5" s="241" t="str">
        <f t="shared" si="4"/>
        <v>-015-000</v>
      </c>
      <c r="G5" s="235" t="str">
        <f t="shared" si="5"/>
        <v>01-0x-015-000</v>
      </c>
      <c r="H5" s="241" t="s">
        <v>652</v>
      </c>
      <c r="I5" s="435" t="s">
        <v>37</v>
      </c>
      <c r="J5" s="438">
        <f>VLOOKUP(H5,'Full Trial Balance'!$A$4:$G$2306,3,FALSE)</f>
        <v>5329.04</v>
      </c>
      <c r="K5" s="438">
        <f>VLOOKUP(H5,'Full Trial Balance'!$A$4:$G$2306,4,FALSE)</f>
        <v>0</v>
      </c>
      <c r="L5" s="438">
        <f>VLOOKUP(H5,'Full Trial Balance'!$A$4:$G$2306,5,FALSE)</f>
        <v>3499.14</v>
      </c>
      <c r="M5" s="438">
        <f>VLOOKUP(H5,'Full Trial Balance'!$A$4:$G$2306,6,FALSE)</f>
        <v>102.78</v>
      </c>
      <c r="N5" s="438">
        <f>VLOOKUP(H5,'Full Trial Balance'!$A$4:$G$2306,7,FALSE)</f>
        <v>3396.36</v>
      </c>
      <c r="O5" s="485">
        <f t="shared" si="6"/>
        <v>2.5579538487363607E-13</v>
      </c>
    </row>
    <row r="6" spans="1:15" x14ac:dyDescent="0.25">
      <c r="A6" s="241" t="str">
        <f t="shared" si="0"/>
        <v>01-01</v>
      </c>
      <c r="B6" s="241" t="str">
        <f t="shared" si="1"/>
        <v>01</v>
      </c>
      <c r="C6" s="241" t="str">
        <f t="shared" si="2"/>
        <v>01</v>
      </c>
      <c r="D6" s="235" t="str">
        <f t="shared" si="3"/>
        <v>01-</v>
      </c>
      <c r="E6" s="241" t="s">
        <v>1250</v>
      </c>
      <c r="F6" s="241" t="str">
        <f t="shared" si="4"/>
        <v>-016-000</v>
      </c>
      <c r="G6" s="235" t="str">
        <f t="shared" si="5"/>
        <v>01-0x-016-000</v>
      </c>
      <c r="H6" s="241" t="s">
        <v>660</v>
      </c>
      <c r="I6" s="435" t="s">
        <v>1076</v>
      </c>
      <c r="J6" s="438">
        <f>VLOOKUP(H6,'Full Trial Balance'!$A$4:$G$2306,3,FALSE)</f>
        <v>0</v>
      </c>
      <c r="K6" s="438">
        <f>VLOOKUP(H6,'Full Trial Balance'!$A$4:$G$2306,4,FALSE)</f>
        <v>0</v>
      </c>
      <c r="L6" s="438">
        <f>VLOOKUP(H6,'Full Trial Balance'!$A$4:$G$2306,5,FALSE)</f>
        <v>0</v>
      </c>
      <c r="M6" s="438">
        <f>VLOOKUP(H6,'Full Trial Balance'!$A$4:$G$2306,6,FALSE)</f>
        <v>0</v>
      </c>
      <c r="N6" s="438">
        <f>VLOOKUP(H6,'Full Trial Balance'!$A$4:$G$2306,7,FALSE)</f>
        <v>0</v>
      </c>
      <c r="O6" s="485">
        <f t="shared" si="6"/>
        <v>0</v>
      </c>
    </row>
    <row r="7" spans="1:15" x14ac:dyDescent="0.25">
      <c r="A7" s="241" t="str">
        <f t="shared" si="0"/>
        <v>01-01</v>
      </c>
      <c r="B7" s="241" t="str">
        <f t="shared" si="1"/>
        <v>01</v>
      </c>
      <c r="C7" s="241" t="str">
        <f t="shared" si="2"/>
        <v>01</v>
      </c>
      <c r="D7" s="235" t="str">
        <f t="shared" si="3"/>
        <v>01-</v>
      </c>
      <c r="E7" s="241" t="s">
        <v>1250</v>
      </c>
      <c r="F7" s="241" t="str">
        <f t="shared" si="4"/>
        <v>-020-202</v>
      </c>
      <c r="G7" s="235" t="str">
        <f t="shared" si="5"/>
        <v>01-0x-020-202</v>
      </c>
      <c r="H7" s="241" t="s">
        <v>635</v>
      </c>
      <c r="I7" s="435" t="s">
        <v>153</v>
      </c>
      <c r="J7" s="438">
        <f>VLOOKUP(H7,'Full Trial Balance'!$A$4:$G$2306,3,FALSE)</f>
        <v>17480</v>
      </c>
      <c r="K7" s="438">
        <f>VLOOKUP(H7,'Full Trial Balance'!$A$4:$G$2306,4,FALSE)</f>
        <v>0</v>
      </c>
      <c r="L7" s="438">
        <f>VLOOKUP(H7,'Full Trial Balance'!$A$4:$G$2306,5,FALSE)</f>
        <v>7437.18</v>
      </c>
      <c r="M7" s="438">
        <f>VLOOKUP(H7,'Full Trial Balance'!$A$4:$G$2306,6,FALSE)</f>
        <v>669.85</v>
      </c>
      <c r="N7" s="438">
        <f>VLOOKUP(H7,'Full Trial Balance'!$A$4:$G$2306,7,FALSE)</f>
        <v>6767.33</v>
      </c>
      <c r="O7" s="485">
        <f t="shared" si="6"/>
        <v>0</v>
      </c>
    </row>
    <row r="8" spans="1:15" x14ac:dyDescent="0.25">
      <c r="A8" s="241" t="str">
        <f t="shared" si="0"/>
        <v>01-01</v>
      </c>
      <c r="B8" s="241" t="str">
        <f t="shared" si="1"/>
        <v>01</v>
      </c>
      <c r="C8" s="241" t="str">
        <f t="shared" si="2"/>
        <v>01</v>
      </c>
      <c r="D8" s="235" t="str">
        <f t="shared" si="3"/>
        <v>01-</v>
      </c>
      <c r="E8" s="241" t="s">
        <v>1250</v>
      </c>
      <c r="F8" s="241" t="str">
        <f t="shared" si="4"/>
        <v>-020-203</v>
      </c>
      <c r="G8" s="235" t="str">
        <f t="shared" si="5"/>
        <v>01-0x-020-203</v>
      </c>
      <c r="H8" s="241" t="s">
        <v>646</v>
      </c>
      <c r="I8" s="435" t="s">
        <v>154</v>
      </c>
      <c r="J8" s="438">
        <f>VLOOKUP(H8,'Full Trial Balance'!$A$4:$G$2306,3,FALSE)</f>
        <v>4460</v>
      </c>
      <c r="K8" s="438">
        <f>VLOOKUP(H8,'Full Trial Balance'!$A$4:$G$2306,4,FALSE)</f>
        <v>0</v>
      </c>
      <c r="L8" s="438">
        <f>VLOOKUP(H8,'Full Trial Balance'!$A$4:$G$2306,5,FALSE)</f>
        <v>2068.5700000000002</v>
      </c>
      <c r="M8" s="438">
        <f>VLOOKUP(H8,'Full Trial Balance'!$A$4:$G$2306,6,FALSE)</f>
        <v>156.62</v>
      </c>
      <c r="N8" s="438">
        <f>VLOOKUP(H8,'Full Trial Balance'!$A$4:$G$2306,7,FALSE)</f>
        <v>1911.95</v>
      </c>
      <c r="O8" s="485">
        <f t="shared" si="6"/>
        <v>0</v>
      </c>
    </row>
    <row r="9" spans="1:15" x14ac:dyDescent="0.25">
      <c r="A9" s="241" t="str">
        <f t="shared" si="0"/>
        <v>01-01</v>
      </c>
      <c r="B9" s="241" t="str">
        <f t="shared" si="1"/>
        <v>01</v>
      </c>
      <c r="C9" s="241" t="str">
        <f t="shared" si="2"/>
        <v>01</v>
      </c>
      <c r="D9" s="235" t="str">
        <f t="shared" si="3"/>
        <v>01-</v>
      </c>
      <c r="E9" s="241" t="s">
        <v>1250</v>
      </c>
      <c r="F9" s="241" t="str">
        <f t="shared" si="4"/>
        <v>-020-204</v>
      </c>
      <c r="G9" s="235" t="str">
        <f t="shared" si="5"/>
        <v>01-0x-020-204</v>
      </c>
      <c r="H9" s="241" t="s">
        <v>647</v>
      </c>
      <c r="I9" s="435" t="s">
        <v>38</v>
      </c>
      <c r="J9" s="438">
        <f>VLOOKUP(H9,'Full Trial Balance'!$A$4:$G$2306,3,FALSE)</f>
        <v>57555</v>
      </c>
      <c r="K9" s="438">
        <f>VLOOKUP(H9,'Full Trial Balance'!$A$4:$G$2306,4,FALSE)</f>
        <v>0</v>
      </c>
      <c r="L9" s="438">
        <f>VLOOKUP(H9,'Full Trial Balance'!$A$4:$G$2306,5,FALSE)</f>
        <v>24852.42</v>
      </c>
      <c r="M9" s="438">
        <f>VLOOKUP(H9,'Full Trial Balance'!$A$4:$G$2306,6,FALSE)</f>
        <v>16354.42</v>
      </c>
      <c r="N9" s="438">
        <f>VLOOKUP(H9,'Full Trial Balance'!$A$4:$G$2306,7,FALSE)</f>
        <v>8498</v>
      </c>
      <c r="O9" s="485">
        <f t="shared" si="6"/>
        <v>0</v>
      </c>
    </row>
    <row r="10" spans="1:15" x14ac:dyDescent="0.25">
      <c r="A10" s="241" t="str">
        <f t="shared" si="0"/>
        <v>01-01</v>
      </c>
      <c r="B10" s="241" t="str">
        <f t="shared" si="1"/>
        <v>01</v>
      </c>
      <c r="C10" s="241" t="str">
        <f t="shared" si="2"/>
        <v>01</v>
      </c>
      <c r="D10" s="235" t="str">
        <f t="shared" si="3"/>
        <v>01-</v>
      </c>
      <c r="E10" s="241" t="s">
        <v>1250</v>
      </c>
      <c r="F10" s="241" t="str">
        <f t="shared" si="4"/>
        <v>-020-205</v>
      </c>
      <c r="G10" s="235" t="str">
        <f t="shared" si="5"/>
        <v>01-0x-020-205</v>
      </c>
      <c r="H10" s="241" t="s">
        <v>631</v>
      </c>
      <c r="I10" s="435" t="s">
        <v>77</v>
      </c>
      <c r="J10" s="438">
        <f>VLOOKUP(H10,'Full Trial Balance'!$A$4:$G$2306,3,FALSE)</f>
        <v>3548</v>
      </c>
      <c r="K10" s="438">
        <f>VLOOKUP(H10,'Full Trial Balance'!$A$4:$G$2306,4,FALSE)</f>
        <v>0</v>
      </c>
      <c r="L10" s="438">
        <f>VLOOKUP(H10,'Full Trial Balance'!$A$4:$G$2306,5,FALSE)</f>
        <v>1281.97</v>
      </c>
      <c r="M10" s="438">
        <f>VLOOKUP(H10,'Full Trial Balance'!$A$4:$G$2306,6,FALSE)</f>
        <v>28.34</v>
      </c>
      <c r="N10" s="438">
        <f>VLOOKUP(H10,'Full Trial Balance'!$A$4:$G$2306,7,FALSE)</f>
        <v>1253.6300000000001</v>
      </c>
      <c r="O10" s="485">
        <f t="shared" si="6"/>
        <v>8.1712414612411521E-14</v>
      </c>
    </row>
    <row r="11" spans="1:15" x14ac:dyDescent="0.25">
      <c r="A11" s="241" t="str">
        <f t="shared" si="0"/>
        <v>01-01</v>
      </c>
      <c r="B11" s="241" t="str">
        <f t="shared" si="1"/>
        <v>01</v>
      </c>
      <c r="C11" s="241" t="str">
        <f t="shared" si="2"/>
        <v>01</v>
      </c>
      <c r="D11" s="235" t="str">
        <f t="shared" si="3"/>
        <v>01-</v>
      </c>
      <c r="E11" s="241" t="s">
        <v>1250</v>
      </c>
      <c r="F11" s="241" t="str">
        <f t="shared" si="4"/>
        <v>-020-206</v>
      </c>
      <c r="G11" s="235" t="str">
        <f t="shared" si="5"/>
        <v>01-0x-020-206</v>
      </c>
      <c r="H11" s="241" t="s">
        <v>664</v>
      </c>
      <c r="I11" s="435" t="s">
        <v>78</v>
      </c>
      <c r="J11" s="438">
        <f>VLOOKUP(H11,'Full Trial Balance'!$A$4:$G$2306,3,FALSE)</f>
        <v>659</v>
      </c>
      <c r="K11" s="438">
        <f>VLOOKUP(H11,'Full Trial Balance'!$A$4:$G$2306,4,FALSE)</f>
        <v>0</v>
      </c>
      <c r="L11" s="438">
        <f>VLOOKUP(H11,'Full Trial Balance'!$A$4:$G$2306,5,FALSE)</f>
        <v>349.54</v>
      </c>
      <c r="M11" s="438">
        <f>VLOOKUP(H11,'Full Trial Balance'!$A$4:$G$2306,6,FALSE)</f>
        <v>0</v>
      </c>
      <c r="N11" s="438">
        <f>VLOOKUP(H11,'Full Trial Balance'!$A$4:$G$2306,7,FALSE)</f>
        <v>349.54</v>
      </c>
      <c r="O11" s="485">
        <f t="shared" si="6"/>
        <v>0</v>
      </c>
    </row>
    <row r="12" spans="1:15" x14ac:dyDescent="0.25">
      <c r="A12" s="241" t="str">
        <f t="shared" si="0"/>
        <v>01-01</v>
      </c>
      <c r="B12" s="241" t="str">
        <f t="shared" si="1"/>
        <v>01</v>
      </c>
      <c r="C12" s="241" t="str">
        <f t="shared" si="2"/>
        <v>01</v>
      </c>
      <c r="D12" s="235" t="str">
        <f t="shared" si="3"/>
        <v>01-</v>
      </c>
      <c r="E12" s="241" t="s">
        <v>1250</v>
      </c>
      <c r="F12" s="241" t="str">
        <f t="shared" si="4"/>
        <v>-020-208</v>
      </c>
      <c r="G12" s="235" t="str">
        <f t="shared" si="5"/>
        <v>01-0x-020-208</v>
      </c>
      <c r="H12" s="241" t="s">
        <v>669</v>
      </c>
      <c r="I12" s="435" t="s">
        <v>893</v>
      </c>
      <c r="J12" s="438">
        <f>VLOOKUP(H12,'Full Trial Balance'!$A$4:$G$2306,3,FALSE)</f>
        <v>3167</v>
      </c>
      <c r="K12" s="438">
        <f>VLOOKUP(H12,'Full Trial Balance'!$A$4:$G$2306,4,FALSE)</f>
        <v>0</v>
      </c>
      <c r="L12" s="438">
        <f>VLOOKUP(H12,'Full Trial Balance'!$A$4:$G$2306,5,FALSE)</f>
        <v>1205.1199999999999</v>
      </c>
      <c r="M12" s="438">
        <f>VLOOKUP(H12,'Full Trial Balance'!$A$4:$G$2306,6,FALSE)</f>
        <v>71.540000000000006</v>
      </c>
      <c r="N12" s="438">
        <f>VLOOKUP(H12,'Full Trial Balance'!$A$4:$G$2306,7,FALSE)</f>
        <v>1133.58</v>
      </c>
      <c r="O12" s="485">
        <f t="shared" si="6"/>
        <v>0</v>
      </c>
    </row>
    <row r="13" spans="1:15" x14ac:dyDescent="0.25">
      <c r="A13" s="241" t="str">
        <f t="shared" si="0"/>
        <v>01-01</v>
      </c>
      <c r="B13" s="241" t="str">
        <f t="shared" si="1"/>
        <v>01</v>
      </c>
      <c r="C13" s="241" t="str">
        <f t="shared" si="2"/>
        <v>01</v>
      </c>
      <c r="D13" s="235" t="str">
        <f t="shared" si="3"/>
        <v>01-</v>
      </c>
      <c r="E13" s="241" t="s">
        <v>1250</v>
      </c>
      <c r="F13" s="241" t="str">
        <f t="shared" si="4"/>
        <v>-020-209</v>
      </c>
      <c r="G13" s="235" t="str">
        <f t="shared" si="5"/>
        <v>01-0x-020-209</v>
      </c>
      <c r="H13" s="241" t="s">
        <v>644</v>
      </c>
      <c r="I13" s="435" t="s">
        <v>39</v>
      </c>
      <c r="J13" s="438">
        <f>VLOOKUP(H13,'Full Trial Balance'!$A$4:$G$2306,3,FALSE)</f>
        <v>1121</v>
      </c>
      <c r="K13" s="438">
        <f>VLOOKUP(H13,'Full Trial Balance'!$A$4:$G$2306,4,FALSE)</f>
        <v>0</v>
      </c>
      <c r="L13" s="438">
        <f>VLOOKUP(H13,'Full Trial Balance'!$A$4:$G$2306,5,FALSE)</f>
        <v>668.66</v>
      </c>
      <c r="M13" s="438">
        <f>VLOOKUP(H13,'Full Trial Balance'!$A$4:$G$2306,6,FALSE)</f>
        <v>188.59</v>
      </c>
      <c r="N13" s="438">
        <f>VLOOKUP(H13,'Full Trial Balance'!$A$4:$G$2306,7,FALSE)</f>
        <v>480.07</v>
      </c>
      <c r="O13" s="485">
        <f t="shared" si="6"/>
        <v>0</v>
      </c>
    </row>
    <row r="14" spans="1:15" x14ac:dyDescent="0.25">
      <c r="A14" s="241" t="str">
        <f t="shared" si="0"/>
        <v>01-01</v>
      </c>
      <c r="B14" s="241" t="str">
        <f t="shared" si="1"/>
        <v>01</v>
      </c>
      <c r="C14" s="241" t="str">
        <f t="shared" si="2"/>
        <v>01</v>
      </c>
      <c r="D14" s="235" t="str">
        <f t="shared" si="3"/>
        <v>01-</v>
      </c>
      <c r="E14" s="241" t="s">
        <v>1250</v>
      </c>
      <c r="F14" s="241" t="str">
        <f t="shared" si="4"/>
        <v>-020-212</v>
      </c>
      <c r="G14" s="235" t="str">
        <f t="shared" si="5"/>
        <v>01-0x-020-212</v>
      </c>
      <c r="H14" s="241" t="s">
        <v>661</v>
      </c>
      <c r="I14" s="435" t="s">
        <v>40</v>
      </c>
      <c r="J14" s="438">
        <f>VLOOKUP(H14,'Full Trial Balance'!$A$4:$G$2306,3,FALSE)</f>
        <v>1096</v>
      </c>
      <c r="K14" s="438">
        <f>VLOOKUP(H14,'Full Trial Balance'!$A$4:$G$2306,4,FALSE)</f>
        <v>0</v>
      </c>
      <c r="L14" s="438">
        <f>VLOOKUP(H14,'Full Trial Balance'!$A$4:$G$2306,5,FALSE)</f>
        <v>44.86</v>
      </c>
      <c r="M14" s="438">
        <f>VLOOKUP(H14,'Full Trial Balance'!$A$4:$G$2306,6,FALSE)</f>
        <v>25.47</v>
      </c>
      <c r="N14" s="438">
        <f>VLOOKUP(H14,'Full Trial Balance'!$A$4:$G$2306,7,FALSE)</f>
        <v>19.39</v>
      </c>
      <c r="O14" s="485">
        <f t="shared" si="6"/>
        <v>0</v>
      </c>
    </row>
    <row r="15" spans="1:15" x14ac:dyDescent="0.25">
      <c r="A15" s="241" t="str">
        <f t="shared" si="0"/>
        <v>01-01</v>
      </c>
      <c r="B15" s="241" t="str">
        <f t="shared" si="1"/>
        <v>01</v>
      </c>
      <c r="C15" s="241" t="str">
        <f t="shared" si="2"/>
        <v>01</v>
      </c>
      <c r="D15" s="235" t="str">
        <f t="shared" si="3"/>
        <v>01-</v>
      </c>
      <c r="E15" s="241" t="s">
        <v>1250</v>
      </c>
      <c r="F15" s="241" t="str">
        <f t="shared" si="4"/>
        <v>-020-213</v>
      </c>
      <c r="G15" s="235" t="str">
        <f t="shared" si="5"/>
        <v>01-0x-020-213</v>
      </c>
      <c r="H15" s="241" t="s">
        <v>634</v>
      </c>
      <c r="I15" s="435" t="s">
        <v>41</v>
      </c>
      <c r="J15" s="438">
        <f>VLOOKUP(H15,'Full Trial Balance'!$A$4:$G$2306,3,FALSE)</f>
        <v>24</v>
      </c>
      <c r="K15" s="438">
        <f>VLOOKUP(H15,'Full Trial Balance'!$A$4:$G$2306,4,FALSE)</f>
        <v>0</v>
      </c>
      <c r="L15" s="438">
        <f>VLOOKUP(H15,'Full Trial Balance'!$A$4:$G$2306,5,FALSE)</f>
        <v>0.86</v>
      </c>
      <c r="M15" s="438">
        <f>VLOOKUP(H15,'Full Trial Balance'!$A$4:$G$2306,6,FALSE)</f>
        <v>0.6</v>
      </c>
      <c r="N15" s="438">
        <f>VLOOKUP(H15,'Full Trial Balance'!$A$4:$G$2306,7,FALSE)</f>
        <v>0.26</v>
      </c>
      <c r="O15" s="485">
        <f t="shared" si="6"/>
        <v>0</v>
      </c>
    </row>
    <row r="16" spans="1:15" x14ac:dyDescent="0.25">
      <c r="A16" s="241" t="str">
        <f t="shared" si="0"/>
        <v>01-01</v>
      </c>
      <c r="B16" s="241" t="str">
        <f t="shared" si="1"/>
        <v>01</v>
      </c>
      <c r="C16" s="241" t="str">
        <f t="shared" si="2"/>
        <v>01</v>
      </c>
      <c r="D16" s="235" t="str">
        <f t="shared" si="3"/>
        <v>01-</v>
      </c>
      <c r="E16" s="241" t="s">
        <v>1250</v>
      </c>
      <c r="F16" s="241" t="str">
        <f t="shared" si="4"/>
        <v>-020-214</v>
      </c>
      <c r="G16" s="235" t="str">
        <f t="shared" si="5"/>
        <v>01-0x-020-214</v>
      </c>
      <c r="H16" s="241" t="s">
        <v>626</v>
      </c>
      <c r="I16" s="435" t="s">
        <v>155</v>
      </c>
      <c r="J16" s="438">
        <f>VLOOKUP(H16,'Full Trial Balance'!$A$4:$G$2306,3,FALSE)</f>
        <v>2088</v>
      </c>
      <c r="K16" s="438">
        <f>VLOOKUP(H16,'Full Trial Balance'!$A$4:$G$2306,4,FALSE)</f>
        <v>0</v>
      </c>
      <c r="L16" s="438">
        <f>VLOOKUP(H16,'Full Trial Balance'!$A$4:$G$2306,5,FALSE)</f>
        <v>875</v>
      </c>
      <c r="M16" s="438">
        <f>VLOOKUP(H16,'Full Trial Balance'!$A$4:$G$2306,6,FALSE)</f>
        <v>150</v>
      </c>
      <c r="N16" s="438">
        <f>VLOOKUP(H16,'Full Trial Balance'!$A$4:$G$2306,7,FALSE)</f>
        <v>725</v>
      </c>
      <c r="O16" s="485">
        <f t="shared" si="6"/>
        <v>0</v>
      </c>
    </row>
    <row r="17" spans="1:15" x14ac:dyDescent="0.25">
      <c r="A17" s="241" t="str">
        <f t="shared" si="0"/>
        <v>01-01</v>
      </c>
      <c r="B17" s="241" t="str">
        <f t="shared" si="1"/>
        <v>01</v>
      </c>
      <c r="C17" s="241" t="str">
        <f t="shared" si="2"/>
        <v>01</v>
      </c>
      <c r="D17" s="235" t="str">
        <f t="shared" si="3"/>
        <v>01-</v>
      </c>
      <c r="E17" s="241" t="s">
        <v>1250</v>
      </c>
      <c r="F17" s="241" t="str">
        <f t="shared" si="4"/>
        <v>-020-215</v>
      </c>
      <c r="G17" s="235" t="str">
        <f t="shared" si="5"/>
        <v>01-0x-020-215</v>
      </c>
      <c r="H17" s="241" t="s">
        <v>632</v>
      </c>
      <c r="I17" s="435" t="s">
        <v>42</v>
      </c>
      <c r="J17" s="438">
        <f>VLOOKUP(H17,'Full Trial Balance'!$A$4:$G$2306,3,FALSE)</f>
        <v>917</v>
      </c>
      <c r="K17" s="438">
        <f>VLOOKUP(H17,'Full Trial Balance'!$A$4:$G$2306,4,FALSE)</f>
        <v>0</v>
      </c>
      <c r="L17" s="438">
        <f>VLOOKUP(H17,'Full Trial Balance'!$A$4:$G$2306,5,FALSE)</f>
        <v>354.85</v>
      </c>
      <c r="M17" s="438">
        <f>VLOOKUP(H17,'Full Trial Balance'!$A$4:$G$2306,6,FALSE)</f>
        <v>19.11</v>
      </c>
      <c r="N17" s="438">
        <f>VLOOKUP(H17,'Full Trial Balance'!$A$4:$G$2306,7,FALSE)</f>
        <v>335.74</v>
      </c>
      <c r="O17" s="485">
        <f t="shared" si="6"/>
        <v>0</v>
      </c>
    </row>
    <row r="18" spans="1:15" x14ac:dyDescent="0.25">
      <c r="A18" s="241" t="str">
        <f t="shared" si="0"/>
        <v>01-01</v>
      </c>
      <c r="B18" s="241" t="str">
        <f t="shared" si="1"/>
        <v>01</v>
      </c>
      <c r="C18" s="241" t="str">
        <f t="shared" si="2"/>
        <v>01</v>
      </c>
      <c r="D18" s="235" t="str">
        <f t="shared" si="3"/>
        <v>01-</v>
      </c>
      <c r="E18" s="241" t="s">
        <v>1250</v>
      </c>
      <c r="F18" s="241" t="str">
        <f t="shared" si="4"/>
        <v>-020-217</v>
      </c>
      <c r="G18" s="489" t="s">
        <v>3433</v>
      </c>
      <c r="H18" s="241" t="s">
        <v>624</v>
      </c>
      <c r="I18" s="435" t="s">
        <v>43</v>
      </c>
      <c r="J18" s="438">
        <f>VLOOKUP(H18,'Full Trial Balance'!$A$4:$G$2306,3,FALSE)</f>
        <v>26725</v>
      </c>
      <c r="K18" s="438">
        <f>VLOOKUP(H18,'Full Trial Balance'!$A$4:$G$2306,4,FALSE)</f>
        <v>0</v>
      </c>
      <c r="L18" s="438">
        <f>VLOOKUP(H18,'Full Trial Balance'!$A$4:$G$2306,5,FALSE)</f>
        <v>11091.22</v>
      </c>
      <c r="M18" s="438">
        <f>VLOOKUP(H18,'Full Trial Balance'!$A$4:$G$2306,6,FALSE)</f>
        <v>897.2</v>
      </c>
      <c r="N18" s="438">
        <f>VLOOKUP(H18,'Full Trial Balance'!$A$4:$G$2306,7,FALSE)</f>
        <v>10194.02</v>
      </c>
      <c r="O18" s="485">
        <f t="shared" si="6"/>
        <v>1.1368683772161603E-12</v>
      </c>
    </row>
    <row r="19" spans="1:15" x14ac:dyDescent="0.25">
      <c r="A19" s="241" t="str">
        <f t="shared" si="0"/>
        <v>01-01</v>
      </c>
      <c r="B19" s="241" t="str">
        <f t="shared" si="1"/>
        <v>01</v>
      </c>
      <c r="C19" s="241" t="str">
        <f t="shared" si="2"/>
        <v>01</v>
      </c>
      <c r="D19" s="235" t="str">
        <f t="shared" si="3"/>
        <v>01-</v>
      </c>
      <c r="E19" s="241" t="s">
        <v>1250</v>
      </c>
      <c r="F19" s="241" t="str">
        <f t="shared" si="4"/>
        <v>-020-218</v>
      </c>
      <c r="G19" s="489" t="s">
        <v>3434</v>
      </c>
      <c r="H19" s="241" t="s">
        <v>625</v>
      </c>
      <c r="I19" s="435" t="s">
        <v>44</v>
      </c>
      <c r="J19" s="438">
        <f>VLOOKUP(H19,'Full Trial Balance'!$A$4:$G$2306,3,FALSE)</f>
        <v>22077</v>
      </c>
      <c r="K19" s="438">
        <f>VLOOKUP(H19,'Full Trial Balance'!$A$4:$G$2306,4,FALSE)</f>
        <v>0</v>
      </c>
      <c r="L19" s="438">
        <f>VLOOKUP(H19,'Full Trial Balance'!$A$4:$G$2306,5,FALSE)</f>
        <v>9200.81</v>
      </c>
      <c r="M19" s="438">
        <f>VLOOKUP(H19,'Full Trial Balance'!$A$4:$G$2306,6,FALSE)</f>
        <v>740.46</v>
      </c>
      <c r="N19" s="438">
        <f>VLOOKUP(H19,'Full Trial Balance'!$A$4:$G$2306,7,FALSE)</f>
        <v>8460.35</v>
      </c>
      <c r="O19" s="485">
        <f t="shared" si="6"/>
        <v>9.0949470177292824E-13</v>
      </c>
    </row>
    <row r="20" spans="1:15" x14ac:dyDescent="0.25">
      <c r="A20" s="241" t="str">
        <f t="shared" si="0"/>
        <v>01-01</v>
      </c>
      <c r="B20" s="241" t="str">
        <f t="shared" si="1"/>
        <v>01</v>
      </c>
      <c r="C20" s="241" t="str">
        <f t="shared" si="2"/>
        <v>01</v>
      </c>
      <c r="D20" s="235" t="str">
        <f t="shared" si="3"/>
        <v>01-</v>
      </c>
      <c r="E20" s="241" t="s">
        <v>1250</v>
      </c>
      <c r="F20" s="241" t="str">
        <f t="shared" si="4"/>
        <v>-020-220</v>
      </c>
      <c r="G20" s="235" t="str">
        <f>CONCATENATE(D20,E20,F20)</f>
        <v>01-0x-020-220</v>
      </c>
      <c r="H20" s="241" t="s">
        <v>651</v>
      </c>
      <c r="I20" s="435" t="s">
        <v>183</v>
      </c>
      <c r="J20" s="438">
        <f>VLOOKUP(H20,'Full Trial Balance'!$A$4:$G$2306,3,FALSE)</f>
        <v>15370</v>
      </c>
      <c r="K20" s="438">
        <f>VLOOKUP(H20,'Full Trial Balance'!$A$4:$G$2306,4,FALSE)</f>
        <v>0</v>
      </c>
      <c r="L20" s="438">
        <f>VLOOKUP(H20,'Full Trial Balance'!$A$4:$G$2306,5,FALSE)</f>
        <v>0</v>
      </c>
      <c r="M20" s="438">
        <f>VLOOKUP(H20,'Full Trial Balance'!$A$4:$G$2306,6,FALSE)</f>
        <v>0</v>
      </c>
      <c r="N20" s="438">
        <f>VLOOKUP(H20,'Full Trial Balance'!$A$4:$G$2306,7,FALSE)</f>
        <v>0</v>
      </c>
      <c r="O20" s="485">
        <f t="shared" si="6"/>
        <v>0</v>
      </c>
    </row>
    <row r="21" spans="1:15" x14ac:dyDescent="0.25">
      <c r="A21" s="241" t="str">
        <f t="shared" si="0"/>
        <v>01-01</v>
      </c>
      <c r="B21" s="241" t="str">
        <f t="shared" si="1"/>
        <v>01</v>
      </c>
      <c r="C21" s="241" t="str">
        <f t="shared" si="2"/>
        <v>01</v>
      </c>
      <c r="D21" s="235" t="str">
        <f t="shared" si="3"/>
        <v>01-</v>
      </c>
      <c r="E21" s="241" t="s">
        <v>1250</v>
      </c>
      <c r="F21" s="241" t="str">
        <f t="shared" si="4"/>
        <v>-020-222</v>
      </c>
      <c r="G21" s="489" t="s">
        <v>3433</v>
      </c>
      <c r="H21" s="241" t="s">
        <v>2253</v>
      </c>
      <c r="I21" s="435" t="s">
        <v>2254</v>
      </c>
      <c r="J21" s="438">
        <f>VLOOKUP(H21,'Full Trial Balance'!$A$4:$G$2306,3,FALSE)</f>
        <v>0</v>
      </c>
      <c r="K21" s="438">
        <f>VLOOKUP(H21,'Full Trial Balance'!$A$4:$G$2306,4,FALSE)</f>
        <v>0</v>
      </c>
      <c r="L21" s="438">
        <f>VLOOKUP(H21,'Full Trial Balance'!$A$4:$G$2306,5,FALSE)</f>
        <v>369.67</v>
      </c>
      <c r="M21" s="438">
        <f>VLOOKUP(H21,'Full Trial Balance'!$A$4:$G$2306,6,FALSE)</f>
        <v>28.81</v>
      </c>
      <c r="N21" s="438">
        <f>VLOOKUP(H21,'Full Trial Balance'!$A$4:$G$2306,7,FALSE)</f>
        <v>340.86</v>
      </c>
      <c r="O21" s="485">
        <f t="shared" si="6"/>
        <v>0</v>
      </c>
    </row>
    <row r="22" spans="1:15" x14ac:dyDescent="0.25">
      <c r="A22" s="241" t="str">
        <f t="shared" si="0"/>
        <v>01-01</v>
      </c>
      <c r="B22" s="241" t="str">
        <f t="shared" si="1"/>
        <v>01</v>
      </c>
      <c r="C22" s="241" t="str">
        <f t="shared" si="2"/>
        <v>01</v>
      </c>
      <c r="D22" s="235" t="str">
        <f t="shared" si="3"/>
        <v>01-</v>
      </c>
      <c r="E22" s="241" t="s">
        <v>1250</v>
      </c>
      <c r="F22" s="241" t="str">
        <f t="shared" si="4"/>
        <v>-020-223</v>
      </c>
      <c r="G22" s="489" t="s">
        <v>3434</v>
      </c>
      <c r="H22" s="241" t="s">
        <v>2255</v>
      </c>
      <c r="I22" s="435" t="s">
        <v>2256</v>
      </c>
      <c r="J22" s="438">
        <f>VLOOKUP(H22,'Full Trial Balance'!$A$4:$G$2306,3,FALSE)</f>
        <v>0</v>
      </c>
      <c r="K22" s="438">
        <f>VLOOKUP(H22,'Full Trial Balance'!$A$4:$G$2306,4,FALSE)</f>
        <v>0</v>
      </c>
      <c r="L22" s="438">
        <f>VLOOKUP(H22,'Full Trial Balance'!$A$4:$G$2306,5,FALSE)</f>
        <v>470.6</v>
      </c>
      <c r="M22" s="438">
        <f>VLOOKUP(H22,'Full Trial Balance'!$A$4:$G$2306,6,FALSE)</f>
        <v>36.67</v>
      </c>
      <c r="N22" s="438">
        <f>VLOOKUP(H22,'Full Trial Balance'!$A$4:$G$2306,7,FALSE)</f>
        <v>433.93</v>
      </c>
      <c r="O22" s="485">
        <f t="shared" si="6"/>
        <v>0</v>
      </c>
    </row>
    <row r="23" spans="1:15" x14ac:dyDescent="0.25">
      <c r="A23" s="241" t="str">
        <f t="shared" si="0"/>
        <v>01-01</v>
      </c>
      <c r="B23" s="241" t="str">
        <f t="shared" si="1"/>
        <v>01</v>
      </c>
      <c r="C23" s="241" t="str">
        <f t="shared" si="2"/>
        <v>01</v>
      </c>
      <c r="D23" s="235" t="str">
        <f t="shared" si="3"/>
        <v>01-</v>
      </c>
      <c r="E23" s="241" t="s">
        <v>1250</v>
      </c>
      <c r="F23" s="241" t="str">
        <f t="shared" si="4"/>
        <v>-020-225</v>
      </c>
      <c r="G23" s="256" t="str">
        <f>CONCATENATE(D23,E23,F23)</f>
        <v>01-0x-020-225</v>
      </c>
      <c r="H23" s="241" t="s">
        <v>1078</v>
      </c>
      <c r="I23" s="435" t="s">
        <v>1079</v>
      </c>
      <c r="J23" s="438">
        <f>VLOOKUP(H23,'Full Trial Balance'!$A$4:$G$2306,3,FALSE)</f>
        <v>38228.959999999999</v>
      </c>
      <c r="K23" s="438">
        <f>VLOOKUP(H23,'Full Trial Balance'!$A$4:$G$2306,4,FALSE)</f>
        <v>0</v>
      </c>
      <c r="L23" s="438">
        <f>VLOOKUP(H23,'Full Trial Balance'!$A$4:$G$2306,5,FALSE)</f>
        <v>37434.589999999997</v>
      </c>
      <c r="M23" s="438">
        <f>VLOOKUP(H23,'Full Trial Balance'!$A$4:$G$2306,6,FALSE)</f>
        <v>0</v>
      </c>
      <c r="N23" s="438">
        <f>VLOOKUP(H23,'Full Trial Balance'!$A$4:$G$2306,7,FALSE)</f>
        <v>37434.589999999997</v>
      </c>
      <c r="O23" s="485">
        <f t="shared" si="6"/>
        <v>0</v>
      </c>
    </row>
    <row r="24" spans="1:15" x14ac:dyDescent="0.25">
      <c r="A24" s="241" t="str">
        <f t="shared" si="0"/>
        <v>01-01</v>
      </c>
      <c r="B24" s="241" t="str">
        <f t="shared" si="1"/>
        <v>01</v>
      </c>
      <c r="C24" s="241" t="str">
        <f t="shared" si="2"/>
        <v>01</v>
      </c>
      <c r="D24" s="235" t="str">
        <f t="shared" si="3"/>
        <v>01-</v>
      </c>
      <c r="E24" s="241" t="s">
        <v>1250</v>
      </c>
      <c r="F24" s="241" t="str">
        <f t="shared" si="4"/>
        <v>-030-006</v>
      </c>
      <c r="G24" s="256" t="s">
        <v>1437</v>
      </c>
      <c r="H24" s="241" t="s">
        <v>643</v>
      </c>
      <c r="I24" s="435" t="s">
        <v>156</v>
      </c>
      <c r="J24" s="438">
        <f>VLOOKUP(H24,'Full Trial Balance'!$A$4:$G$2306,3,FALSE)</f>
        <v>27550</v>
      </c>
      <c r="K24" s="438">
        <f>VLOOKUP(H24,'Full Trial Balance'!$A$4:$G$2306,4,FALSE)</f>
        <v>0</v>
      </c>
      <c r="L24" s="438">
        <f>VLOOKUP(H24,'Full Trial Balance'!$A$4:$G$2306,5,FALSE)</f>
        <v>14947.67</v>
      </c>
      <c r="M24" s="438">
        <f>VLOOKUP(H24,'Full Trial Balance'!$A$4:$G$2306,6,FALSE)</f>
        <v>0</v>
      </c>
      <c r="N24" s="438">
        <f>VLOOKUP(H24,'Full Trial Balance'!$A$4:$G$2306,7,FALSE)</f>
        <v>14947.67</v>
      </c>
      <c r="O24" s="485">
        <f t="shared" si="6"/>
        <v>0</v>
      </c>
    </row>
    <row r="25" spans="1:15" x14ac:dyDescent="0.25">
      <c r="A25" s="241" t="str">
        <f t="shared" si="0"/>
        <v>01-01</v>
      </c>
      <c r="B25" s="241" t="str">
        <f t="shared" si="1"/>
        <v>01</v>
      </c>
      <c r="C25" s="241" t="str">
        <f t="shared" si="2"/>
        <v>01</v>
      </c>
      <c r="D25" s="235" t="str">
        <f t="shared" si="3"/>
        <v>01-</v>
      </c>
      <c r="E25" s="241" t="s">
        <v>1250</v>
      </c>
      <c r="F25" s="241" t="str">
        <f t="shared" si="4"/>
        <v>-030-011</v>
      </c>
      <c r="G25" s="235" t="s">
        <v>1437</v>
      </c>
      <c r="H25" s="241" t="s">
        <v>657</v>
      </c>
      <c r="I25" s="435" t="s">
        <v>157</v>
      </c>
      <c r="J25" s="438">
        <f>VLOOKUP(H25,'Full Trial Balance'!$A$4:$G$2306,3,FALSE)</f>
        <v>7250</v>
      </c>
      <c r="K25" s="438">
        <f>VLOOKUP(H25,'Full Trial Balance'!$A$4:$G$2306,4,FALSE)</f>
        <v>0</v>
      </c>
      <c r="L25" s="438">
        <f>VLOOKUP(H25,'Full Trial Balance'!$A$4:$G$2306,5,FALSE)</f>
        <v>2460.6</v>
      </c>
      <c r="M25" s="438">
        <f>VLOOKUP(H25,'Full Trial Balance'!$A$4:$G$2306,6,FALSE)</f>
        <v>0</v>
      </c>
      <c r="N25" s="438">
        <f>VLOOKUP(H25,'Full Trial Balance'!$A$4:$G$2306,7,FALSE)</f>
        <v>2460.6</v>
      </c>
      <c r="O25" s="485">
        <f t="shared" si="6"/>
        <v>0</v>
      </c>
    </row>
    <row r="26" spans="1:15" x14ac:dyDescent="0.25">
      <c r="A26" s="241" t="str">
        <f t="shared" si="0"/>
        <v>01-01</v>
      </c>
      <c r="B26" s="241" t="str">
        <f t="shared" si="1"/>
        <v>01</v>
      </c>
      <c r="C26" s="241" t="str">
        <f t="shared" si="2"/>
        <v>01</v>
      </c>
      <c r="D26" s="235" t="str">
        <f t="shared" si="3"/>
        <v>01-</v>
      </c>
      <c r="E26" s="241" t="s">
        <v>1250</v>
      </c>
      <c r="F26" s="241" t="str">
        <f t="shared" si="4"/>
        <v>-030-012</v>
      </c>
      <c r="G26" s="235" t="s">
        <v>1437</v>
      </c>
      <c r="H26" s="241" t="s">
        <v>617</v>
      </c>
      <c r="I26" s="435" t="s">
        <v>158</v>
      </c>
      <c r="J26" s="438">
        <f>VLOOKUP(H26,'Full Trial Balance'!$A$4:$G$2306,3,FALSE)</f>
        <v>1740</v>
      </c>
      <c r="K26" s="438">
        <f>VLOOKUP(H26,'Full Trial Balance'!$A$4:$G$2306,4,FALSE)</f>
        <v>0</v>
      </c>
      <c r="L26" s="438">
        <f>VLOOKUP(H26,'Full Trial Balance'!$A$4:$G$2306,5,FALSE)</f>
        <v>869.7</v>
      </c>
      <c r="M26" s="438">
        <f>VLOOKUP(H26,'Full Trial Balance'!$A$4:$G$2306,6,FALSE)</f>
        <v>0</v>
      </c>
      <c r="N26" s="438">
        <f>VLOOKUP(H26,'Full Trial Balance'!$A$4:$G$2306,7,FALSE)</f>
        <v>869.7</v>
      </c>
      <c r="O26" s="485">
        <f t="shared" si="6"/>
        <v>0</v>
      </c>
    </row>
    <row r="27" spans="1:15" x14ac:dyDescent="0.25">
      <c r="A27" s="241" t="str">
        <f t="shared" si="0"/>
        <v>01-01</v>
      </c>
      <c r="B27" s="241" t="str">
        <f t="shared" si="1"/>
        <v>01</v>
      </c>
      <c r="C27" s="241" t="str">
        <f t="shared" si="2"/>
        <v>01</v>
      </c>
      <c r="D27" s="235" t="str">
        <f t="shared" si="3"/>
        <v>01-</v>
      </c>
      <c r="E27" s="241" t="s">
        <v>1250</v>
      </c>
      <c r="F27" s="241" t="str">
        <f t="shared" si="4"/>
        <v>-030-050</v>
      </c>
      <c r="G27" s="256" t="str">
        <f>CONCATENATE(D27,E27,F27)</f>
        <v>01-0x-030-050</v>
      </c>
      <c r="H27" s="241" t="s">
        <v>1059</v>
      </c>
      <c r="I27" s="435" t="s">
        <v>1073</v>
      </c>
      <c r="J27" s="438">
        <f>VLOOKUP(H27,'Full Trial Balance'!$A$4:$G$2306,3,FALSE)</f>
        <v>0</v>
      </c>
      <c r="K27" s="438">
        <f>VLOOKUP(H27,'Full Trial Balance'!$A$4:$G$2306,4,FALSE)</f>
        <v>0</v>
      </c>
      <c r="L27" s="438">
        <f>VLOOKUP(H27,'Full Trial Balance'!$A$4:$G$2306,5,FALSE)</f>
        <v>0</v>
      </c>
      <c r="M27" s="438">
        <f>VLOOKUP(H27,'Full Trial Balance'!$A$4:$G$2306,6,FALSE)</f>
        <v>0</v>
      </c>
      <c r="N27" s="438">
        <f>VLOOKUP(H27,'Full Trial Balance'!$A$4:$G$2306,7,FALSE)</f>
        <v>0</v>
      </c>
      <c r="O27" s="485">
        <f t="shared" si="6"/>
        <v>0</v>
      </c>
    </row>
    <row r="28" spans="1:15" x14ac:dyDescent="0.25">
      <c r="A28" s="241" t="str">
        <f t="shared" si="0"/>
        <v>01-01</v>
      </c>
      <c r="B28" s="241" t="str">
        <f t="shared" si="1"/>
        <v>01</v>
      </c>
      <c r="C28" s="241" t="str">
        <f t="shared" si="2"/>
        <v>01</v>
      </c>
      <c r="D28" s="235" t="str">
        <f t="shared" si="3"/>
        <v>01-</v>
      </c>
      <c r="E28" s="241" t="s">
        <v>1250</v>
      </c>
      <c r="F28" s="241" t="str">
        <f t="shared" si="4"/>
        <v>-031-123</v>
      </c>
      <c r="G28" s="256" t="s">
        <v>1251</v>
      </c>
      <c r="H28" s="241" t="s">
        <v>649</v>
      </c>
      <c r="I28" s="435" t="s">
        <v>159</v>
      </c>
      <c r="J28" s="438">
        <f>VLOOKUP(H28,'Full Trial Balance'!$A$4:$G$2306,3,FALSE)</f>
        <v>4350</v>
      </c>
      <c r="K28" s="438">
        <f>VLOOKUP(H28,'Full Trial Balance'!$A$4:$G$2306,4,FALSE)</f>
        <v>0</v>
      </c>
      <c r="L28" s="438">
        <f>VLOOKUP(H28,'Full Trial Balance'!$A$4:$G$2306,5,FALSE)</f>
        <v>1902.47</v>
      </c>
      <c r="M28" s="438">
        <f>VLOOKUP(H28,'Full Trial Balance'!$A$4:$G$2306,6,FALSE)</f>
        <v>0</v>
      </c>
      <c r="N28" s="438">
        <f>VLOOKUP(H28,'Full Trial Balance'!$A$4:$G$2306,7,FALSE)</f>
        <v>1902.47</v>
      </c>
      <c r="O28" s="485">
        <f t="shared" si="6"/>
        <v>0</v>
      </c>
    </row>
    <row r="29" spans="1:15" x14ac:dyDescent="0.25">
      <c r="A29" s="241" t="str">
        <f t="shared" si="0"/>
        <v>01-01</v>
      </c>
      <c r="B29" s="241" t="str">
        <f t="shared" si="1"/>
        <v>01</v>
      </c>
      <c r="C29" s="241" t="str">
        <f t="shared" si="2"/>
        <v>01</v>
      </c>
      <c r="D29" s="235" t="str">
        <f t="shared" si="3"/>
        <v>01-</v>
      </c>
      <c r="E29" s="241" t="s">
        <v>1250</v>
      </c>
      <c r="F29" s="241" t="str">
        <f t="shared" si="4"/>
        <v>-031-124</v>
      </c>
      <c r="G29" s="256" t="s">
        <v>1446</v>
      </c>
      <c r="H29" s="241" t="s">
        <v>623</v>
      </c>
      <c r="I29" s="435" t="s">
        <v>160</v>
      </c>
      <c r="J29" s="438">
        <f>VLOOKUP(H29,'Full Trial Balance'!$A$4:$G$2306,3,FALSE)</f>
        <v>1305</v>
      </c>
      <c r="K29" s="438">
        <f>VLOOKUP(H29,'Full Trial Balance'!$A$4:$G$2306,4,FALSE)</f>
        <v>0</v>
      </c>
      <c r="L29" s="438">
        <f>VLOOKUP(H29,'Full Trial Balance'!$A$4:$G$2306,5,FALSE)</f>
        <v>4697.3999999999996</v>
      </c>
      <c r="M29" s="438">
        <f>VLOOKUP(H29,'Full Trial Balance'!$A$4:$G$2306,6,FALSE)</f>
        <v>0</v>
      </c>
      <c r="N29" s="438">
        <f>VLOOKUP(H29,'Full Trial Balance'!$A$4:$G$2306,7,FALSE)</f>
        <v>4697.3999999999996</v>
      </c>
      <c r="O29" s="485">
        <f t="shared" si="6"/>
        <v>0</v>
      </c>
    </row>
    <row r="30" spans="1:15" x14ac:dyDescent="0.25">
      <c r="A30" s="241" t="str">
        <f t="shared" si="0"/>
        <v>01-01</v>
      </c>
      <c r="B30" s="241" t="str">
        <f t="shared" si="1"/>
        <v>01</v>
      </c>
      <c r="C30" s="241" t="str">
        <f t="shared" si="2"/>
        <v>01</v>
      </c>
      <c r="D30" s="235" t="str">
        <f t="shared" si="3"/>
        <v>01-</v>
      </c>
      <c r="E30" s="241" t="s">
        <v>1250</v>
      </c>
      <c r="F30" s="241" t="str">
        <f t="shared" si="4"/>
        <v>-031-125</v>
      </c>
      <c r="G30" s="256" t="s">
        <v>1446</v>
      </c>
      <c r="H30" s="241" t="s">
        <v>662</v>
      </c>
      <c r="I30" s="435" t="s">
        <v>161</v>
      </c>
      <c r="J30" s="438">
        <f>VLOOKUP(H30,'Full Trial Balance'!$A$4:$G$2306,3,FALSE)</f>
        <v>1856</v>
      </c>
      <c r="K30" s="438">
        <f>VLOOKUP(H30,'Full Trial Balance'!$A$4:$G$2306,4,FALSE)</f>
        <v>0</v>
      </c>
      <c r="L30" s="438">
        <f>VLOOKUP(H30,'Full Trial Balance'!$A$4:$G$2306,5,FALSE)</f>
        <v>922.67</v>
      </c>
      <c r="M30" s="438">
        <f>VLOOKUP(H30,'Full Trial Balance'!$A$4:$G$2306,6,FALSE)</f>
        <v>0</v>
      </c>
      <c r="N30" s="438">
        <f>VLOOKUP(H30,'Full Trial Balance'!$A$4:$G$2306,7,FALSE)</f>
        <v>922.67</v>
      </c>
      <c r="O30" s="485">
        <f t="shared" si="6"/>
        <v>0</v>
      </c>
    </row>
    <row r="31" spans="1:15" x14ac:dyDescent="0.25">
      <c r="A31" s="241" t="str">
        <f t="shared" si="0"/>
        <v>01-01</v>
      </c>
      <c r="B31" s="241" t="str">
        <f t="shared" si="1"/>
        <v>01</v>
      </c>
      <c r="C31" s="241" t="str">
        <f t="shared" si="2"/>
        <v>01</v>
      </c>
      <c r="D31" s="235" t="str">
        <f t="shared" si="3"/>
        <v>01-</v>
      </c>
      <c r="E31" s="241" t="s">
        <v>1250</v>
      </c>
      <c r="F31" s="241" t="str">
        <f t="shared" si="4"/>
        <v>-031-126</v>
      </c>
      <c r="G31" s="235" t="s">
        <v>1442</v>
      </c>
      <c r="H31" s="241" t="s">
        <v>616</v>
      </c>
      <c r="I31" s="435" t="s">
        <v>162</v>
      </c>
      <c r="J31" s="438">
        <f>VLOOKUP(H31,'Full Trial Balance'!$A$4:$G$2306,3,FALSE)</f>
        <v>725</v>
      </c>
      <c r="K31" s="438">
        <f>VLOOKUP(H31,'Full Trial Balance'!$A$4:$G$2306,4,FALSE)</f>
        <v>0</v>
      </c>
      <c r="L31" s="438">
        <f>VLOOKUP(H31,'Full Trial Balance'!$A$4:$G$2306,5,FALSE)</f>
        <v>342.02</v>
      </c>
      <c r="M31" s="438">
        <f>VLOOKUP(H31,'Full Trial Balance'!$A$4:$G$2306,6,FALSE)</f>
        <v>44.76</v>
      </c>
      <c r="N31" s="438">
        <f>VLOOKUP(H31,'Full Trial Balance'!$A$4:$G$2306,7,FALSE)</f>
        <v>297.26</v>
      </c>
      <c r="O31" s="485">
        <f t="shared" si="6"/>
        <v>0</v>
      </c>
    </row>
    <row r="32" spans="1:15" x14ac:dyDescent="0.25">
      <c r="A32" s="241" t="str">
        <f t="shared" si="0"/>
        <v>01-01</v>
      </c>
      <c r="B32" s="241" t="str">
        <f t="shared" si="1"/>
        <v>01</v>
      </c>
      <c r="C32" s="241" t="str">
        <f t="shared" si="2"/>
        <v>01</v>
      </c>
      <c r="D32" s="235" t="str">
        <f t="shared" si="3"/>
        <v>01-</v>
      </c>
      <c r="E32" s="241" t="s">
        <v>1250</v>
      </c>
      <c r="F32" s="241" t="str">
        <f t="shared" si="4"/>
        <v>-031-127</v>
      </c>
      <c r="G32" s="235" t="s">
        <v>1442</v>
      </c>
      <c r="H32" s="241" t="s">
        <v>654</v>
      </c>
      <c r="I32" s="435" t="s">
        <v>83</v>
      </c>
      <c r="J32" s="438">
        <f>VLOOKUP(H32,'Full Trial Balance'!$A$4:$G$2306,3,FALSE)</f>
        <v>13050</v>
      </c>
      <c r="K32" s="438">
        <f>VLOOKUP(H32,'Full Trial Balance'!$A$4:$G$2306,4,FALSE)</f>
        <v>0</v>
      </c>
      <c r="L32" s="438">
        <f>VLOOKUP(H32,'Full Trial Balance'!$A$4:$G$2306,5,FALSE)</f>
        <v>6018.81</v>
      </c>
      <c r="M32" s="438">
        <f>VLOOKUP(H32,'Full Trial Balance'!$A$4:$G$2306,6,FALSE)</f>
        <v>65.22</v>
      </c>
      <c r="N32" s="438">
        <f>VLOOKUP(H32,'Full Trial Balance'!$A$4:$G$2306,7,FALSE)</f>
        <v>5953.59</v>
      </c>
      <c r="O32" s="485">
        <f t="shared" si="6"/>
        <v>-2.5579538487363607E-13</v>
      </c>
    </row>
    <row r="33" spans="1:15" x14ac:dyDescent="0.25">
      <c r="A33" s="241" t="str">
        <f t="shared" si="0"/>
        <v>01-01</v>
      </c>
      <c r="B33" s="241" t="str">
        <f t="shared" si="1"/>
        <v>01</v>
      </c>
      <c r="C33" s="241" t="str">
        <f t="shared" si="2"/>
        <v>01</v>
      </c>
      <c r="D33" s="235" t="str">
        <f t="shared" si="3"/>
        <v>01-</v>
      </c>
      <c r="E33" s="241" t="s">
        <v>1250</v>
      </c>
      <c r="F33" s="241" t="str">
        <f t="shared" si="4"/>
        <v>-031-128</v>
      </c>
      <c r="G33" s="235" t="str">
        <f>CONCATENATE(D33,E33,F33)</f>
        <v>01-0x-031-128</v>
      </c>
      <c r="H33" s="241" t="s">
        <v>658</v>
      </c>
      <c r="I33" s="435" t="s">
        <v>163</v>
      </c>
      <c r="J33" s="438">
        <f>VLOOKUP(H33,'Full Trial Balance'!$A$4:$G$2306,3,FALSE)</f>
        <v>7540</v>
      </c>
      <c r="K33" s="438">
        <f>VLOOKUP(H33,'Full Trial Balance'!$A$4:$G$2306,4,FALSE)</f>
        <v>0</v>
      </c>
      <c r="L33" s="438">
        <f>VLOOKUP(H33,'Full Trial Balance'!$A$4:$G$2306,5,FALSE)</f>
        <v>3909.83</v>
      </c>
      <c r="M33" s="438">
        <f>VLOOKUP(H33,'Full Trial Balance'!$A$4:$G$2306,6,FALSE)</f>
        <v>0</v>
      </c>
      <c r="N33" s="438">
        <f>VLOOKUP(H33,'Full Trial Balance'!$A$4:$G$2306,7,FALSE)</f>
        <v>3909.83</v>
      </c>
      <c r="O33" s="485">
        <f t="shared" si="6"/>
        <v>0</v>
      </c>
    </row>
    <row r="34" spans="1:15" x14ac:dyDescent="0.25">
      <c r="A34" s="241" t="str">
        <f t="shared" si="0"/>
        <v>01-01</v>
      </c>
      <c r="B34" s="241" t="str">
        <f t="shared" si="1"/>
        <v>01</v>
      </c>
      <c r="C34" s="241" t="str">
        <f t="shared" si="2"/>
        <v>01</v>
      </c>
      <c r="D34" s="235" t="str">
        <f t="shared" si="3"/>
        <v>01-</v>
      </c>
      <c r="E34" s="241" t="s">
        <v>1250</v>
      </c>
      <c r="F34" s="241" t="str">
        <f t="shared" si="4"/>
        <v>-035-001</v>
      </c>
      <c r="G34" s="256" t="str">
        <f>CONCATENATE(D34,E34,F34)</f>
        <v>01-0x-035-001</v>
      </c>
      <c r="H34" s="241" t="s">
        <v>655</v>
      </c>
      <c r="I34" s="435" t="s">
        <v>70</v>
      </c>
      <c r="J34" s="438">
        <f>VLOOKUP(H34,'Full Trial Balance'!$A$4:$G$2306,3,FALSE)</f>
        <v>16820</v>
      </c>
      <c r="K34" s="438">
        <f>VLOOKUP(H34,'Full Trial Balance'!$A$4:$G$2306,4,FALSE)</f>
        <v>0</v>
      </c>
      <c r="L34" s="438">
        <f>VLOOKUP(H34,'Full Trial Balance'!$A$4:$G$2306,5,FALSE)</f>
        <v>7048.44</v>
      </c>
      <c r="M34" s="438">
        <f>VLOOKUP(H34,'Full Trial Balance'!$A$4:$G$2306,6,FALSE)</f>
        <v>20.65</v>
      </c>
      <c r="N34" s="438">
        <f>VLOOKUP(H34,'Full Trial Balance'!$A$4:$G$2306,7,FALSE)</f>
        <v>7027.79</v>
      </c>
      <c r="O34" s="485">
        <f t="shared" si="6"/>
        <v>3.6237679523765109E-13</v>
      </c>
    </row>
    <row r="35" spans="1:15" x14ac:dyDescent="0.25">
      <c r="A35" s="241" t="str">
        <f t="shared" si="0"/>
        <v>01-01</v>
      </c>
      <c r="B35" s="241" t="str">
        <f t="shared" si="1"/>
        <v>01</v>
      </c>
      <c r="C35" s="241" t="str">
        <f t="shared" si="2"/>
        <v>01</v>
      </c>
      <c r="D35" s="235" t="str">
        <f t="shared" si="3"/>
        <v>01-</v>
      </c>
      <c r="E35" s="241" t="s">
        <v>1250</v>
      </c>
      <c r="F35" s="241" t="str">
        <f t="shared" si="4"/>
        <v>-035-002</v>
      </c>
      <c r="G35" s="256" t="str">
        <f>CONCATENATE(D35,E35,F35)</f>
        <v>01-0x-035-002</v>
      </c>
      <c r="H35" s="241" t="s">
        <v>656</v>
      </c>
      <c r="I35" s="435" t="s">
        <v>47</v>
      </c>
      <c r="J35" s="438">
        <f>VLOOKUP(H35,'Full Trial Balance'!$A$4:$G$2306,3,FALSE)</f>
        <v>1450</v>
      </c>
      <c r="K35" s="438">
        <f>VLOOKUP(H35,'Full Trial Balance'!$A$4:$G$2306,4,FALSE)</f>
        <v>0</v>
      </c>
      <c r="L35" s="438">
        <f>VLOOKUP(H35,'Full Trial Balance'!$A$4:$G$2306,5,FALSE)</f>
        <v>1593.65</v>
      </c>
      <c r="M35" s="438">
        <f>VLOOKUP(H35,'Full Trial Balance'!$A$4:$G$2306,6,FALSE)</f>
        <v>170</v>
      </c>
      <c r="N35" s="438">
        <f>VLOOKUP(H35,'Full Trial Balance'!$A$4:$G$2306,7,FALSE)</f>
        <v>1423.65</v>
      </c>
      <c r="O35" s="485">
        <f t="shared" si="6"/>
        <v>0</v>
      </c>
    </row>
    <row r="36" spans="1:15" x14ac:dyDescent="0.25">
      <c r="A36" s="241" t="str">
        <f t="shared" si="0"/>
        <v>01-01</v>
      </c>
      <c r="B36" s="241" t="str">
        <f t="shared" si="1"/>
        <v>01</v>
      </c>
      <c r="C36" s="241" t="str">
        <f t="shared" si="2"/>
        <v>01</v>
      </c>
      <c r="D36" s="235" t="str">
        <f t="shared" si="3"/>
        <v>01-</v>
      </c>
      <c r="E36" s="241" t="s">
        <v>1250</v>
      </c>
      <c r="F36" s="241" t="str">
        <f t="shared" si="4"/>
        <v>-035-003</v>
      </c>
      <c r="G36" s="489" t="s">
        <v>1453</v>
      </c>
      <c r="H36" s="241" t="s">
        <v>650</v>
      </c>
      <c r="I36" s="435" t="s">
        <v>48</v>
      </c>
      <c r="J36" s="438">
        <f>VLOOKUP(H36,'Full Trial Balance'!$A$4:$G$2306,3,FALSE)</f>
        <v>2175</v>
      </c>
      <c r="K36" s="438">
        <f>VLOOKUP(H36,'Full Trial Balance'!$A$4:$G$2306,4,FALSE)</f>
        <v>0</v>
      </c>
      <c r="L36" s="438">
        <f>VLOOKUP(H36,'Full Trial Balance'!$A$4:$G$2306,5,FALSE)</f>
        <v>805.93</v>
      </c>
      <c r="M36" s="438">
        <f>VLOOKUP(H36,'Full Trial Balance'!$A$4:$G$2306,6,FALSE)</f>
        <v>546.5</v>
      </c>
      <c r="N36" s="438">
        <f>VLOOKUP(H36,'Full Trial Balance'!$A$4:$G$2306,7,FALSE)</f>
        <v>259.43</v>
      </c>
      <c r="O36" s="485">
        <f t="shared" si="6"/>
        <v>0</v>
      </c>
    </row>
    <row r="37" spans="1:15" x14ac:dyDescent="0.25">
      <c r="A37" s="241" t="str">
        <f t="shared" si="0"/>
        <v>01-01</v>
      </c>
      <c r="B37" s="241" t="str">
        <f t="shared" si="1"/>
        <v>01</v>
      </c>
      <c r="C37" s="241" t="str">
        <f t="shared" si="2"/>
        <v>01</v>
      </c>
      <c r="D37" s="235" t="str">
        <f t="shared" si="3"/>
        <v>01-</v>
      </c>
      <c r="E37" s="241" t="s">
        <v>1250</v>
      </c>
      <c r="F37" s="241" t="str">
        <f t="shared" si="4"/>
        <v>-035-004</v>
      </c>
      <c r="G37" s="489" t="s">
        <v>1453</v>
      </c>
      <c r="H37" s="241" t="s">
        <v>636</v>
      </c>
      <c r="I37" s="435" t="s">
        <v>49</v>
      </c>
      <c r="J37" s="438">
        <f>VLOOKUP(H37,'Full Trial Balance'!$A$4:$G$2306,3,FALSE)</f>
        <v>5800</v>
      </c>
      <c r="K37" s="438">
        <f>VLOOKUP(H37,'Full Trial Balance'!$A$4:$G$2306,4,FALSE)</f>
        <v>0</v>
      </c>
      <c r="L37" s="438">
        <f>VLOOKUP(H37,'Full Trial Balance'!$A$4:$G$2306,5,FALSE)</f>
        <v>1424.84</v>
      </c>
      <c r="M37" s="438">
        <f>VLOOKUP(H37,'Full Trial Balance'!$A$4:$G$2306,6,FALSE)</f>
        <v>0</v>
      </c>
      <c r="N37" s="438">
        <f>VLOOKUP(H37,'Full Trial Balance'!$A$4:$G$2306,7,FALSE)</f>
        <v>1424.84</v>
      </c>
      <c r="O37" s="485">
        <f t="shared" si="6"/>
        <v>0</v>
      </c>
    </row>
    <row r="38" spans="1:15" x14ac:dyDescent="0.25">
      <c r="A38" s="241" t="str">
        <f t="shared" si="0"/>
        <v>01-01</v>
      </c>
      <c r="B38" s="241" t="str">
        <f t="shared" si="1"/>
        <v>01</v>
      </c>
      <c r="C38" s="241" t="str">
        <f t="shared" si="2"/>
        <v>01</v>
      </c>
      <c r="D38" s="235" t="str">
        <f t="shared" si="3"/>
        <v>01-</v>
      </c>
      <c r="E38" s="241" t="s">
        <v>1250</v>
      </c>
      <c r="F38" s="241" t="str">
        <f t="shared" si="4"/>
        <v>-035-005</v>
      </c>
      <c r="G38" s="489" t="s">
        <v>1458</v>
      </c>
      <c r="H38" s="241" t="s">
        <v>627</v>
      </c>
      <c r="I38" s="435" t="s">
        <v>50</v>
      </c>
      <c r="J38" s="438">
        <f>VLOOKUP(H38,'Full Trial Balance'!$A$4:$G$2306,3,FALSE)</f>
        <v>8120</v>
      </c>
      <c r="K38" s="438">
        <f>VLOOKUP(H38,'Full Trial Balance'!$A$4:$G$2306,4,FALSE)</f>
        <v>0</v>
      </c>
      <c r="L38" s="438">
        <f>VLOOKUP(H38,'Full Trial Balance'!$A$4:$G$2306,5,FALSE)</f>
        <v>2508.6999999999998</v>
      </c>
      <c r="M38" s="438">
        <f>VLOOKUP(H38,'Full Trial Balance'!$A$4:$G$2306,6,FALSE)</f>
        <v>0</v>
      </c>
      <c r="N38" s="438">
        <f>VLOOKUP(H38,'Full Trial Balance'!$A$4:$G$2306,7,FALSE)</f>
        <v>2508.6999999999998</v>
      </c>
      <c r="O38" s="485">
        <f t="shared" si="6"/>
        <v>0</v>
      </c>
    </row>
    <row r="39" spans="1:15" x14ac:dyDescent="0.25">
      <c r="A39" s="241" t="str">
        <f t="shared" si="0"/>
        <v>01-01</v>
      </c>
      <c r="B39" s="241" t="str">
        <f t="shared" si="1"/>
        <v>01</v>
      </c>
      <c r="C39" s="241" t="str">
        <f t="shared" si="2"/>
        <v>01</v>
      </c>
      <c r="D39" s="235" t="str">
        <f t="shared" si="3"/>
        <v>01-</v>
      </c>
      <c r="E39" s="241" t="s">
        <v>1250</v>
      </c>
      <c r="F39" s="241" t="str">
        <f t="shared" si="4"/>
        <v>-035-006</v>
      </c>
      <c r="G39" s="235" t="s">
        <v>1458</v>
      </c>
      <c r="H39" s="241" t="s">
        <v>1060</v>
      </c>
      <c r="I39" s="435" t="s">
        <v>1061</v>
      </c>
      <c r="J39" s="438">
        <f>VLOOKUP(H39,'Full Trial Balance'!$A$4:$G$2306,3,FALSE)</f>
        <v>8700</v>
      </c>
      <c r="K39" s="438">
        <f>VLOOKUP(H39,'Full Trial Balance'!$A$4:$G$2306,4,FALSE)</f>
        <v>0</v>
      </c>
      <c r="L39" s="438">
        <f>VLOOKUP(H39,'Full Trial Balance'!$A$4:$G$2306,5,FALSE)</f>
        <v>4206.49</v>
      </c>
      <c r="M39" s="438">
        <f>VLOOKUP(H39,'Full Trial Balance'!$A$4:$G$2306,6,FALSE)</f>
        <v>0</v>
      </c>
      <c r="N39" s="438">
        <f>VLOOKUP(H39,'Full Trial Balance'!$A$4:$G$2306,7,FALSE)</f>
        <v>4206.49</v>
      </c>
      <c r="O39" s="485">
        <f t="shared" si="6"/>
        <v>0</v>
      </c>
    </row>
    <row r="40" spans="1:15" x14ac:dyDescent="0.25">
      <c r="A40" s="241" t="str">
        <f t="shared" si="0"/>
        <v>01-01</v>
      </c>
      <c r="B40" s="241" t="str">
        <f t="shared" si="1"/>
        <v>01</v>
      </c>
      <c r="C40" s="241" t="str">
        <f t="shared" si="2"/>
        <v>01</v>
      </c>
      <c r="D40" s="235" t="str">
        <f t="shared" si="3"/>
        <v>01-</v>
      </c>
      <c r="E40" s="241" t="s">
        <v>1250</v>
      </c>
      <c r="F40" s="241" t="str">
        <f t="shared" si="4"/>
        <v>-035-007</v>
      </c>
      <c r="G40" s="235" t="str">
        <f t="shared" ref="G40:G47" si="7">CONCATENATE(D40,E40,F40)</f>
        <v>01-0x-035-007</v>
      </c>
      <c r="H40" s="241" t="s">
        <v>615</v>
      </c>
      <c r="I40" s="435" t="s">
        <v>51</v>
      </c>
      <c r="J40" s="438">
        <f>VLOOKUP(H40,'Full Trial Balance'!$A$4:$G$2306,3,FALSE)</f>
        <v>3480</v>
      </c>
      <c r="K40" s="438">
        <f>VLOOKUP(H40,'Full Trial Balance'!$A$4:$G$2306,4,FALSE)</f>
        <v>0</v>
      </c>
      <c r="L40" s="438">
        <f>VLOOKUP(H40,'Full Trial Balance'!$A$4:$G$2306,5,FALSE)</f>
        <v>1095.3</v>
      </c>
      <c r="M40" s="438">
        <f>VLOOKUP(H40,'Full Trial Balance'!$A$4:$G$2306,6,FALSE)</f>
        <v>0</v>
      </c>
      <c r="N40" s="438">
        <f>VLOOKUP(H40,'Full Trial Balance'!$A$4:$G$2306,7,FALSE)</f>
        <v>1095.3</v>
      </c>
      <c r="O40" s="485">
        <f t="shared" si="6"/>
        <v>0</v>
      </c>
    </row>
    <row r="41" spans="1:15" x14ac:dyDescent="0.25">
      <c r="A41" s="241" t="str">
        <f t="shared" si="0"/>
        <v>01-01</v>
      </c>
      <c r="B41" s="241" t="str">
        <f t="shared" si="1"/>
        <v>01</v>
      </c>
      <c r="C41" s="241" t="str">
        <f t="shared" si="2"/>
        <v>01</v>
      </c>
      <c r="D41" s="235" t="str">
        <f t="shared" si="3"/>
        <v>01-</v>
      </c>
      <c r="E41" s="241" t="s">
        <v>1250</v>
      </c>
      <c r="F41" s="241" t="str">
        <f t="shared" si="4"/>
        <v>-035-008</v>
      </c>
      <c r="G41" s="235" t="str">
        <f t="shared" si="7"/>
        <v>01-0x-035-008</v>
      </c>
      <c r="H41" s="241" t="s">
        <v>645</v>
      </c>
      <c r="I41" s="435" t="s">
        <v>164</v>
      </c>
      <c r="J41" s="438">
        <f>VLOOKUP(H41,'Full Trial Balance'!$A$4:$G$2306,3,FALSE)</f>
        <v>17400</v>
      </c>
      <c r="K41" s="438">
        <f>VLOOKUP(H41,'Full Trial Balance'!$A$4:$G$2306,4,FALSE)</f>
        <v>0</v>
      </c>
      <c r="L41" s="438">
        <f>VLOOKUP(H41,'Full Trial Balance'!$A$4:$G$2306,5,FALSE)</f>
        <v>10374.75</v>
      </c>
      <c r="M41" s="438">
        <f>VLOOKUP(H41,'Full Trial Balance'!$A$4:$G$2306,6,FALSE)</f>
        <v>0</v>
      </c>
      <c r="N41" s="438">
        <f>VLOOKUP(H41,'Full Trial Balance'!$A$4:$G$2306,7,FALSE)</f>
        <v>10374.75</v>
      </c>
      <c r="O41" s="485">
        <f t="shared" si="6"/>
        <v>0</v>
      </c>
    </row>
    <row r="42" spans="1:15" x14ac:dyDescent="0.25">
      <c r="A42" s="241" t="str">
        <f t="shared" si="0"/>
        <v>01-01</v>
      </c>
      <c r="B42" s="241" t="str">
        <f t="shared" si="1"/>
        <v>01</v>
      </c>
      <c r="C42" s="241" t="str">
        <f t="shared" si="2"/>
        <v>01</v>
      </c>
      <c r="D42" s="235" t="str">
        <f t="shared" si="3"/>
        <v>01-</v>
      </c>
      <c r="E42" s="241" t="s">
        <v>1250</v>
      </c>
      <c r="F42" s="241" t="str">
        <f t="shared" si="4"/>
        <v>-035-009</v>
      </c>
      <c r="G42" s="235" t="str">
        <f t="shared" si="7"/>
        <v>01-0x-035-009</v>
      </c>
      <c r="H42" s="241" t="s">
        <v>637</v>
      </c>
      <c r="I42" s="435" t="s">
        <v>165</v>
      </c>
      <c r="J42" s="438">
        <f>VLOOKUP(H42,'Full Trial Balance'!$A$4:$G$2306,3,FALSE)</f>
        <v>1740</v>
      </c>
      <c r="K42" s="438">
        <f>VLOOKUP(H42,'Full Trial Balance'!$A$4:$G$2306,4,FALSE)</f>
        <v>0</v>
      </c>
      <c r="L42" s="438">
        <f>VLOOKUP(H42,'Full Trial Balance'!$A$4:$G$2306,5,FALSE)</f>
        <v>546.71</v>
      </c>
      <c r="M42" s="438">
        <f>VLOOKUP(H42,'Full Trial Balance'!$A$4:$G$2306,6,FALSE)</f>
        <v>24.22</v>
      </c>
      <c r="N42" s="438">
        <f>VLOOKUP(H42,'Full Trial Balance'!$A$4:$G$2306,7,FALSE)</f>
        <v>522.49</v>
      </c>
      <c r="O42" s="485">
        <f t="shared" si="6"/>
        <v>-2.8421709430404007E-14</v>
      </c>
    </row>
    <row r="43" spans="1:15" x14ac:dyDescent="0.25">
      <c r="A43" s="241" t="str">
        <f t="shared" si="0"/>
        <v>01-01</v>
      </c>
      <c r="B43" s="241" t="str">
        <f t="shared" si="1"/>
        <v>01</v>
      </c>
      <c r="C43" s="241" t="str">
        <f t="shared" si="2"/>
        <v>01</v>
      </c>
      <c r="D43" s="235" t="str">
        <f t="shared" si="3"/>
        <v>01-</v>
      </c>
      <c r="E43" s="241" t="s">
        <v>1250</v>
      </c>
      <c r="F43" s="241" t="str">
        <f t="shared" si="4"/>
        <v>-035-010</v>
      </c>
      <c r="G43" s="235" t="str">
        <f t="shared" si="7"/>
        <v>01-0x-035-010</v>
      </c>
      <c r="H43" s="241" t="s">
        <v>1062</v>
      </c>
      <c r="I43" s="435" t="s">
        <v>1063</v>
      </c>
      <c r="J43" s="438">
        <f>VLOOKUP(H43,'Full Trial Balance'!$A$4:$G$2306,3,FALSE)</f>
        <v>2755</v>
      </c>
      <c r="K43" s="438">
        <f>VLOOKUP(H43,'Full Trial Balance'!$A$4:$G$2306,4,FALSE)</f>
        <v>0</v>
      </c>
      <c r="L43" s="438">
        <f>VLOOKUP(H43,'Full Trial Balance'!$A$4:$G$2306,5,FALSE)</f>
        <v>1041.0999999999999</v>
      </c>
      <c r="M43" s="438">
        <f>VLOOKUP(H43,'Full Trial Balance'!$A$4:$G$2306,6,FALSE)</f>
        <v>0</v>
      </c>
      <c r="N43" s="438">
        <f>VLOOKUP(H43,'Full Trial Balance'!$A$4:$G$2306,7,FALSE)</f>
        <v>1041.0999999999999</v>
      </c>
      <c r="O43" s="485">
        <f t="shared" si="6"/>
        <v>0</v>
      </c>
    </row>
    <row r="44" spans="1:15" x14ac:dyDescent="0.25">
      <c r="A44" s="241" t="str">
        <f t="shared" si="0"/>
        <v>01-01</v>
      </c>
      <c r="B44" s="241" t="str">
        <f t="shared" si="1"/>
        <v>01</v>
      </c>
      <c r="C44" s="241" t="str">
        <f t="shared" si="2"/>
        <v>01</v>
      </c>
      <c r="D44" s="235" t="str">
        <f t="shared" si="3"/>
        <v>01-</v>
      </c>
      <c r="E44" s="241" t="s">
        <v>1250</v>
      </c>
      <c r="F44" s="241" t="str">
        <f t="shared" si="4"/>
        <v>-038-110</v>
      </c>
      <c r="G44" s="235" t="str">
        <f t="shared" si="7"/>
        <v>01-0x-038-110</v>
      </c>
      <c r="H44" s="241" t="s">
        <v>614</v>
      </c>
      <c r="I44" s="435" t="s">
        <v>166</v>
      </c>
      <c r="J44" s="438">
        <f>VLOOKUP(H44,'Full Trial Balance'!$A$4:$G$2306,3,FALSE)</f>
        <v>10150</v>
      </c>
      <c r="K44" s="438">
        <f>VLOOKUP(H44,'Full Trial Balance'!$A$4:$G$2306,4,FALSE)</f>
        <v>0</v>
      </c>
      <c r="L44" s="438">
        <f>VLOOKUP(H44,'Full Trial Balance'!$A$4:$G$2306,5,FALSE)</f>
        <v>7329.08</v>
      </c>
      <c r="M44" s="438">
        <f>VLOOKUP(H44,'Full Trial Balance'!$A$4:$G$2306,6,FALSE)</f>
        <v>0</v>
      </c>
      <c r="N44" s="438">
        <f>VLOOKUP(H44,'Full Trial Balance'!$A$4:$G$2306,7,FALSE)</f>
        <v>7329.08</v>
      </c>
      <c r="O44" s="485">
        <f t="shared" si="6"/>
        <v>0</v>
      </c>
    </row>
    <row r="45" spans="1:15" x14ac:dyDescent="0.25">
      <c r="A45" s="241" t="str">
        <f t="shared" si="0"/>
        <v>01-01</v>
      </c>
      <c r="B45" s="241" t="str">
        <f t="shared" si="1"/>
        <v>01</v>
      </c>
      <c r="C45" s="241" t="str">
        <f t="shared" si="2"/>
        <v>01</v>
      </c>
      <c r="D45" s="235" t="str">
        <f t="shared" si="3"/>
        <v>01-</v>
      </c>
      <c r="E45" s="241" t="s">
        <v>1250</v>
      </c>
      <c r="F45" s="241" t="str">
        <f t="shared" si="4"/>
        <v>-038-111</v>
      </c>
      <c r="G45" s="256" t="str">
        <f t="shared" si="7"/>
        <v>01-0x-038-111</v>
      </c>
      <c r="H45" s="241" t="s">
        <v>630</v>
      </c>
      <c r="I45" s="435" t="s">
        <v>52</v>
      </c>
      <c r="J45" s="438">
        <f>VLOOKUP(H45,'Full Trial Balance'!$A$4:$G$2306,3,FALSE)</f>
        <v>49360</v>
      </c>
      <c r="K45" s="438">
        <f>VLOOKUP(H45,'Full Trial Balance'!$A$4:$G$2306,4,FALSE)</f>
        <v>0</v>
      </c>
      <c r="L45" s="438">
        <f>VLOOKUP(H45,'Full Trial Balance'!$A$4:$G$2306,5,FALSE)</f>
        <v>16357.83</v>
      </c>
      <c r="M45" s="438">
        <f>VLOOKUP(H45,'Full Trial Balance'!$A$4:$G$2306,6,FALSE)</f>
        <v>1109.25</v>
      </c>
      <c r="N45" s="438">
        <f>VLOOKUP(H45,'Full Trial Balance'!$A$4:$G$2306,7,FALSE)</f>
        <v>15248.58</v>
      </c>
      <c r="O45" s="485">
        <f t="shared" si="6"/>
        <v>0</v>
      </c>
    </row>
    <row r="46" spans="1:15" x14ac:dyDescent="0.25">
      <c r="A46" s="241" t="str">
        <f t="shared" si="0"/>
        <v>01-01</v>
      </c>
      <c r="B46" s="241" t="str">
        <f t="shared" si="1"/>
        <v>01</v>
      </c>
      <c r="C46" s="241" t="str">
        <f t="shared" si="2"/>
        <v>01</v>
      </c>
      <c r="D46" s="235" t="str">
        <f t="shared" si="3"/>
        <v>01-</v>
      </c>
      <c r="E46" s="241" t="s">
        <v>1250</v>
      </c>
      <c r="F46" s="241" t="str">
        <f t="shared" si="4"/>
        <v>-038-113</v>
      </c>
      <c r="G46" s="256" t="str">
        <f t="shared" si="7"/>
        <v>01-0x-038-113</v>
      </c>
      <c r="H46" s="241" t="s">
        <v>642</v>
      </c>
      <c r="I46" s="435" t="s">
        <v>167</v>
      </c>
      <c r="J46" s="438">
        <f>VLOOKUP(H46,'Full Trial Balance'!$A$4:$G$2306,3,FALSE)</f>
        <v>61120</v>
      </c>
      <c r="K46" s="438">
        <f>VLOOKUP(H46,'Full Trial Balance'!$A$4:$G$2306,4,FALSE)</f>
        <v>0</v>
      </c>
      <c r="L46" s="438">
        <f>VLOOKUP(H46,'Full Trial Balance'!$A$4:$G$2306,5,FALSE)</f>
        <v>37809.050000000003</v>
      </c>
      <c r="M46" s="438">
        <f>VLOOKUP(H46,'Full Trial Balance'!$A$4:$G$2306,6,FALSE)</f>
        <v>4000.49</v>
      </c>
      <c r="N46" s="438">
        <f>VLOOKUP(H46,'Full Trial Balance'!$A$4:$G$2306,7,FALSE)</f>
        <v>33808.559999999998</v>
      </c>
      <c r="O46" s="485">
        <f t="shared" si="6"/>
        <v>-5.4569682106375694E-12</v>
      </c>
    </row>
    <row r="47" spans="1:15" x14ac:dyDescent="0.25">
      <c r="A47" s="241" t="str">
        <f t="shared" si="0"/>
        <v>01-01</v>
      </c>
      <c r="B47" s="241" t="str">
        <f t="shared" si="1"/>
        <v>01</v>
      </c>
      <c r="C47" s="241" t="str">
        <f t="shared" si="2"/>
        <v>01</v>
      </c>
      <c r="D47" s="235" t="str">
        <f t="shared" si="3"/>
        <v>01-</v>
      </c>
      <c r="E47" s="241" t="s">
        <v>1250</v>
      </c>
      <c r="F47" s="241" t="str">
        <f t="shared" si="4"/>
        <v>-038-115</v>
      </c>
      <c r="G47" s="256" t="str">
        <f t="shared" si="7"/>
        <v>01-0x-038-115</v>
      </c>
      <c r="H47" s="241" t="s">
        <v>2266</v>
      </c>
      <c r="I47" s="435" t="s">
        <v>2267</v>
      </c>
      <c r="J47" s="438">
        <f>VLOOKUP(H47,'Full Trial Balance'!$A$4:$G$2306,3,FALSE)</f>
        <v>9000</v>
      </c>
      <c r="K47" s="438">
        <f>VLOOKUP(H47,'Full Trial Balance'!$A$4:$G$2306,4,FALSE)</f>
        <v>0</v>
      </c>
      <c r="L47" s="438">
        <f>VLOOKUP(H47,'Full Trial Balance'!$A$4:$G$2306,5,FALSE)</f>
        <v>0</v>
      </c>
      <c r="M47" s="438">
        <f>VLOOKUP(H47,'Full Trial Balance'!$A$4:$G$2306,6,FALSE)</f>
        <v>0</v>
      </c>
      <c r="N47" s="438">
        <f>VLOOKUP(H47,'Full Trial Balance'!$A$4:$G$2306,7,FALSE)</f>
        <v>0</v>
      </c>
      <c r="O47" s="485">
        <f t="shared" si="6"/>
        <v>0</v>
      </c>
    </row>
    <row r="48" spans="1:15" x14ac:dyDescent="0.25">
      <c r="A48" s="241" t="str">
        <f t="shared" si="0"/>
        <v>01-01</v>
      </c>
      <c r="B48" s="241" t="str">
        <f t="shared" si="1"/>
        <v>01</v>
      </c>
      <c r="C48" s="241" t="str">
        <f t="shared" si="2"/>
        <v>01</v>
      </c>
      <c r="D48" s="235" t="str">
        <f t="shared" si="3"/>
        <v>01-</v>
      </c>
      <c r="E48" s="241" t="s">
        <v>1250</v>
      </c>
      <c r="F48" s="241" t="str">
        <f t="shared" si="4"/>
        <v>-040-018</v>
      </c>
      <c r="G48" s="235" t="s">
        <v>1463</v>
      </c>
      <c r="H48" s="241" t="s">
        <v>629</v>
      </c>
      <c r="I48" s="435" t="s">
        <v>1151</v>
      </c>
      <c r="J48" s="438">
        <f>VLOOKUP(H48,'Full Trial Balance'!$A$4:$G$2306,3,FALSE)</f>
        <v>2800</v>
      </c>
      <c r="K48" s="438">
        <f>VLOOKUP(H48,'Full Trial Balance'!$A$4:$G$2306,4,FALSE)</f>
        <v>0</v>
      </c>
      <c r="L48" s="438">
        <f>VLOOKUP(H48,'Full Trial Balance'!$A$4:$G$2306,5,FALSE)</f>
        <v>642.6</v>
      </c>
      <c r="M48" s="438">
        <f>VLOOKUP(H48,'Full Trial Balance'!$A$4:$G$2306,6,FALSE)</f>
        <v>0</v>
      </c>
      <c r="N48" s="438">
        <f>VLOOKUP(H48,'Full Trial Balance'!$A$4:$G$2306,7,FALSE)</f>
        <v>642.6</v>
      </c>
      <c r="O48" s="485">
        <f t="shared" si="6"/>
        <v>0</v>
      </c>
    </row>
    <row r="49" spans="1:15" x14ac:dyDescent="0.25">
      <c r="A49" s="241" t="str">
        <f t="shared" si="0"/>
        <v>01-01</v>
      </c>
      <c r="B49" s="241" t="str">
        <f t="shared" si="1"/>
        <v>01</v>
      </c>
      <c r="C49" s="241" t="str">
        <f t="shared" si="2"/>
        <v>01</v>
      </c>
      <c r="D49" s="235" t="str">
        <f t="shared" si="3"/>
        <v>01-</v>
      </c>
      <c r="E49" s="241" t="s">
        <v>1250</v>
      </c>
      <c r="F49" s="241" t="str">
        <f t="shared" si="4"/>
        <v>-040-019</v>
      </c>
      <c r="G49" s="235" t="s">
        <v>1463</v>
      </c>
      <c r="H49" s="241" t="s">
        <v>628</v>
      </c>
      <c r="I49" s="435" t="s">
        <v>180</v>
      </c>
      <c r="J49" s="438">
        <f>VLOOKUP(H49,'Full Trial Balance'!$A$4:$G$2306,3,FALSE)</f>
        <v>870</v>
      </c>
      <c r="K49" s="438">
        <f>VLOOKUP(H49,'Full Trial Balance'!$A$4:$G$2306,4,FALSE)</f>
        <v>0</v>
      </c>
      <c r="L49" s="438">
        <f>VLOOKUP(H49,'Full Trial Balance'!$A$4:$G$2306,5,FALSE)</f>
        <v>366.4</v>
      </c>
      <c r="M49" s="438">
        <f>VLOOKUP(H49,'Full Trial Balance'!$A$4:$G$2306,6,FALSE)</f>
        <v>0</v>
      </c>
      <c r="N49" s="438">
        <f>VLOOKUP(H49,'Full Trial Balance'!$A$4:$G$2306,7,FALSE)</f>
        <v>366.4</v>
      </c>
      <c r="O49" s="485">
        <f t="shared" si="6"/>
        <v>0</v>
      </c>
    </row>
    <row r="50" spans="1:15" x14ac:dyDescent="0.25">
      <c r="A50" s="241" t="str">
        <f t="shared" si="0"/>
        <v>01-01</v>
      </c>
      <c r="B50" s="241" t="str">
        <f t="shared" si="1"/>
        <v>01</v>
      </c>
      <c r="C50" s="241" t="str">
        <f t="shared" si="2"/>
        <v>01</v>
      </c>
      <c r="D50" s="235" t="str">
        <f t="shared" si="3"/>
        <v>01-</v>
      </c>
      <c r="E50" s="241" t="s">
        <v>1250</v>
      </c>
      <c r="F50" s="241" t="str">
        <f t="shared" si="4"/>
        <v>-040-020</v>
      </c>
      <c r="G50" s="235" t="s">
        <v>1463</v>
      </c>
      <c r="H50" s="241" t="s">
        <v>633</v>
      </c>
      <c r="I50" s="435" t="s">
        <v>1152</v>
      </c>
      <c r="J50" s="438">
        <f>VLOOKUP(H50,'Full Trial Balance'!$A$4:$G$2306,3,FALSE)</f>
        <v>15525</v>
      </c>
      <c r="K50" s="438">
        <f>VLOOKUP(H50,'Full Trial Balance'!$A$4:$G$2306,4,FALSE)</f>
        <v>0</v>
      </c>
      <c r="L50" s="438">
        <f>VLOOKUP(H50,'Full Trial Balance'!$A$4:$G$2306,5,FALSE)</f>
        <v>2113.16</v>
      </c>
      <c r="M50" s="438">
        <f>VLOOKUP(H50,'Full Trial Balance'!$A$4:$G$2306,6,FALSE)</f>
        <v>0</v>
      </c>
      <c r="N50" s="438">
        <f>VLOOKUP(H50,'Full Trial Balance'!$A$4:$G$2306,7,FALSE)</f>
        <v>2113.16</v>
      </c>
      <c r="O50" s="485">
        <f t="shared" si="6"/>
        <v>0</v>
      </c>
    </row>
    <row r="51" spans="1:15" x14ac:dyDescent="0.25">
      <c r="A51" s="241" t="str">
        <f t="shared" si="0"/>
        <v>01-01</v>
      </c>
      <c r="B51" s="241" t="str">
        <f t="shared" si="1"/>
        <v>01</v>
      </c>
      <c r="C51" s="241" t="str">
        <f t="shared" si="2"/>
        <v>01</v>
      </c>
      <c r="D51" s="235" t="str">
        <f t="shared" si="3"/>
        <v>01-</v>
      </c>
      <c r="E51" s="241" t="s">
        <v>1250</v>
      </c>
      <c r="F51" s="241" t="str">
        <f t="shared" si="4"/>
        <v>-040-022</v>
      </c>
      <c r="G51" s="235" t="str">
        <f>CONCATENATE(D51,E51,F51)</f>
        <v>01-0x-040-022</v>
      </c>
      <c r="H51" s="241" t="s">
        <v>663</v>
      </c>
      <c r="I51" s="435" t="s">
        <v>53</v>
      </c>
      <c r="J51" s="438">
        <f>VLOOKUP(H51,'Full Trial Balance'!$A$4:$G$2306,3,FALSE)</f>
        <v>3500</v>
      </c>
      <c r="K51" s="438">
        <f>VLOOKUP(H51,'Full Trial Balance'!$A$4:$G$2306,4,FALSE)</f>
        <v>0</v>
      </c>
      <c r="L51" s="438">
        <f>VLOOKUP(H51,'Full Trial Balance'!$A$4:$G$2306,5,FALSE)</f>
        <v>1519.49</v>
      </c>
      <c r="M51" s="438">
        <f>VLOOKUP(H51,'Full Trial Balance'!$A$4:$G$2306,6,FALSE)</f>
        <v>227.19</v>
      </c>
      <c r="N51" s="438">
        <f>VLOOKUP(H51,'Full Trial Balance'!$A$4:$G$2306,7,FALSE)</f>
        <v>1292.3</v>
      </c>
      <c r="O51" s="485">
        <f t="shared" si="6"/>
        <v>0</v>
      </c>
    </row>
    <row r="52" spans="1:15" x14ac:dyDescent="0.25">
      <c r="A52" s="241" t="str">
        <f t="shared" si="0"/>
        <v>01-01</v>
      </c>
      <c r="B52" s="241" t="str">
        <f t="shared" si="1"/>
        <v>01</v>
      </c>
      <c r="C52" s="241" t="str">
        <f t="shared" si="2"/>
        <v>01</v>
      </c>
      <c r="D52" s="235" t="str">
        <f t="shared" si="3"/>
        <v>01-</v>
      </c>
      <c r="E52" s="241" t="s">
        <v>1250</v>
      </c>
      <c r="F52" s="241" t="str">
        <f t="shared" si="4"/>
        <v>-040-024</v>
      </c>
      <c r="G52" s="256" t="str">
        <f>CONCATENATE(D52,E52,F52)</f>
        <v>01-0x-040-024</v>
      </c>
      <c r="H52" s="241" t="s">
        <v>659</v>
      </c>
      <c r="I52" s="435" t="s">
        <v>71</v>
      </c>
      <c r="J52" s="438">
        <f>VLOOKUP(H52,'Full Trial Balance'!$A$4:$G$2306,3,FALSE)</f>
        <v>1450</v>
      </c>
      <c r="K52" s="438">
        <f>VLOOKUP(H52,'Full Trial Balance'!$A$4:$G$2306,4,FALSE)</f>
        <v>0</v>
      </c>
      <c r="L52" s="438">
        <f>VLOOKUP(H52,'Full Trial Balance'!$A$4:$G$2306,5,FALSE)</f>
        <v>370</v>
      </c>
      <c r="M52" s="438">
        <f>VLOOKUP(H52,'Full Trial Balance'!$A$4:$G$2306,6,FALSE)</f>
        <v>0</v>
      </c>
      <c r="N52" s="438">
        <f>VLOOKUP(H52,'Full Trial Balance'!$A$4:$G$2306,7,FALSE)</f>
        <v>370</v>
      </c>
      <c r="O52" s="485">
        <f t="shared" si="6"/>
        <v>0</v>
      </c>
    </row>
    <row r="53" spans="1:15" x14ac:dyDescent="0.25">
      <c r="A53" s="241" t="str">
        <f t="shared" si="0"/>
        <v>01-01</v>
      </c>
      <c r="B53" s="241" t="str">
        <f t="shared" si="1"/>
        <v>01</v>
      </c>
      <c r="C53" s="241" t="str">
        <f t="shared" si="2"/>
        <v>01</v>
      </c>
      <c r="D53" s="235" t="str">
        <f t="shared" si="3"/>
        <v>01-</v>
      </c>
      <c r="E53" s="241" t="s">
        <v>1250</v>
      </c>
      <c r="F53" s="241" t="str">
        <f t="shared" si="4"/>
        <v>-040-025</v>
      </c>
      <c r="G53" s="256" t="str">
        <f>CONCATENATE(D53,E53,F53)</f>
        <v>01-0x-040-025</v>
      </c>
      <c r="H53" s="241" t="s">
        <v>648</v>
      </c>
      <c r="I53" s="435" t="s">
        <v>54</v>
      </c>
      <c r="J53" s="438">
        <f>VLOOKUP(H53,'Full Trial Balance'!$A$4:$G$2306,3,FALSE)</f>
        <v>8400</v>
      </c>
      <c r="K53" s="438">
        <f>VLOOKUP(H53,'Full Trial Balance'!$A$4:$G$2306,4,FALSE)</f>
        <v>0</v>
      </c>
      <c r="L53" s="438">
        <f>VLOOKUP(H53,'Full Trial Balance'!$A$4:$G$2306,5,FALSE)</f>
        <v>692.83</v>
      </c>
      <c r="M53" s="438">
        <f>VLOOKUP(H53,'Full Trial Balance'!$A$4:$G$2306,6,FALSE)</f>
        <v>0</v>
      </c>
      <c r="N53" s="438">
        <f>VLOOKUP(H53,'Full Trial Balance'!$A$4:$G$2306,7,FALSE)</f>
        <v>692.83</v>
      </c>
      <c r="O53" s="485">
        <f t="shared" si="6"/>
        <v>0</v>
      </c>
    </row>
    <row r="54" spans="1:15" x14ac:dyDescent="0.25">
      <c r="A54" s="241" t="str">
        <f t="shared" si="0"/>
        <v>01-01</v>
      </c>
      <c r="B54" s="241" t="str">
        <f t="shared" si="1"/>
        <v>01</v>
      </c>
      <c r="C54" s="241" t="str">
        <f t="shared" si="2"/>
        <v>01</v>
      </c>
      <c r="D54" s="235" t="str">
        <f t="shared" si="3"/>
        <v>01-</v>
      </c>
      <c r="E54" s="241" t="s">
        <v>1250</v>
      </c>
      <c r="F54" s="241" t="str">
        <f t="shared" si="4"/>
        <v>-040-026</v>
      </c>
      <c r="G54" s="256" t="str">
        <f>CONCATENATE(D54,E54,F54)</f>
        <v>01-0x-040-026</v>
      </c>
      <c r="H54" s="241" t="s">
        <v>653</v>
      </c>
      <c r="I54" s="435" t="s">
        <v>170</v>
      </c>
      <c r="J54" s="438">
        <f>VLOOKUP(H54,'Full Trial Balance'!$A$4:$G$2306,3,FALSE)</f>
        <v>16240</v>
      </c>
      <c r="K54" s="438">
        <f>VLOOKUP(H54,'Full Trial Balance'!$A$4:$G$2306,4,FALSE)</f>
        <v>0</v>
      </c>
      <c r="L54" s="438">
        <f>VLOOKUP(H54,'Full Trial Balance'!$A$4:$G$2306,5,FALSE)</f>
        <v>8089.56</v>
      </c>
      <c r="M54" s="438">
        <f>VLOOKUP(H54,'Full Trial Balance'!$A$4:$G$2306,6,FALSE)</f>
        <v>0</v>
      </c>
      <c r="N54" s="438">
        <f>VLOOKUP(H54,'Full Trial Balance'!$A$4:$G$2306,7,FALSE)</f>
        <v>8089.56</v>
      </c>
      <c r="O54" s="485">
        <f t="shared" si="6"/>
        <v>0</v>
      </c>
    </row>
    <row r="55" spans="1:15" x14ac:dyDescent="0.25">
      <c r="A55" s="241" t="str">
        <f t="shared" si="0"/>
        <v>01-01</v>
      </c>
      <c r="B55" s="241" t="str">
        <f t="shared" si="1"/>
        <v>01</v>
      </c>
      <c r="C55" s="241" t="str">
        <f t="shared" si="2"/>
        <v>01</v>
      </c>
      <c r="D55" s="235" t="str">
        <f t="shared" si="3"/>
        <v>01-</v>
      </c>
      <c r="E55" s="241" t="s">
        <v>1250</v>
      </c>
      <c r="F55" s="241" t="str">
        <f t="shared" si="4"/>
        <v>-040-027</v>
      </c>
      <c r="G55" s="256" t="s">
        <v>1432</v>
      </c>
      <c r="H55" s="241" t="s">
        <v>619</v>
      </c>
      <c r="I55" s="435" t="s">
        <v>171</v>
      </c>
      <c r="J55" s="438">
        <f>VLOOKUP(H55,'Full Trial Balance'!$A$4:$G$2306,3,FALSE)</f>
        <v>15950</v>
      </c>
      <c r="K55" s="438">
        <f>VLOOKUP(H55,'Full Trial Balance'!$A$4:$G$2306,4,FALSE)</f>
        <v>0</v>
      </c>
      <c r="L55" s="438">
        <f>VLOOKUP(H55,'Full Trial Balance'!$A$4:$G$2306,5,FALSE)</f>
        <v>9486.2000000000007</v>
      </c>
      <c r="M55" s="438">
        <f>VLOOKUP(H55,'Full Trial Balance'!$A$4:$G$2306,6,FALSE)</f>
        <v>60.44</v>
      </c>
      <c r="N55" s="438">
        <f>VLOOKUP(H55,'Full Trial Balance'!$A$4:$G$2306,7,FALSE)</f>
        <v>9425.76</v>
      </c>
      <c r="O55" s="485">
        <f t="shared" si="6"/>
        <v>-5.1159076974727213E-13</v>
      </c>
    </row>
    <row r="56" spans="1:15" x14ac:dyDescent="0.25">
      <c r="A56" s="241" t="str">
        <f t="shared" si="0"/>
        <v>01-01</v>
      </c>
      <c r="B56" s="241" t="str">
        <f t="shared" si="1"/>
        <v>01</v>
      </c>
      <c r="C56" s="241" t="str">
        <f t="shared" si="2"/>
        <v>01</v>
      </c>
      <c r="D56" s="235" t="str">
        <f t="shared" si="3"/>
        <v>01-</v>
      </c>
      <c r="E56" s="241" t="s">
        <v>1250</v>
      </c>
      <c r="F56" s="241" t="str">
        <f t="shared" si="4"/>
        <v>-040-030</v>
      </c>
      <c r="G56" s="256" t="s">
        <v>1432</v>
      </c>
      <c r="H56" s="241" t="s">
        <v>620</v>
      </c>
      <c r="I56" s="435" t="s">
        <v>172</v>
      </c>
      <c r="J56" s="438">
        <f>VLOOKUP(H56,'Full Trial Balance'!$A$4:$G$2306,3,FALSE)</f>
        <v>348</v>
      </c>
      <c r="K56" s="438">
        <f>VLOOKUP(H56,'Full Trial Balance'!$A$4:$G$2306,4,FALSE)</f>
        <v>0</v>
      </c>
      <c r="L56" s="438">
        <f>VLOOKUP(H56,'Full Trial Balance'!$A$4:$G$2306,5,FALSE)</f>
        <v>0</v>
      </c>
      <c r="M56" s="438">
        <f>VLOOKUP(H56,'Full Trial Balance'!$A$4:$G$2306,6,FALSE)</f>
        <v>0</v>
      </c>
      <c r="N56" s="438">
        <f>VLOOKUP(H56,'Full Trial Balance'!$A$4:$G$2306,7,FALSE)</f>
        <v>0</v>
      </c>
      <c r="O56" s="485">
        <f t="shared" si="6"/>
        <v>0</v>
      </c>
    </row>
    <row r="57" spans="1:15" x14ac:dyDescent="0.25">
      <c r="A57" s="241" t="str">
        <f t="shared" si="0"/>
        <v>01-01</v>
      </c>
      <c r="B57" s="241" t="str">
        <f t="shared" si="1"/>
        <v>01</v>
      </c>
      <c r="C57" s="241" t="str">
        <f t="shared" si="2"/>
        <v>01</v>
      </c>
      <c r="D57" s="235" t="str">
        <f t="shared" si="3"/>
        <v>01-</v>
      </c>
      <c r="E57" s="241" t="s">
        <v>1250</v>
      </c>
      <c r="F57" s="241" t="str">
        <f t="shared" si="4"/>
        <v>-040-035</v>
      </c>
      <c r="G57" s="256" t="s">
        <v>1432</v>
      </c>
      <c r="H57" s="241" t="s">
        <v>622</v>
      </c>
      <c r="I57" s="435" t="s">
        <v>621</v>
      </c>
      <c r="J57" s="438">
        <f>VLOOKUP(H57,'Full Trial Balance'!$A$4:$G$2306,3,FALSE)</f>
        <v>348</v>
      </c>
      <c r="K57" s="438">
        <f>VLOOKUP(H57,'Full Trial Balance'!$A$4:$G$2306,4,FALSE)</f>
        <v>0</v>
      </c>
      <c r="L57" s="438">
        <f>VLOOKUP(H57,'Full Trial Balance'!$A$4:$G$2306,5,FALSE)</f>
        <v>0</v>
      </c>
      <c r="M57" s="438">
        <f>VLOOKUP(H57,'Full Trial Balance'!$A$4:$G$2306,6,FALSE)</f>
        <v>0</v>
      </c>
      <c r="N57" s="438">
        <f>VLOOKUP(H57,'Full Trial Balance'!$A$4:$G$2306,7,FALSE)</f>
        <v>0</v>
      </c>
      <c r="O57" s="485">
        <f t="shared" si="6"/>
        <v>0</v>
      </c>
    </row>
    <row r="58" spans="1:15" x14ac:dyDescent="0.25">
      <c r="A58" s="241" t="str">
        <f t="shared" si="0"/>
        <v>01-01</v>
      </c>
      <c r="B58" s="241" t="str">
        <f t="shared" si="1"/>
        <v>01</v>
      </c>
      <c r="C58" s="241" t="str">
        <f t="shared" si="2"/>
        <v>01</v>
      </c>
      <c r="D58" s="235" t="str">
        <f t="shared" si="3"/>
        <v>01-</v>
      </c>
      <c r="E58" s="241" t="s">
        <v>1250</v>
      </c>
      <c r="F58" s="241" t="str">
        <f t="shared" si="4"/>
        <v>-045-000</v>
      </c>
      <c r="G58" s="256" t="s">
        <v>1426</v>
      </c>
      <c r="H58" s="241" t="s">
        <v>638</v>
      </c>
      <c r="I58" s="435" t="s">
        <v>34</v>
      </c>
      <c r="J58" s="438">
        <f>VLOOKUP(H58,'Full Trial Balance'!$A$4:$G$2306,3,FALSE)</f>
        <v>290</v>
      </c>
      <c r="K58" s="438">
        <f>VLOOKUP(H58,'Full Trial Balance'!$A$4:$G$2306,4,FALSE)</f>
        <v>0</v>
      </c>
      <c r="L58" s="438">
        <f>VLOOKUP(H58,'Full Trial Balance'!$A$4:$G$2306,5,FALSE)</f>
        <v>34.33</v>
      </c>
      <c r="M58" s="438">
        <f>VLOOKUP(H58,'Full Trial Balance'!$A$4:$G$2306,6,FALSE)</f>
        <v>0</v>
      </c>
      <c r="N58" s="438">
        <f>VLOOKUP(H58,'Full Trial Balance'!$A$4:$G$2306,7,FALSE)</f>
        <v>34.33</v>
      </c>
      <c r="O58" s="485">
        <f t="shared" si="6"/>
        <v>0</v>
      </c>
    </row>
    <row r="59" spans="1:15" x14ac:dyDescent="0.25">
      <c r="A59" s="241" t="str">
        <f t="shared" si="0"/>
        <v>01-01</v>
      </c>
      <c r="B59" s="241" t="str">
        <f t="shared" si="1"/>
        <v>01</v>
      </c>
      <c r="C59" s="241" t="str">
        <f t="shared" si="2"/>
        <v>01</v>
      </c>
      <c r="D59" s="235" t="str">
        <f t="shared" si="3"/>
        <v>01-</v>
      </c>
      <c r="E59" s="241" t="s">
        <v>1250</v>
      </c>
      <c r="F59" s="241" t="str">
        <f t="shared" si="4"/>
        <v>-045-008</v>
      </c>
      <c r="G59" s="256" t="s">
        <v>1426</v>
      </c>
      <c r="H59" s="241" t="s">
        <v>613</v>
      </c>
      <c r="I59" s="435" t="s">
        <v>612</v>
      </c>
      <c r="J59" s="438">
        <f>VLOOKUP(H59,'Full Trial Balance'!$A$4:$G$2306,3,FALSE)</f>
        <v>73038</v>
      </c>
      <c r="K59" s="438">
        <f>VLOOKUP(H59,'Full Trial Balance'!$A$4:$G$2306,4,FALSE)</f>
        <v>0</v>
      </c>
      <c r="L59" s="438">
        <f>VLOOKUP(H59,'Full Trial Balance'!$A$4:$G$2306,5,FALSE)</f>
        <v>36519</v>
      </c>
      <c r="M59" s="438">
        <f>VLOOKUP(H59,'Full Trial Balance'!$A$4:$G$2306,6,FALSE)</f>
        <v>6086.64</v>
      </c>
      <c r="N59" s="438">
        <f>VLOOKUP(H59,'Full Trial Balance'!$A$4:$G$2306,7,FALSE)</f>
        <v>30432.36</v>
      </c>
      <c r="O59" s="485">
        <f t="shared" si="6"/>
        <v>0</v>
      </c>
    </row>
    <row r="60" spans="1:15" x14ac:dyDescent="0.25">
      <c r="A60" s="241" t="str">
        <f t="shared" si="0"/>
        <v>01-01</v>
      </c>
      <c r="B60" s="241" t="str">
        <f t="shared" si="1"/>
        <v>01</v>
      </c>
      <c r="C60" s="241" t="str">
        <f t="shared" si="2"/>
        <v>01</v>
      </c>
      <c r="D60" s="235" t="str">
        <f t="shared" si="3"/>
        <v>01-</v>
      </c>
      <c r="E60" s="241" t="s">
        <v>1250</v>
      </c>
      <c r="F60" s="241" t="str">
        <f t="shared" si="4"/>
        <v>-045-025</v>
      </c>
      <c r="G60" s="235" t="s">
        <v>1426</v>
      </c>
      <c r="H60" s="241" t="s">
        <v>611</v>
      </c>
      <c r="I60" s="435" t="s">
        <v>1075</v>
      </c>
      <c r="J60" s="438">
        <f>VLOOKUP(H60,'Full Trial Balance'!$A$4:$G$2306,3,FALSE)</f>
        <v>138200</v>
      </c>
      <c r="K60" s="438">
        <f>VLOOKUP(H60,'Full Trial Balance'!$A$4:$G$2306,4,FALSE)</f>
        <v>0</v>
      </c>
      <c r="L60" s="438">
        <f>VLOOKUP(H60,'Full Trial Balance'!$A$4:$G$2306,5,FALSE)</f>
        <v>69100</v>
      </c>
      <c r="M60" s="438">
        <f>VLOOKUP(H60,'Full Trial Balance'!$A$4:$G$2306,6,FALSE)</f>
        <v>12867</v>
      </c>
      <c r="N60" s="438">
        <f>VLOOKUP(H60,'Full Trial Balance'!$A$4:$G$2306,7,FALSE)</f>
        <v>56233</v>
      </c>
      <c r="O60" s="485">
        <f t="shared" si="6"/>
        <v>0</v>
      </c>
    </row>
    <row r="61" spans="1:15" x14ac:dyDescent="0.25">
      <c r="A61" s="241" t="str">
        <f t="shared" si="0"/>
        <v>01-01</v>
      </c>
      <c r="B61" s="241" t="str">
        <f t="shared" si="1"/>
        <v>01</v>
      </c>
      <c r="C61" s="241" t="str">
        <f t="shared" si="2"/>
        <v>01</v>
      </c>
      <c r="D61" s="235" t="str">
        <f t="shared" si="3"/>
        <v>01-</v>
      </c>
      <c r="E61" s="241" t="s">
        <v>1250</v>
      </c>
      <c r="F61" s="241" t="str">
        <f t="shared" si="4"/>
        <v>-045-030</v>
      </c>
      <c r="G61" s="235" t="s">
        <v>1426</v>
      </c>
      <c r="H61" s="241" t="s">
        <v>641</v>
      </c>
      <c r="I61" s="435" t="s">
        <v>174</v>
      </c>
      <c r="J61" s="438">
        <f>VLOOKUP(H61,'Full Trial Balance'!$A$4:$G$2306,3,FALSE)</f>
        <v>0</v>
      </c>
      <c r="K61" s="438">
        <f>VLOOKUP(H61,'Full Trial Balance'!$A$4:$G$2306,4,FALSE)</f>
        <v>0</v>
      </c>
      <c r="L61" s="438">
        <f>VLOOKUP(H61,'Full Trial Balance'!$A$4:$G$2306,5,FALSE)</f>
        <v>0</v>
      </c>
      <c r="M61" s="438">
        <f>VLOOKUP(H61,'Full Trial Balance'!$A$4:$G$2306,6,FALSE)</f>
        <v>0</v>
      </c>
      <c r="N61" s="438">
        <f>VLOOKUP(H61,'Full Trial Balance'!$A$4:$G$2306,7,FALSE)</f>
        <v>0</v>
      </c>
      <c r="O61" s="485">
        <f t="shared" si="6"/>
        <v>0</v>
      </c>
    </row>
    <row r="62" spans="1:15" x14ac:dyDescent="0.25">
      <c r="A62" s="241" t="str">
        <f t="shared" si="0"/>
        <v>01-01</v>
      </c>
      <c r="B62" s="241" t="str">
        <f t="shared" si="1"/>
        <v>01</v>
      </c>
      <c r="C62" s="241" t="str">
        <f t="shared" si="2"/>
        <v>01</v>
      </c>
      <c r="D62" s="235" t="str">
        <f t="shared" si="3"/>
        <v>01-</v>
      </c>
      <c r="E62" s="241" t="s">
        <v>1250</v>
      </c>
      <c r="F62" s="241" t="str">
        <f t="shared" si="4"/>
        <v>-045-035</v>
      </c>
      <c r="G62" s="235" t="s">
        <v>1426</v>
      </c>
      <c r="H62" s="241" t="s">
        <v>640</v>
      </c>
      <c r="I62" s="435" t="s">
        <v>185</v>
      </c>
      <c r="J62" s="438">
        <f>VLOOKUP(H62,'Full Trial Balance'!$A$4:$G$2306,3,FALSE)</f>
        <v>13000</v>
      </c>
      <c r="K62" s="438">
        <f>VLOOKUP(H62,'Full Trial Balance'!$A$4:$G$2306,4,FALSE)</f>
        <v>0</v>
      </c>
      <c r="L62" s="438">
        <f>VLOOKUP(H62,'Full Trial Balance'!$A$4:$G$2306,5,FALSE)</f>
        <v>6274.47</v>
      </c>
      <c r="M62" s="438">
        <f>VLOOKUP(H62,'Full Trial Balance'!$A$4:$G$2306,6,FALSE)</f>
        <v>0</v>
      </c>
      <c r="N62" s="438">
        <f>VLOOKUP(H62,'Full Trial Balance'!$A$4:$G$2306,7,FALSE)</f>
        <v>6274.47</v>
      </c>
      <c r="O62" s="485">
        <f t="shared" si="6"/>
        <v>0</v>
      </c>
    </row>
    <row r="63" spans="1:15" x14ac:dyDescent="0.25">
      <c r="A63" s="241" t="str">
        <f t="shared" si="0"/>
        <v>01-01</v>
      </c>
      <c r="B63" s="241" t="str">
        <f t="shared" si="1"/>
        <v>01</v>
      </c>
      <c r="C63" s="241" t="str">
        <f t="shared" si="2"/>
        <v>01</v>
      </c>
      <c r="D63" s="235" t="str">
        <f t="shared" si="3"/>
        <v>01-</v>
      </c>
      <c r="E63" s="241" t="s">
        <v>1250</v>
      </c>
      <c r="F63" s="241" t="str">
        <f t="shared" si="4"/>
        <v>-075-000</v>
      </c>
      <c r="G63" s="235" t="str">
        <f t="shared" ref="G63:G84" si="8">CONCATENATE(D63,E63,F63)</f>
        <v>01-0x-075-000</v>
      </c>
      <c r="H63" s="241" t="s">
        <v>1087</v>
      </c>
      <c r="I63" s="435" t="s">
        <v>1088</v>
      </c>
      <c r="J63" s="438">
        <f>VLOOKUP(H63,'Full Trial Balance'!$A$4:$G$2306,3,FALSE)</f>
        <v>0</v>
      </c>
      <c r="K63" s="438">
        <f>VLOOKUP(H63,'Full Trial Balance'!$A$4:$G$2306,4,FALSE)</f>
        <v>0</v>
      </c>
      <c r="L63" s="438">
        <f>VLOOKUP(H63,'Full Trial Balance'!$A$4:$G$2306,5,FALSE)</f>
        <v>0</v>
      </c>
      <c r="M63" s="438">
        <f>VLOOKUP(H63,'Full Trial Balance'!$A$4:$G$2306,6,FALSE)</f>
        <v>0</v>
      </c>
      <c r="N63" s="438">
        <f>VLOOKUP(H63,'Full Trial Balance'!$A$4:$G$2306,7,FALSE)</f>
        <v>0</v>
      </c>
      <c r="O63" s="485">
        <f t="shared" si="6"/>
        <v>0</v>
      </c>
    </row>
    <row r="64" spans="1:15" x14ac:dyDescent="0.25">
      <c r="A64" s="241" t="str">
        <f t="shared" si="0"/>
        <v>01-01</v>
      </c>
      <c r="B64" s="241" t="str">
        <f t="shared" si="1"/>
        <v>01</v>
      </c>
      <c r="C64" s="241" t="str">
        <f t="shared" si="2"/>
        <v>01</v>
      </c>
      <c r="D64" s="235" t="str">
        <f t="shared" si="3"/>
        <v>01-</v>
      </c>
      <c r="E64" s="241" t="s">
        <v>1250</v>
      </c>
      <c r="F64" s="241" t="str">
        <f t="shared" si="4"/>
        <v>-080-025</v>
      </c>
      <c r="G64" s="235" t="str">
        <f t="shared" si="8"/>
        <v>01-0x-080-025</v>
      </c>
      <c r="H64" s="241" t="s">
        <v>639</v>
      </c>
      <c r="I64" s="435" t="s">
        <v>186</v>
      </c>
      <c r="J64" s="438">
        <f>VLOOKUP(H64,'Full Trial Balance'!$A$4:$G$2306,3,FALSE)</f>
        <v>5220</v>
      </c>
      <c r="K64" s="438">
        <f>VLOOKUP(H64,'Full Trial Balance'!$A$4:$G$2306,4,FALSE)</f>
        <v>0</v>
      </c>
      <c r="L64" s="438">
        <f>VLOOKUP(H64,'Full Trial Balance'!$A$4:$G$2306,5,FALSE)</f>
        <v>0</v>
      </c>
      <c r="M64" s="438">
        <f>VLOOKUP(H64,'Full Trial Balance'!$A$4:$G$2306,6,FALSE)</f>
        <v>0</v>
      </c>
      <c r="N64" s="438">
        <f>VLOOKUP(H64,'Full Trial Balance'!$A$4:$G$2306,7,FALSE)</f>
        <v>0</v>
      </c>
      <c r="O64" s="485">
        <f t="shared" si="6"/>
        <v>0</v>
      </c>
    </row>
    <row r="65" spans="1:15" x14ac:dyDescent="0.25">
      <c r="A65" s="241" t="str">
        <f t="shared" si="0"/>
        <v>01-01</v>
      </c>
      <c r="B65" s="241" t="str">
        <f t="shared" si="1"/>
        <v>01</v>
      </c>
      <c r="C65" s="241" t="str">
        <f t="shared" si="2"/>
        <v>01</v>
      </c>
      <c r="D65" s="235" t="str">
        <f t="shared" si="3"/>
        <v>01-</v>
      </c>
      <c r="E65" s="241" t="s">
        <v>1250</v>
      </c>
      <c r="F65" s="241" t="str">
        <f t="shared" si="4"/>
        <v>-090-001</v>
      </c>
      <c r="G65" s="235" t="str">
        <f t="shared" si="8"/>
        <v>01-0x-090-001</v>
      </c>
      <c r="H65" s="241" t="s">
        <v>1153</v>
      </c>
      <c r="I65" s="435" t="s">
        <v>1154</v>
      </c>
      <c r="J65" s="438">
        <f>VLOOKUP(H65,'Full Trial Balance'!$A$4:$G$2306,3,FALSE)</f>
        <v>0</v>
      </c>
      <c r="K65" s="438">
        <f>VLOOKUP(H65,'Full Trial Balance'!$A$4:$G$2306,4,FALSE)</f>
        <v>0</v>
      </c>
      <c r="L65" s="438">
        <f>VLOOKUP(H65,'Full Trial Balance'!$A$4:$G$2306,5,FALSE)</f>
        <v>0</v>
      </c>
      <c r="M65" s="438">
        <f>VLOOKUP(H65,'Full Trial Balance'!$A$4:$G$2306,6,FALSE)</f>
        <v>0</v>
      </c>
      <c r="N65" s="438">
        <f>VLOOKUP(H65,'Full Trial Balance'!$A$4:$G$2306,7,FALSE)</f>
        <v>0</v>
      </c>
      <c r="O65" s="485">
        <f t="shared" si="6"/>
        <v>0</v>
      </c>
    </row>
    <row r="66" spans="1:15" x14ac:dyDescent="0.25">
      <c r="A66" s="241" t="str">
        <f t="shared" si="0"/>
        <v>01-01</v>
      </c>
      <c r="B66" s="241" t="str">
        <f t="shared" si="1"/>
        <v>01</v>
      </c>
      <c r="C66" s="241" t="str">
        <f t="shared" si="2"/>
        <v>01</v>
      </c>
      <c r="D66" s="235" t="str">
        <f t="shared" si="3"/>
        <v>01-</v>
      </c>
      <c r="E66" s="241" t="s">
        <v>1250</v>
      </c>
      <c r="F66" s="241" t="str">
        <f t="shared" si="4"/>
        <v>-090-002</v>
      </c>
      <c r="G66" s="235" t="str">
        <f t="shared" si="8"/>
        <v>01-0x-090-002</v>
      </c>
      <c r="H66" s="241" t="s">
        <v>1155</v>
      </c>
      <c r="I66" s="435" t="s">
        <v>1156</v>
      </c>
      <c r="J66" s="438">
        <f>VLOOKUP(H66,'Full Trial Balance'!$A$4:$G$2306,3,FALSE)</f>
        <v>0</v>
      </c>
      <c r="K66" s="438">
        <f>VLOOKUP(H66,'Full Trial Balance'!$A$4:$G$2306,4,FALSE)</f>
        <v>0</v>
      </c>
      <c r="L66" s="438">
        <f>VLOOKUP(H66,'Full Trial Balance'!$A$4:$G$2306,5,FALSE)</f>
        <v>0</v>
      </c>
      <c r="M66" s="438">
        <f>VLOOKUP(H66,'Full Trial Balance'!$A$4:$G$2306,6,FALSE)</f>
        <v>0</v>
      </c>
      <c r="N66" s="438">
        <f>VLOOKUP(H66,'Full Trial Balance'!$A$4:$G$2306,7,FALSE)</f>
        <v>0</v>
      </c>
      <c r="O66" s="485">
        <f t="shared" si="6"/>
        <v>0</v>
      </c>
    </row>
    <row r="67" spans="1:15" x14ac:dyDescent="0.25">
      <c r="A67" s="241" t="str">
        <f t="shared" ref="A67:A130" si="9">LEFT(H67,5)</f>
        <v>01-01</v>
      </c>
      <c r="B67" s="241" t="str">
        <f t="shared" ref="B67:B130" si="10">LEFT(H67,2)</f>
        <v>01</v>
      </c>
      <c r="C67" s="241" t="str">
        <f t="shared" ref="C67:C130" si="11">RIGHT(A67,2)</f>
        <v>01</v>
      </c>
      <c r="D67" s="235" t="str">
        <f t="shared" ref="D67:D130" si="12">LEFT(A67,3)</f>
        <v>01-</v>
      </c>
      <c r="E67" s="241" t="s">
        <v>1250</v>
      </c>
      <c r="F67" s="241" t="str">
        <f t="shared" ref="F67:F130" si="13">RIGHT(H67,8)</f>
        <v>-090-010</v>
      </c>
      <c r="G67" s="235" t="str">
        <f t="shared" si="8"/>
        <v>01-0x-090-010</v>
      </c>
      <c r="H67" s="241" t="s">
        <v>1157</v>
      </c>
      <c r="I67" s="435" t="s">
        <v>1158</v>
      </c>
      <c r="J67" s="438">
        <f>VLOOKUP(H67,'Full Trial Balance'!$A$4:$G$2306,3,FALSE)</f>
        <v>0</v>
      </c>
      <c r="K67" s="438">
        <f>VLOOKUP(H67,'Full Trial Balance'!$A$4:$G$2306,4,FALSE)</f>
        <v>0</v>
      </c>
      <c r="L67" s="438">
        <f>VLOOKUP(H67,'Full Trial Balance'!$A$4:$G$2306,5,FALSE)</f>
        <v>0</v>
      </c>
      <c r="M67" s="438">
        <f>VLOOKUP(H67,'Full Trial Balance'!$A$4:$G$2306,6,FALSE)</f>
        <v>0</v>
      </c>
      <c r="N67" s="438">
        <f>VLOOKUP(H67,'Full Trial Balance'!$A$4:$G$2306,7,FALSE)</f>
        <v>0</v>
      </c>
      <c r="O67" s="485">
        <f t="shared" ref="O67:O130" si="14">N67-L67+M67</f>
        <v>0</v>
      </c>
    </row>
    <row r="68" spans="1:15" x14ac:dyDescent="0.25">
      <c r="A68" s="241" t="str">
        <f t="shared" si="9"/>
        <v>01-01</v>
      </c>
      <c r="B68" s="241" t="str">
        <f t="shared" si="10"/>
        <v>01</v>
      </c>
      <c r="C68" s="241" t="str">
        <f t="shared" si="11"/>
        <v>01</v>
      </c>
      <c r="D68" s="235" t="str">
        <f t="shared" si="12"/>
        <v>01-</v>
      </c>
      <c r="E68" s="241" t="s">
        <v>1250</v>
      </c>
      <c r="F68" s="241" t="str">
        <f t="shared" si="13"/>
        <v>-090-020</v>
      </c>
      <c r="G68" s="235" t="str">
        <f t="shared" si="8"/>
        <v>01-0x-090-020</v>
      </c>
      <c r="H68" s="241" t="s">
        <v>1159</v>
      </c>
      <c r="I68" s="435" t="s">
        <v>1160</v>
      </c>
      <c r="J68" s="438">
        <f>VLOOKUP(H68,'Full Trial Balance'!$A$4:$G$2306,3,FALSE)</f>
        <v>0</v>
      </c>
      <c r="K68" s="438">
        <f>VLOOKUP(H68,'Full Trial Balance'!$A$4:$G$2306,4,FALSE)</f>
        <v>0</v>
      </c>
      <c r="L68" s="438">
        <f>VLOOKUP(H68,'Full Trial Balance'!$A$4:$G$2306,5,FALSE)</f>
        <v>0</v>
      </c>
      <c r="M68" s="438">
        <f>VLOOKUP(H68,'Full Trial Balance'!$A$4:$G$2306,6,FALSE)</f>
        <v>0</v>
      </c>
      <c r="N68" s="438">
        <f>VLOOKUP(H68,'Full Trial Balance'!$A$4:$G$2306,7,FALSE)</f>
        <v>0</v>
      </c>
      <c r="O68" s="485">
        <f t="shared" si="14"/>
        <v>0</v>
      </c>
    </row>
    <row r="69" spans="1:15" x14ac:dyDescent="0.25">
      <c r="A69" s="241" t="str">
        <f t="shared" si="9"/>
        <v>01-01</v>
      </c>
      <c r="B69" s="241" t="str">
        <f t="shared" si="10"/>
        <v>01</v>
      </c>
      <c r="C69" s="241" t="str">
        <f t="shared" si="11"/>
        <v>01</v>
      </c>
      <c r="D69" s="235" t="str">
        <f t="shared" si="12"/>
        <v>01-</v>
      </c>
      <c r="E69" s="241" t="s">
        <v>1250</v>
      </c>
      <c r="F69" s="241" t="str">
        <f t="shared" si="13"/>
        <v>-095-000</v>
      </c>
      <c r="G69" s="235" t="str">
        <f t="shared" si="8"/>
        <v>01-0x-095-000</v>
      </c>
      <c r="H69" s="241" t="s">
        <v>618</v>
      </c>
      <c r="I69" s="435" t="s">
        <v>178</v>
      </c>
      <c r="J69" s="438">
        <f>VLOOKUP(H69,'Full Trial Balance'!$A$4:$G$2306,3,FALSE)</f>
        <v>290</v>
      </c>
      <c r="K69" s="438">
        <f>VLOOKUP(H69,'Full Trial Balance'!$A$4:$G$2306,4,FALSE)</f>
        <v>0</v>
      </c>
      <c r="L69" s="438">
        <f>VLOOKUP(H69,'Full Trial Balance'!$A$4:$G$2306,5,FALSE)</f>
        <v>0</v>
      </c>
      <c r="M69" s="438">
        <f>VLOOKUP(H69,'Full Trial Balance'!$A$4:$G$2306,6,FALSE)</f>
        <v>0</v>
      </c>
      <c r="N69" s="438">
        <f>VLOOKUP(H69,'Full Trial Balance'!$A$4:$G$2306,7,FALSE)</f>
        <v>0</v>
      </c>
      <c r="O69" s="485">
        <f t="shared" si="14"/>
        <v>0</v>
      </c>
    </row>
    <row r="70" spans="1:15" x14ac:dyDescent="0.25">
      <c r="A70" s="241" t="str">
        <f t="shared" si="9"/>
        <v>02-01</v>
      </c>
      <c r="B70" s="241" t="str">
        <f t="shared" si="10"/>
        <v>02</v>
      </c>
      <c r="C70" s="241" t="str">
        <f t="shared" si="11"/>
        <v>01</v>
      </c>
      <c r="D70" s="235" t="str">
        <f t="shared" si="12"/>
        <v>02-</v>
      </c>
      <c r="E70" s="241" t="s">
        <v>1250</v>
      </c>
      <c r="F70" s="241" t="str">
        <f t="shared" si="13"/>
        <v>-010-000</v>
      </c>
      <c r="G70" s="235" t="str">
        <f t="shared" si="8"/>
        <v>02-0x-010-000</v>
      </c>
      <c r="H70" s="241" t="s">
        <v>722</v>
      </c>
      <c r="I70" s="435" t="s">
        <v>665</v>
      </c>
      <c r="J70" s="438">
        <f>VLOOKUP(H70,'Full Trial Balance'!$A$4:$G$2306,3,FALSE)</f>
        <v>83392</v>
      </c>
      <c r="K70" s="438">
        <f>VLOOKUP(H70,'Full Trial Balance'!$A$4:$G$2306,4,FALSE)</f>
        <v>0</v>
      </c>
      <c r="L70" s="438">
        <f>VLOOKUP(H70,'Full Trial Balance'!$A$4:$G$2306,5,FALSE)</f>
        <v>40288.129999999997</v>
      </c>
      <c r="M70" s="438">
        <f>VLOOKUP(H70,'Full Trial Balance'!$A$4:$G$2306,6,FALSE)</f>
        <v>3331.12</v>
      </c>
      <c r="N70" s="438">
        <f>VLOOKUP(H70,'Full Trial Balance'!$A$4:$G$2306,7,FALSE)</f>
        <v>36957.01</v>
      </c>
      <c r="O70" s="485">
        <f t="shared" si="14"/>
        <v>4.5474735088646412E-12</v>
      </c>
    </row>
    <row r="71" spans="1:15" x14ac:dyDescent="0.25">
      <c r="A71" s="241" t="str">
        <f t="shared" si="9"/>
        <v>02-01</v>
      </c>
      <c r="B71" s="241" t="str">
        <f t="shared" si="10"/>
        <v>02</v>
      </c>
      <c r="C71" s="241" t="str">
        <f t="shared" si="11"/>
        <v>01</v>
      </c>
      <c r="D71" s="235" t="str">
        <f t="shared" si="12"/>
        <v>02-</v>
      </c>
      <c r="E71" s="241" t="s">
        <v>1250</v>
      </c>
      <c r="F71" s="241" t="str">
        <f t="shared" si="13"/>
        <v>-010-005</v>
      </c>
      <c r="G71" s="235" t="str">
        <f t="shared" si="8"/>
        <v>02-0x-010-005</v>
      </c>
      <c r="H71" s="241" t="s">
        <v>723</v>
      </c>
      <c r="I71" s="435" t="s">
        <v>667</v>
      </c>
      <c r="J71" s="438">
        <f>VLOOKUP(H71,'Full Trial Balance'!$A$4:$G$2306,3,FALSE)</f>
        <v>0</v>
      </c>
      <c r="K71" s="438">
        <f>VLOOKUP(H71,'Full Trial Balance'!$A$4:$G$2306,4,FALSE)</f>
        <v>0</v>
      </c>
      <c r="L71" s="438">
        <f>VLOOKUP(H71,'Full Trial Balance'!$A$4:$G$2306,5,FALSE)</f>
        <v>0</v>
      </c>
      <c r="M71" s="438">
        <f>VLOOKUP(H71,'Full Trial Balance'!$A$4:$G$2306,6,FALSE)</f>
        <v>0</v>
      </c>
      <c r="N71" s="438">
        <f>VLOOKUP(H71,'Full Trial Balance'!$A$4:$G$2306,7,FALSE)</f>
        <v>0</v>
      </c>
      <c r="O71" s="485">
        <f t="shared" si="14"/>
        <v>0</v>
      </c>
    </row>
    <row r="72" spans="1:15" x14ac:dyDescent="0.25">
      <c r="A72" s="241" t="str">
        <f t="shared" si="9"/>
        <v>02-01</v>
      </c>
      <c r="B72" s="241" t="str">
        <f t="shared" si="10"/>
        <v>02</v>
      </c>
      <c r="C72" s="241" t="str">
        <f t="shared" si="11"/>
        <v>01</v>
      </c>
      <c r="D72" s="235" t="str">
        <f t="shared" si="12"/>
        <v>02-</v>
      </c>
      <c r="E72" s="241" t="s">
        <v>1250</v>
      </c>
      <c r="F72" s="241" t="str">
        <f t="shared" si="13"/>
        <v>-015-000</v>
      </c>
      <c r="G72" s="235" t="str">
        <f t="shared" si="8"/>
        <v>02-0x-015-000</v>
      </c>
      <c r="H72" s="241" t="s">
        <v>709</v>
      </c>
      <c r="I72" s="435" t="s">
        <v>37</v>
      </c>
      <c r="J72" s="438">
        <f>VLOOKUP(H72,'Full Trial Balance'!$A$4:$G$2306,3,FALSE)</f>
        <v>1470.08</v>
      </c>
      <c r="K72" s="438">
        <f>VLOOKUP(H72,'Full Trial Balance'!$A$4:$G$2306,4,FALSE)</f>
        <v>0</v>
      </c>
      <c r="L72" s="438">
        <f>VLOOKUP(H72,'Full Trial Balance'!$A$4:$G$2306,5,FALSE)</f>
        <v>967.8</v>
      </c>
      <c r="M72" s="438">
        <f>VLOOKUP(H72,'Full Trial Balance'!$A$4:$G$2306,6,FALSE)</f>
        <v>30.84</v>
      </c>
      <c r="N72" s="438">
        <f>VLOOKUP(H72,'Full Trial Balance'!$A$4:$G$2306,7,FALSE)</f>
        <v>936.96</v>
      </c>
      <c r="O72" s="485">
        <f t="shared" si="14"/>
        <v>8.1712414612411521E-14</v>
      </c>
    </row>
    <row r="73" spans="1:15" x14ac:dyDescent="0.25">
      <c r="A73" s="241" t="str">
        <f t="shared" si="9"/>
        <v>02-01</v>
      </c>
      <c r="B73" s="241" t="str">
        <f t="shared" si="10"/>
        <v>02</v>
      </c>
      <c r="C73" s="241" t="str">
        <f t="shared" si="11"/>
        <v>01</v>
      </c>
      <c r="D73" s="235" t="str">
        <f t="shared" si="12"/>
        <v>02-</v>
      </c>
      <c r="E73" s="241" t="s">
        <v>1250</v>
      </c>
      <c r="F73" s="241" t="str">
        <f t="shared" si="13"/>
        <v>-016-000</v>
      </c>
      <c r="G73" s="235" t="str">
        <f t="shared" si="8"/>
        <v>02-0x-016-000</v>
      </c>
      <c r="H73" s="241" t="s">
        <v>717</v>
      </c>
      <c r="I73" s="435" t="s">
        <v>1076</v>
      </c>
      <c r="J73" s="438">
        <f>VLOOKUP(H73,'Full Trial Balance'!$A$4:$G$2306,3,FALSE)</f>
        <v>0</v>
      </c>
      <c r="K73" s="438">
        <f>VLOOKUP(H73,'Full Trial Balance'!$A$4:$G$2306,4,FALSE)</f>
        <v>0</v>
      </c>
      <c r="L73" s="438">
        <f>VLOOKUP(H73,'Full Trial Balance'!$A$4:$G$2306,5,FALSE)</f>
        <v>0</v>
      </c>
      <c r="M73" s="438">
        <f>VLOOKUP(H73,'Full Trial Balance'!$A$4:$G$2306,6,FALSE)</f>
        <v>0</v>
      </c>
      <c r="N73" s="438">
        <f>VLOOKUP(H73,'Full Trial Balance'!$A$4:$G$2306,7,FALSE)</f>
        <v>0</v>
      </c>
      <c r="O73" s="485">
        <f t="shared" si="14"/>
        <v>0</v>
      </c>
    </row>
    <row r="74" spans="1:15" x14ac:dyDescent="0.25">
      <c r="A74" s="241" t="str">
        <f t="shared" si="9"/>
        <v>02-01</v>
      </c>
      <c r="B74" s="241" t="str">
        <f t="shared" si="10"/>
        <v>02</v>
      </c>
      <c r="C74" s="241" t="str">
        <f t="shared" si="11"/>
        <v>01</v>
      </c>
      <c r="D74" s="235" t="str">
        <f t="shared" si="12"/>
        <v>02-</v>
      </c>
      <c r="E74" s="241" t="s">
        <v>1250</v>
      </c>
      <c r="F74" s="241" t="str">
        <f t="shared" si="13"/>
        <v>-020-202</v>
      </c>
      <c r="G74" s="235" t="str">
        <f t="shared" si="8"/>
        <v>02-0x-020-202</v>
      </c>
      <c r="H74" s="241" t="s">
        <v>692</v>
      </c>
      <c r="I74" s="435" t="s">
        <v>153</v>
      </c>
      <c r="J74" s="438">
        <f>VLOOKUP(H74,'Full Trial Balance'!$A$4:$G$2306,3,FALSE)</f>
        <v>4822</v>
      </c>
      <c r="K74" s="438">
        <f>VLOOKUP(H74,'Full Trial Balance'!$A$4:$G$2306,4,FALSE)</f>
        <v>0</v>
      </c>
      <c r="L74" s="438">
        <f>VLOOKUP(H74,'Full Trial Balance'!$A$4:$G$2306,5,FALSE)</f>
        <v>2068.4299999999998</v>
      </c>
      <c r="M74" s="438">
        <f>VLOOKUP(H74,'Full Trial Balance'!$A$4:$G$2306,6,FALSE)</f>
        <v>199.12</v>
      </c>
      <c r="N74" s="438">
        <f>VLOOKUP(H74,'Full Trial Balance'!$A$4:$G$2306,7,FALSE)</f>
        <v>1869.31</v>
      </c>
      <c r="O74" s="485">
        <f t="shared" si="14"/>
        <v>0</v>
      </c>
    </row>
    <row r="75" spans="1:15" x14ac:dyDescent="0.25">
      <c r="A75" s="241" t="str">
        <f t="shared" si="9"/>
        <v>02-01</v>
      </c>
      <c r="B75" s="241" t="str">
        <f t="shared" si="10"/>
        <v>02</v>
      </c>
      <c r="C75" s="241" t="str">
        <f t="shared" si="11"/>
        <v>01</v>
      </c>
      <c r="D75" s="235" t="str">
        <f t="shared" si="12"/>
        <v>02-</v>
      </c>
      <c r="E75" s="241" t="s">
        <v>1250</v>
      </c>
      <c r="F75" s="241" t="str">
        <f t="shared" si="13"/>
        <v>-020-203</v>
      </c>
      <c r="G75" s="235" t="str">
        <f t="shared" si="8"/>
        <v>02-0x-020-203</v>
      </c>
      <c r="H75" s="241" t="s">
        <v>703</v>
      </c>
      <c r="I75" s="435" t="s">
        <v>154</v>
      </c>
      <c r="J75" s="438">
        <f>VLOOKUP(H75,'Full Trial Balance'!$A$4:$G$2306,3,FALSE)</f>
        <v>1230</v>
      </c>
      <c r="K75" s="438">
        <f>VLOOKUP(H75,'Full Trial Balance'!$A$4:$G$2306,4,FALSE)</f>
        <v>0</v>
      </c>
      <c r="L75" s="438">
        <f>VLOOKUP(H75,'Full Trial Balance'!$A$4:$G$2306,5,FALSE)</f>
        <v>578.76</v>
      </c>
      <c r="M75" s="438">
        <f>VLOOKUP(H75,'Full Trial Balance'!$A$4:$G$2306,6,FALSE)</f>
        <v>46.62</v>
      </c>
      <c r="N75" s="438">
        <f>VLOOKUP(H75,'Full Trial Balance'!$A$4:$G$2306,7,FALSE)</f>
        <v>532.14</v>
      </c>
      <c r="O75" s="485">
        <f t="shared" si="14"/>
        <v>0</v>
      </c>
    </row>
    <row r="76" spans="1:15" x14ac:dyDescent="0.25">
      <c r="A76" s="241" t="str">
        <f t="shared" si="9"/>
        <v>02-01</v>
      </c>
      <c r="B76" s="241" t="str">
        <f t="shared" si="10"/>
        <v>02</v>
      </c>
      <c r="C76" s="241" t="str">
        <f t="shared" si="11"/>
        <v>01</v>
      </c>
      <c r="D76" s="235" t="str">
        <f t="shared" si="12"/>
        <v>02-</v>
      </c>
      <c r="E76" s="241" t="s">
        <v>1250</v>
      </c>
      <c r="F76" s="241" t="str">
        <f t="shared" si="13"/>
        <v>-020-204</v>
      </c>
      <c r="G76" s="235" t="str">
        <f t="shared" si="8"/>
        <v>02-0x-020-204</v>
      </c>
      <c r="H76" s="241" t="s">
        <v>704</v>
      </c>
      <c r="I76" s="435" t="s">
        <v>38</v>
      </c>
      <c r="J76" s="438">
        <f>VLOOKUP(H76,'Full Trial Balance'!$A$4:$G$2306,3,FALSE)</f>
        <v>15877</v>
      </c>
      <c r="K76" s="438">
        <f>VLOOKUP(H76,'Full Trial Balance'!$A$4:$G$2306,4,FALSE)</f>
        <v>0</v>
      </c>
      <c r="L76" s="438">
        <f>VLOOKUP(H76,'Full Trial Balance'!$A$4:$G$2306,5,FALSE)</f>
        <v>6809.82</v>
      </c>
      <c r="M76" s="438">
        <f>VLOOKUP(H76,'Full Trial Balance'!$A$4:$G$2306,6,FALSE)</f>
        <v>67.64</v>
      </c>
      <c r="N76" s="438">
        <f>VLOOKUP(H76,'Full Trial Balance'!$A$4:$G$2306,7,FALSE)</f>
        <v>6742.18</v>
      </c>
      <c r="O76" s="485">
        <f t="shared" si="14"/>
        <v>5.8264504332328215E-13</v>
      </c>
    </row>
    <row r="77" spans="1:15" x14ac:dyDescent="0.25">
      <c r="A77" s="241" t="str">
        <f t="shared" si="9"/>
        <v>02-01</v>
      </c>
      <c r="B77" s="241" t="str">
        <f t="shared" si="10"/>
        <v>02</v>
      </c>
      <c r="C77" s="241" t="str">
        <f t="shared" si="11"/>
        <v>01</v>
      </c>
      <c r="D77" s="235" t="str">
        <f t="shared" si="12"/>
        <v>02-</v>
      </c>
      <c r="E77" s="241" t="s">
        <v>1250</v>
      </c>
      <c r="F77" s="241" t="str">
        <f t="shared" si="13"/>
        <v>-020-205</v>
      </c>
      <c r="G77" s="235" t="str">
        <f t="shared" si="8"/>
        <v>02-0x-020-205</v>
      </c>
      <c r="H77" s="241" t="s">
        <v>688</v>
      </c>
      <c r="I77" s="435" t="s">
        <v>77</v>
      </c>
      <c r="J77" s="438">
        <f>VLOOKUP(H77,'Full Trial Balance'!$A$4:$G$2306,3,FALSE)</f>
        <v>979</v>
      </c>
      <c r="K77" s="438">
        <f>VLOOKUP(H77,'Full Trial Balance'!$A$4:$G$2306,4,FALSE)</f>
        <v>0</v>
      </c>
      <c r="L77" s="438">
        <f>VLOOKUP(H77,'Full Trial Balance'!$A$4:$G$2306,5,FALSE)</f>
        <v>360.01</v>
      </c>
      <c r="M77" s="438">
        <f>VLOOKUP(H77,'Full Trial Balance'!$A$4:$G$2306,6,FALSE)</f>
        <v>7.82</v>
      </c>
      <c r="N77" s="438">
        <f>VLOOKUP(H77,'Full Trial Balance'!$A$4:$G$2306,7,FALSE)</f>
        <v>352.19</v>
      </c>
      <c r="O77" s="485">
        <f t="shared" si="14"/>
        <v>7.1054273576010019E-15</v>
      </c>
    </row>
    <row r="78" spans="1:15" x14ac:dyDescent="0.25">
      <c r="A78" s="241" t="str">
        <f t="shared" si="9"/>
        <v>02-01</v>
      </c>
      <c r="B78" s="241" t="str">
        <f t="shared" si="10"/>
        <v>02</v>
      </c>
      <c r="C78" s="241" t="str">
        <f t="shared" si="11"/>
        <v>01</v>
      </c>
      <c r="D78" s="235" t="str">
        <f t="shared" si="12"/>
        <v>02-</v>
      </c>
      <c r="E78" s="241" t="s">
        <v>1250</v>
      </c>
      <c r="F78" s="241" t="str">
        <f t="shared" si="13"/>
        <v>-020-206</v>
      </c>
      <c r="G78" s="235" t="str">
        <f t="shared" si="8"/>
        <v>02-0x-020-206</v>
      </c>
      <c r="H78" s="241" t="s">
        <v>721</v>
      </c>
      <c r="I78" s="435" t="s">
        <v>78</v>
      </c>
      <c r="J78" s="438">
        <f>VLOOKUP(H78,'Full Trial Balance'!$A$4:$G$2306,3,FALSE)</f>
        <v>182</v>
      </c>
      <c r="K78" s="438">
        <f>VLOOKUP(H78,'Full Trial Balance'!$A$4:$G$2306,4,FALSE)</f>
        <v>0</v>
      </c>
      <c r="L78" s="438">
        <f>VLOOKUP(H78,'Full Trial Balance'!$A$4:$G$2306,5,FALSE)</f>
        <v>98.01</v>
      </c>
      <c r="M78" s="438">
        <f>VLOOKUP(H78,'Full Trial Balance'!$A$4:$G$2306,6,FALSE)</f>
        <v>0</v>
      </c>
      <c r="N78" s="438">
        <f>VLOOKUP(H78,'Full Trial Balance'!$A$4:$G$2306,7,FALSE)</f>
        <v>98.01</v>
      </c>
      <c r="O78" s="485">
        <f t="shared" si="14"/>
        <v>0</v>
      </c>
    </row>
    <row r="79" spans="1:15" x14ac:dyDescent="0.25">
      <c r="A79" s="241" t="str">
        <f t="shared" si="9"/>
        <v>02-01</v>
      </c>
      <c r="B79" s="241" t="str">
        <f t="shared" si="10"/>
        <v>02</v>
      </c>
      <c r="C79" s="241" t="str">
        <f t="shared" si="11"/>
        <v>01</v>
      </c>
      <c r="D79" s="235" t="str">
        <f t="shared" si="12"/>
        <v>02-</v>
      </c>
      <c r="E79" s="241" t="s">
        <v>1250</v>
      </c>
      <c r="F79" s="241" t="str">
        <f t="shared" si="13"/>
        <v>-020-208</v>
      </c>
      <c r="G79" s="235" t="str">
        <f t="shared" si="8"/>
        <v>02-0x-020-208</v>
      </c>
      <c r="H79" s="241" t="s">
        <v>724</v>
      </c>
      <c r="I79" s="435" t="s">
        <v>893</v>
      </c>
      <c r="J79" s="438">
        <f>VLOOKUP(H79,'Full Trial Balance'!$A$4:$G$2306,3,FALSE)</f>
        <v>874</v>
      </c>
      <c r="K79" s="438">
        <f>VLOOKUP(H79,'Full Trial Balance'!$A$4:$G$2306,4,FALSE)</f>
        <v>0</v>
      </c>
      <c r="L79" s="438">
        <f>VLOOKUP(H79,'Full Trial Balance'!$A$4:$G$2306,5,FALSE)</f>
        <v>338.57</v>
      </c>
      <c r="M79" s="438">
        <f>VLOOKUP(H79,'Full Trial Balance'!$A$4:$G$2306,6,FALSE)</f>
        <v>19.66</v>
      </c>
      <c r="N79" s="438">
        <f>VLOOKUP(H79,'Full Trial Balance'!$A$4:$G$2306,7,FALSE)</f>
        <v>318.91000000000003</v>
      </c>
      <c r="O79" s="485">
        <f t="shared" si="14"/>
        <v>3.1974423109204508E-14</v>
      </c>
    </row>
    <row r="80" spans="1:15" x14ac:dyDescent="0.25">
      <c r="A80" s="241" t="str">
        <f t="shared" si="9"/>
        <v>02-01</v>
      </c>
      <c r="B80" s="241" t="str">
        <f t="shared" si="10"/>
        <v>02</v>
      </c>
      <c r="C80" s="241" t="str">
        <f t="shared" si="11"/>
        <v>01</v>
      </c>
      <c r="D80" s="235" t="str">
        <f t="shared" si="12"/>
        <v>02-</v>
      </c>
      <c r="E80" s="241" t="s">
        <v>1250</v>
      </c>
      <c r="F80" s="241" t="str">
        <f t="shared" si="13"/>
        <v>-020-209</v>
      </c>
      <c r="G80" s="235" t="str">
        <f t="shared" si="8"/>
        <v>02-0x-020-209</v>
      </c>
      <c r="H80" s="241" t="s">
        <v>701</v>
      </c>
      <c r="I80" s="435" t="s">
        <v>39</v>
      </c>
      <c r="J80" s="438">
        <f>VLOOKUP(H80,'Full Trial Balance'!$A$4:$G$2306,3,FALSE)</f>
        <v>309</v>
      </c>
      <c r="K80" s="438">
        <f>VLOOKUP(H80,'Full Trial Balance'!$A$4:$G$2306,4,FALSE)</f>
        <v>0</v>
      </c>
      <c r="L80" s="438">
        <f>VLOOKUP(H80,'Full Trial Balance'!$A$4:$G$2306,5,FALSE)</f>
        <v>184.51</v>
      </c>
      <c r="M80" s="438">
        <f>VLOOKUP(H80,'Full Trial Balance'!$A$4:$G$2306,6,FALSE)</f>
        <v>52.03</v>
      </c>
      <c r="N80" s="438">
        <f>VLOOKUP(H80,'Full Trial Balance'!$A$4:$G$2306,7,FALSE)</f>
        <v>132.47999999999999</v>
      </c>
      <c r="O80" s="485">
        <f t="shared" si="14"/>
        <v>0</v>
      </c>
    </row>
    <row r="81" spans="1:15" x14ac:dyDescent="0.25">
      <c r="A81" s="241" t="str">
        <f t="shared" si="9"/>
        <v>02-01</v>
      </c>
      <c r="B81" s="241" t="str">
        <f t="shared" si="10"/>
        <v>02</v>
      </c>
      <c r="C81" s="241" t="str">
        <f t="shared" si="11"/>
        <v>01</v>
      </c>
      <c r="D81" s="235" t="str">
        <f t="shared" si="12"/>
        <v>02-</v>
      </c>
      <c r="E81" s="241" t="s">
        <v>1250</v>
      </c>
      <c r="F81" s="241" t="str">
        <f t="shared" si="13"/>
        <v>-020-212</v>
      </c>
      <c r="G81" s="235" t="str">
        <f t="shared" si="8"/>
        <v>02-0x-020-212</v>
      </c>
      <c r="H81" s="241" t="s">
        <v>718</v>
      </c>
      <c r="I81" s="435" t="s">
        <v>40</v>
      </c>
      <c r="J81" s="438">
        <f>VLOOKUP(H81,'Full Trial Balance'!$A$4:$G$2306,3,FALSE)</f>
        <v>302</v>
      </c>
      <c r="K81" s="438">
        <f>VLOOKUP(H81,'Full Trial Balance'!$A$4:$G$2306,4,FALSE)</f>
        <v>0</v>
      </c>
      <c r="L81" s="438">
        <f>VLOOKUP(H81,'Full Trial Balance'!$A$4:$G$2306,5,FALSE)</f>
        <v>13.03</v>
      </c>
      <c r="M81" s="438">
        <f>VLOOKUP(H81,'Full Trial Balance'!$A$4:$G$2306,6,FALSE)</f>
        <v>7.68</v>
      </c>
      <c r="N81" s="438">
        <f>VLOOKUP(H81,'Full Trial Balance'!$A$4:$G$2306,7,FALSE)</f>
        <v>5.35</v>
      </c>
      <c r="O81" s="485">
        <f t="shared" si="14"/>
        <v>0</v>
      </c>
    </row>
    <row r="82" spans="1:15" x14ac:dyDescent="0.25">
      <c r="A82" s="241" t="str">
        <f t="shared" si="9"/>
        <v>02-01</v>
      </c>
      <c r="B82" s="241" t="str">
        <f t="shared" si="10"/>
        <v>02</v>
      </c>
      <c r="C82" s="241" t="str">
        <f t="shared" si="11"/>
        <v>01</v>
      </c>
      <c r="D82" s="235" t="str">
        <f t="shared" si="12"/>
        <v>02-</v>
      </c>
      <c r="E82" s="241" t="s">
        <v>1250</v>
      </c>
      <c r="F82" s="241" t="str">
        <f t="shared" si="13"/>
        <v>-020-213</v>
      </c>
      <c r="G82" s="235" t="str">
        <f t="shared" si="8"/>
        <v>02-0x-020-213</v>
      </c>
      <c r="H82" s="241" t="s">
        <v>691</v>
      </c>
      <c r="I82" s="435" t="s">
        <v>41</v>
      </c>
      <c r="J82" s="438">
        <f>VLOOKUP(H82,'Full Trial Balance'!$A$4:$G$2306,3,FALSE)</f>
        <v>7.28</v>
      </c>
      <c r="K82" s="438">
        <f>VLOOKUP(H82,'Full Trial Balance'!$A$4:$G$2306,4,FALSE)</f>
        <v>0</v>
      </c>
      <c r="L82" s="438">
        <f>VLOOKUP(H82,'Full Trial Balance'!$A$4:$G$2306,5,FALSE)</f>
        <v>0.31</v>
      </c>
      <c r="M82" s="438">
        <f>VLOOKUP(H82,'Full Trial Balance'!$A$4:$G$2306,6,FALSE)</f>
        <v>0.22</v>
      </c>
      <c r="N82" s="438">
        <f>VLOOKUP(H82,'Full Trial Balance'!$A$4:$G$2306,7,FALSE)</f>
        <v>0.09</v>
      </c>
      <c r="O82" s="485">
        <f t="shared" si="14"/>
        <v>0</v>
      </c>
    </row>
    <row r="83" spans="1:15" x14ac:dyDescent="0.25">
      <c r="A83" s="241" t="str">
        <f t="shared" si="9"/>
        <v>02-01</v>
      </c>
      <c r="B83" s="241" t="str">
        <f t="shared" si="10"/>
        <v>02</v>
      </c>
      <c r="C83" s="241" t="str">
        <f t="shared" si="11"/>
        <v>01</v>
      </c>
      <c r="D83" s="235" t="str">
        <f t="shared" si="12"/>
        <v>02-</v>
      </c>
      <c r="E83" s="241" t="s">
        <v>1250</v>
      </c>
      <c r="F83" s="241" t="str">
        <f t="shared" si="13"/>
        <v>-020-214</v>
      </c>
      <c r="G83" s="235" t="str">
        <f t="shared" si="8"/>
        <v>02-0x-020-214</v>
      </c>
      <c r="H83" s="241" t="s">
        <v>683</v>
      </c>
      <c r="I83" s="435" t="s">
        <v>155</v>
      </c>
      <c r="J83" s="438">
        <f>VLOOKUP(H83,'Full Trial Balance'!$A$4:$G$2306,3,FALSE)</f>
        <v>576</v>
      </c>
      <c r="K83" s="438">
        <f>VLOOKUP(H83,'Full Trial Balance'!$A$4:$G$2306,4,FALSE)</f>
        <v>0</v>
      </c>
      <c r="L83" s="438">
        <f>VLOOKUP(H83,'Full Trial Balance'!$A$4:$G$2306,5,FALSE)</f>
        <v>245</v>
      </c>
      <c r="M83" s="438">
        <f>VLOOKUP(H83,'Full Trial Balance'!$A$4:$G$2306,6,FALSE)</f>
        <v>45</v>
      </c>
      <c r="N83" s="438">
        <f>VLOOKUP(H83,'Full Trial Balance'!$A$4:$G$2306,7,FALSE)</f>
        <v>200</v>
      </c>
      <c r="O83" s="485">
        <f t="shared" si="14"/>
        <v>0</v>
      </c>
    </row>
    <row r="84" spans="1:15" x14ac:dyDescent="0.25">
      <c r="A84" s="241" t="str">
        <f t="shared" si="9"/>
        <v>02-01</v>
      </c>
      <c r="B84" s="241" t="str">
        <f t="shared" si="10"/>
        <v>02</v>
      </c>
      <c r="C84" s="241" t="str">
        <f t="shared" si="11"/>
        <v>01</v>
      </c>
      <c r="D84" s="235" t="str">
        <f t="shared" si="12"/>
        <v>02-</v>
      </c>
      <c r="E84" s="241" t="s">
        <v>1250</v>
      </c>
      <c r="F84" s="241" t="str">
        <f t="shared" si="13"/>
        <v>-020-215</v>
      </c>
      <c r="G84" s="235" t="str">
        <f t="shared" si="8"/>
        <v>02-0x-020-215</v>
      </c>
      <c r="H84" s="241" t="s">
        <v>689</v>
      </c>
      <c r="I84" s="435" t="s">
        <v>42</v>
      </c>
      <c r="J84" s="438">
        <f>VLOOKUP(H84,'Full Trial Balance'!$A$4:$G$2306,3,FALSE)</f>
        <v>253</v>
      </c>
      <c r="K84" s="438">
        <f>VLOOKUP(H84,'Full Trial Balance'!$A$4:$G$2306,4,FALSE)</f>
        <v>0</v>
      </c>
      <c r="L84" s="438">
        <f>VLOOKUP(H84,'Full Trial Balance'!$A$4:$G$2306,5,FALSE)</f>
        <v>97.91</v>
      </c>
      <c r="M84" s="438">
        <f>VLOOKUP(H84,'Full Trial Balance'!$A$4:$G$2306,6,FALSE)</f>
        <v>5.28</v>
      </c>
      <c r="N84" s="438">
        <f>VLOOKUP(H84,'Full Trial Balance'!$A$4:$G$2306,7,FALSE)</f>
        <v>92.63</v>
      </c>
      <c r="O84" s="485">
        <f t="shared" si="14"/>
        <v>0</v>
      </c>
    </row>
    <row r="85" spans="1:15" x14ac:dyDescent="0.25">
      <c r="A85" s="241" t="str">
        <f t="shared" si="9"/>
        <v>02-01</v>
      </c>
      <c r="B85" s="241" t="str">
        <f t="shared" si="10"/>
        <v>02</v>
      </c>
      <c r="C85" s="241" t="str">
        <f t="shared" si="11"/>
        <v>01</v>
      </c>
      <c r="D85" s="235" t="str">
        <f t="shared" si="12"/>
        <v>02-</v>
      </c>
      <c r="E85" s="241" t="s">
        <v>1250</v>
      </c>
      <c r="F85" s="241" t="str">
        <f t="shared" si="13"/>
        <v>-020-217</v>
      </c>
      <c r="G85" s="489" t="s">
        <v>3435</v>
      </c>
      <c r="H85" s="241" t="s">
        <v>681</v>
      </c>
      <c r="I85" s="435" t="s">
        <v>43</v>
      </c>
      <c r="J85" s="438">
        <f>VLOOKUP(H85,'Full Trial Balance'!$A$4:$G$2306,3,FALSE)</f>
        <v>7372</v>
      </c>
      <c r="K85" s="438">
        <f>VLOOKUP(H85,'Full Trial Balance'!$A$4:$G$2306,4,FALSE)</f>
        <v>0</v>
      </c>
      <c r="L85" s="438">
        <f>VLOOKUP(H85,'Full Trial Balance'!$A$4:$G$2306,5,FALSE)</f>
        <v>3102.9</v>
      </c>
      <c r="M85" s="438">
        <f>VLOOKUP(H85,'Full Trial Balance'!$A$4:$G$2306,6,FALSE)</f>
        <v>266.58</v>
      </c>
      <c r="N85" s="438">
        <f>VLOOKUP(H85,'Full Trial Balance'!$A$4:$G$2306,7,FALSE)</f>
        <v>2836.32</v>
      </c>
      <c r="O85" s="485">
        <f t="shared" si="14"/>
        <v>0</v>
      </c>
    </row>
    <row r="86" spans="1:15" x14ac:dyDescent="0.25">
      <c r="A86" s="241" t="str">
        <f t="shared" si="9"/>
        <v>02-01</v>
      </c>
      <c r="B86" s="241" t="str">
        <f t="shared" si="10"/>
        <v>02</v>
      </c>
      <c r="C86" s="241" t="str">
        <f t="shared" si="11"/>
        <v>01</v>
      </c>
      <c r="D86" s="235" t="str">
        <f t="shared" si="12"/>
        <v>02-</v>
      </c>
      <c r="E86" s="241" t="s">
        <v>1250</v>
      </c>
      <c r="F86" s="241" t="str">
        <f t="shared" si="13"/>
        <v>-020-218</v>
      </c>
      <c r="G86" s="489" t="s">
        <v>3436</v>
      </c>
      <c r="H86" s="241" t="s">
        <v>682</v>
      </c>
      <c r="I86" s="435" t="s">
        <v>44</v>
      </c>
      <c r="J86" s="438">
        <f>VLOOKUP(H86,'Full Trial Balance'!$A$4:$G$2306,3,FALSE)</f>
        <v>6090</v>
      </c>
      <c r="K86" s="438">
        <f>VLOOKUP(H86,'Full Trial Balance'!$A$4:$G$2306,4,FALSE)</f>
        <v>0</v>
      </c>
      <c r="L86" s="438">
        <f>VLOOKUP(H86,'Full Trial Balance'!$A$4:$G$2306,5,FALSE)</f>
        <v>2574.2800000000002</v>
      </c>
      <c r="M86" s="438">
        <f>VLOOKUP(H86,'Full Trial Balance'!$A$4:$G$2306,6,FALSE)</f>
        <v>219.92</v>
      </c>
      <c r="N86" s="438">
        <f>VLOOKUP(H86,'Full Trial Balance'!$A$4:$G$2306,7,FALSE)</f>
        <v>2354.36</v>
      </c>
      <c r="O86" s="485">
        <f t="shared" si="14"/>
        <v>0</v>
      </c>
    </row>
    <row r="87" spans="1:15" x14ac:dyDescent="0.25">
      <c r="A87" s="241" t="str">
        <f t="shared" si="9"/>
        <v>02-01</v>
      </c>
      <c r="B87" s="241" t="str">
        <f t="shared" si="10"/>
        <v>02</v>
      </c>
      <c r="C87" s="241" t="str">
        <f t="shared" si="11"/>
        <v>01</v>
      </c>
      <c r="D87" s="235" t="str">
        <f t="shared" si="12"/>
        <v>02-</v>
      </c>
      <c r="E87" s="241" t="s">
        <v>1250</v>
      </c>
      <c r="F87" s="241" t="str">
        <f t="shared" si="13"/>
        <v>-020-220</v>
      </c>
      <c r="G87" s="256" t="str">
        <f>CONCATENATE(D87,E87,F87)</f>
        <v>02-0x-020-220</v>
      </c>
      <c r="H87" s="241" t="s">
        <v>708</v>
      </c>
      <c r="I87" s="435" t="s">
        <v>183</v>
      </c>
      <c r="J87" s="438">
        <f>VLOOKUP(H87,'Full Trial Balance'!$A$4:$G$2306,3,FALSE)</f>
        <v>4240</v>
      </c>
      <c r="K87" s="438">
        <f>VLOOKUP(H87,'Full Trial Balance'!$A$4:$G$2306,4,FALSE)</f>
        <v>0</v>
      </c>
      <c r="L87" s="438">
        <f>VLOOKUP(H87,'Full Trial Balance'!$A$4:$G$2306,5,FALSE)</f>
        <v>0</v>
      </c>
      <c r="M87" s="438">
        <f>VLOOKUP(H87,'Full Trial Balance'!$A$4:$G$2306,6,FALSE)</f>
        <v>0</v>
      </c>
      <c r="N87" s="438">
        <f>VLOOKUP(H87,'Full Trial Balance'!$A$4:$G$2306,7,FALSE)</f>
        <v>0</v>
      </c>
      <c r="O87" s="485">
        <f t="shared" si="14"/>
        <v>0</v>
      </c>
    </row>
    <row r="88" spans="1:15" x14ac:dyDescent="0.25">
      <c r="A88" s="241" t="str">
        <f t="shared" si="9"/>
        <v>02-01</v>
      </c>
      <c r="B88" s="241" t="str">
        <f t="shared" si="10"/>
        <v>02</v>
      </c>
      <c r="C88" s="241" t="str">
        <f t="shared" si="11"/>
        <v>01</v>
      </c>
      <c r="D88" s="235" t="str">
        <f t="shared" si="12"/>
        <v>02-</v>
      </c>
      <c r="E88" s="241" t="s">
        <v>1250</v>
      </c>
      <c r="F88" s="241" t="str">
        <f t="shared" si="13"/>
        <v>-020-222</v>
      </c>
      <c r="G88" s="489" t="s">
        <v>3435</v>
      </c>
      <c r="H88" s="241" t="s">
        <v>2487</v>
      </c>
      <c r="I88" s="435" t="s">
        <v>2254</v>
      </c>
      <c r="J88" s="438">
        <f>VLOOKUP(H88,'Full Trial Balance'!$A$4:$G$2306,3,FALSE)</f>
        <v>0</v>
      </c>
      <c r="K88" s="438">
        <f>VLOOKUP(H88,'Full Trial Balance'!$A$4:$G$2306,4,FALSE)</f>
        <v>0</v>
      </c>
      <c r="L88" s="438">
        <f>VLOOKUP(H88,'Full Trial Balance'!$A$4:$G$2306,5,FALSE)</f>
        <v>102.74</v>
      </c>
      <c r="M88" s="438">
        <f>VLOOKUP(H88,'Full Trial Balance'!$A$4:$G$2306,6,FALSE)</f>
        <v>8.64</v>
      </c>
      <c r="N88" s="438">
        <f>VLOOKUP(H88,'Full Trial Balance'!$A$4:$G$2306,7,FALSE)</f>
        <v>94.1</v>
      </c>
      <c r="O88" s="485">
        <f t="shared" si="14"/>
        <v>0</v>
      </c>
    </row>
    <row r="89" spans="1:15" x14ac:dyDescent="0.25">
      <c r="A89" s="241" t="str">
        <f t="shared" si="9"/>
        <v>02-01</v>
      </c>
      <c r="B89" s="241" t="str">
        <f t="shared" si="10"/>
        <v>02</v>
      </c>
      <c r="C89" s="241" t="str">
        <f t="shared" si="11"/>
        <v>01</v>
      </c>
      <c r="D89" s="235" t="str">
        <f t="shared" si="12"/>
        <v>02-</v>
      </c>
      <c r="E89" s="241" t="s">
        <v>1250</v>
      </c>
      <c r="F89" s="241" t="str">
        <f t="shared" si="13"/>
        <v>-020-223</v>
      </c>
      <c r="G89" s="489" t="s">
        <v>3436</v>
      </c>
      <c r="H89" s="241" t="s">
        <v>2488</v>
      </c>
      <c r="I89" s="435" t="s">
        <v>2256</v>
      </c>
      <c r="J89" s="438">
        <f>VLOOKUP(H89,'Full Trial Balance'!$A$4:$G$2306,3,FALSE)</f>
        <v>0</v>
      </c>
      <c r="K89" s="438">
        <f>VLOOKUP(H89,'Full Trial Balance'!$A$4:$G$2306,4,FALSE)</f>
        <v>0</v>
      </c>
      <c r="L89" s="438">
        <f>VLOOKUP(H89,'Full Trial Balance'!$A$4:$G$2306,5,FALSE)</f>
        <v>130.61000000000001</v>
      </c>
      <c r="M89" s="438">
        <f>VLOOKUP(H89,'Full Trial Balance'!$A$4:$G$2306,6,FALSE)</f>
        <v>10.99</v>
      </c>
      <c r="N89" s="438">
        <f>VLOOKUP(H89,'Full Trial Balance'!$A$4:$G$2306,7,FALSE)</f>
        <v>119.62</v>
      </c>
      <c r="O89" s="485">
        <f t="shared" si="14"/>
        <v>0</v>
      </c>
    </row>
    <row r="90" spans="1:15" x14ac:dyDescent="0.25">
      <c r="A90" s="241" t="str">
        <f t="shared" si="9"/>
        <v>02-01</v>
      </c>
      <c r="B90" s="241" t="str">
        <f t="shared" si="10"/>
        <v>02</v>
      </c>
      <c r="C90" s="241" t="str">
        <f t="shared" si="11"/>
        <v>01</v>
      </c>
      <c r="D90" s="235" t="str">
        <f t="shared" si="12"/>
        <v>02-</v>
      </c>
      <c r="E90" s="241" t="s">
        <v>1250</v>
      </c>
      <c r="F90" s="241" t="str">
        <f t="shared" si="13"/>
        <v>-020-225</v>
      </c>
      <c r="G90" s="235" t="str">
        <f>CONCATENATE(D90,E90,F90)</f>
        <v>02-0x-020-225</v>
      </c>
      <c r="H90" s="241" t="s">
        <v>1081</v>
      </c>
      <c r="I90" s="435" t="s">
        <v>1079</v>
      </c>
      <c r="J90" s="438">
        <f>VLOOKUP(H90,'Full Trial Balance'!$A$4:$G$2306,3,FALSE)</f>
        <v>10545.92</v>
      </c>
      <c r="K90" s="438">
        <f>VLOOKUP(H90,'Full Trial Balance'!$A$4:$G$2306,4,FALSE)</f>
        <v>0</v>
      </c>
      <c r="L90" s="438">
        <f>VLOOKUP(H90,'Full Trial Balance'!$A$4:$G$2306,5,FALSE)</f>
        <v>10326.780000000001</v>
      </c>
      <c r="M90" s="438">
        <f>VLOOKUP(H90,'Full Trial Balance'!$A$4:$G$2306,6,FALSE)</f>
        <v>0</v>
      </c>
      <c r="N90" s="438">
        <f>VLOOKUP(H90,'Full Trial Balance'!$A$4:$G$2306,7,FALSE)</f>
        <v>10326.780000000001</v>
      </c>
      <c r="O90" s="485">
        <f t="shared" si="14"/>
        <v>0</v>
      </c>
    </row>
    <row r="91" spans="1:15" x14ac:dyDescent="0.25">
      <c r="A91" s="241" t="str">
        <f t="shared" si="9"/>
        <v>02-01</v>
      </c>
      <c r="B91" s="241" t="str">
        <f t="shared" si="10"/>
        <v>02</v>
      </c>
      <c r="C91" s="241" t="str">
        <f t="shared" si="11"/>
        <v>01</v>
      </c>
      <c r="D91" s="235" t="str">
        <f t="shared" si="12"/>
        <v>02-</v>
      </c>
      <c r="E91" s="241" t="s">
        <v>1250</v>
      </c>
      <c r="F91" s="241" t="str">
        <f t="shared" si="13"/>
        <v>-030-006</v>
      </c>
      <c r="G91" s="235" t="s">
        <v>1438</v>
      </c>
      <c r="H91" s="241" t="s">
        <v>700</v>
      </c>
      <c r="I91" s="435" t="s">
        <v>156</v>
      </c>
      <c r="J91" s="438">
        <f>VLOOKUP(H91,'Full Trial Balance'!$A$4:$G$2306,3,FALSE)</f>
        <v>7600</v>
      </c>
      <c r="K91" s="438">
        <f>VLOOKUP(H91,'Full Trial Balance'!$A$4:$G$2306,4,FALSE)</f>
        <v>0</v>
      </c>
      <c r="L91" s="438">
        <f>VLOOKUP(H91,'Full Trial Balance'!$A$4:$G$2306,5,FALSE)</f>
        <v>3731.04</v>
      </c>
      <c r="M91" s="438">
        <f>VLOOKUP(H91,'Full Trial Balance'!$A$4:$G$2306,6,FALSE)</f>
        <v>0</v>
      </c>
      <c r="N91" s="438">
        <f>VLOOKUP(H91,'Full Trial Balance'!$A$4:$G$2306,7,FALSE)</f>
        <v>3731.04</v>
      </c>
      <c r="O91" s="485">
        <f t="shared" si="14"/>
        <v>0</v>
      </c>
    </row>
    <row r="92" spans="1:15" x14ac:dyDescent="0.25">
      <c r="A92" s="241" t="str">
        <f t="shared" si="9"/>
        <v>02-01</v>
      </c>
      <c r="B92" s="241" t="str">
        <f t="shared" si="10"/>
        <v>02</v>
      </c>
      <c r="C92" s="241" t="str">
        <f t="shared" si="11"/>
        <v>01</v>
      </c>
      <c r="D92" s="235" t="str">
        <f t="shared" si="12"/>
        <v>02-</v>
      </c>
      <c r="E92" s="241" t="s">
        <v>1250</v>
      </c>
      <c r="F92" s="241" t="str">
        <f t="shared" si="13"/>
        <v>-030-011</v>
      </c>
      <c r="G92" s="235" t="s">
        <v>1438</v>
      </c>
      <c r="H92" s="241" t="s">
        <v>714</v>
      </c>
      <c r="I92" s="435" t="s">
        <v>157</v>
      </c>
      <c r="J92" s="438">
        <f>VLOOKUP(H92,'Full Trial Balance'!$A$4:$G$2306,3,FALSE)</f>
        <v>2000</v>
      </c>
      <c r="K92" s="438">
        <f>VLOOKUP(H92,'Full Trial Balance'!$A$4:$G$2306,4,FALSE)</f>
        <v>0</v>
      </c>
      <c r="L92" s="438">
        <f>VLOOKUP(H92,'Full Trial Balance'!$A$4:$G$2306,5,FALSE)</f>
        <v>369.12</v>
      </c>
      <c r="M92" s="438">
        <f>VLOOKUP(H92,'Full Trial Balance'!$A$4:$G$2306,6,FALSE)</f>
        <v>0</v>
      </c>
      <c r="N92" s="438">
        <f>VLOOKUP(H92,'Full Trial Balance'!$A$4:$G$2306,7,FALSE)</f>
        <v>369.12</v>
      </c>
      <c r="O92" s="485">
        <f t="shared" si="14"/>
        <v>0</v>
      </c>
    </row>
    <row r="93" spans="1:15" x14ac:dyDescent="0.25">
      <c r="A93" s="241" t="str">
        <f t="shared" si="9"/>
        <v>02-01</v>
      </c>
      <c r="B93" s="241" t="str">
        <f t="shared" si="10"/>
        <v>02</v>
      </c>
      <c r="C93" s="241" t="str">
        <f t="shared" si="11"/>
        <v>01</v>
      </c>
      <c r="D93" s="235" t="str">
        <f t="shared" si="12"/>
        <v>02-</v>
      </c>
      <c r="E93" s="241" t="s">
        <v>1250</v>
      </c>
      <c r="F93" s="241" t="str">
        <f t="shared" si="13"/>
        <v>-030-012</v>
      </c>
      <c r="G93" s="235" t="s">
        <v>1438</v>
      </c>
      <c r="H93" s="241" t="s">
        <v>675</v>
      </c>
      <c r="I93" s="435" t="s">
        <v>158</v>
      </c>
      <c r="J93" s="438">
        <f>VLOOKUP(H93,'Full Trial Balance'!$A$4:$G$2306,3,FALSE)</f>
        <v>480</v>
      </c>
      <c r="K93" s="438">
        <f>VLOOKUP(H93,'Full Trial Balance'!$A$4:$G$2306,4,FALSE)</f>
        <v>0</v>
      </c>
      <c r="L93" s="438">
        <f>VLOOKUP(H93,'Full Trial Balance'!$A$4:$G$2306,5,FALSE)</f>
        <v>260.94</v>
      </c>
      <c r="M93" s="438">
        <f>VLOOKUP(H93,'Full Trial Balance'!$A$4:$G$2306,6,FALSE)</f>
        <v>0</v>
      </c>
      <c r="N93" s="438">
        <f>VLOOKUP(H93,'Full Trial Balance'!$A$4:$G$2306,7,FALSE)</f>
        <v>260.94</v>
      </c>
      <c r="O93" s="485">
        <f t="shared" si="14"/>
        <v>0</v>
      </c>
    </row>
    <row r="94" spans="1:15" x14ac:dyDescent="0.25">
      <c r="A94" s="241" t="str">
        <f t="shared" si="9"/>
        <v>02-01</v>
      </c>
      <c r="B94" s="241" t="str">
        <f t="shared" si="10"/>
        <v>02</v>
      </c>
      <c r="C94" s="241" t="str">
        <f t="shared" si="11"/>
        <v>01</v>
      </c>
      <c r="D94" s="235" t="str">
        <f t="shared" si="12"/>
        <v>02-</v>
      </c>
      <c r="E94" s="241" t="s">
        <v>1250</v>
      </c>
      <c r="F94" s="241" t="str">
        <f t="shared" si="13"/>
        <v>-030-050</v>
      </c>
      <c r="G94" s="235" t="str">
        <f>CONCATENATE(D94,E94,F94)</f>
        <v>02-0x-030-050</v>
      </c>
      <c r="H94" s="241" t="s">
        <v>1064</v>
      </c>
      <c r="I94" s="435" t="s">
        <v>1073</v>
      </c>
      <c r="J94" s="438">
        <f>VLOOKUP(H94,'Full Trial Balance'!$A$4:$G$2306,3,FALSE)</f>
        <v>0</v>
      </c>
      <c r="K94" s="438">
        <f>VLOOKUP(H94,'Full Trial Balance'!$A$4:$G$2306,4,FALSE)</f>
        <v>0</v>
      </c>
      <c r="L94" s="438">
        <f>VLOOKUP(H94,'Full Trial Balance'!$A$4:$G$2306,5,FALSE)</f>
        <v>0</v>
      </c>
      <c r="M94" s="438">
        <f>VLOOKUP(H94,'Full Trial Balance'!$A$4:$G$2306,6,FALSE)</f>
        <v>0</v>
      </c>
      <c r="N94" s="438">
        <f>VLOOKUP(H94,'Full Trial Balance'!$A$4:$G$2306,7,FALSE)</f>
        <v>0</v>
      </c>
      <c r="O94" s="485">
        <f t="shared" si="14"/>
        <v>0</v>
      </c>
    </row>
    <row r="95" spans="1:15" x14ac:dyDescent="0.25">
      <c r="A95" s="241" t="str">
        <f t="shared" si="9"/>
        <v>02-01</v>
      </c>
      <c r="B95" s="241" t="str">
        <f t="shared" si="10"/>
        <v>02</v>
      </c>
      <c r="C95" s="241" t="str">
        <f t="shared" si="11"/>
        <v>01</v>
      </c>
      <c r="D95" s="235" t="str">
        <f t="shared" si="12"/>
        <v>02-</v>
      </c>
      <c r="E95" s="241" t="s">
        <v>1250</v>
      </c>
      <c r="F95" s="241" t="str">
        <f t="shared" si="13"/>
        <v>-031-123</v>
      </c>
      <c r="G95" s="235" t="s">
        <v>1253</v>
      </c>
      <c r="H95" s="241" t="s">
        <v>706</v>
      </c>
      <c r="I95" s="435" t="s">
        <v>159</v>
      </c>
      <c r="J95" s="438">
        <f>VLOOKUP(H95,'Full Trial Balance'!$A$4:$G$2306,3,FALSE)</f>
        <v>1200</v>
      </c>
      <c r="K95" s="438">
        <f>VLOOKUP(H95,'Full Trial Balance'!$A$4:$G$2306,4,FALSE)</f>
        <v>0</v>
      </c>
      <c r="L95" s="438">
        <f>VLOOKUP(H95,'Full Trial Balance'!$A$4:$G$2306,5,FALSE)</f>
        <v>497.4</v>
      </c>
      <c r="M95" s="438">
        <f>VLOOKUP(H95,'Full Trial Balance'!$A$4:$G$2306,6,FALSE)</f>
        <v>0</v>
      </c>
      <c r="N95" s="438">
        <f>VLOOKUP(H95,'Full Trial Balance'!$A$4:$G$2306,7,FALSE)</f>
        <v>497.4</v>
      </c>
      <c r="O95" s="485">
        <f t="shared" si="14"/>
        <v>0</v>
      </c>
    </row>
    <row r="96" spans="1:15" x14ac:dyDescent="0.25">
      <c r="A96" s="241" t="str">
        <f t="shared" si="9"/>
        <v>02-01</v>
      </c>
      <c r="B96" s="241" t="str">
        <f t="shared" si="10"/>
        <v>02</v>
      </c>
      <c r="C96" s="241" t="str">
        <f t="shared" si="11"/>
        <v>01</v>
      </c>
      <c r="D96" s="235" t="str">
        <f t="shared" si="12"/>
        <v>02-</v>
      </c>
      <c r="E96" s="241" t="s">
        <v>1250</v>
      </c>
      <c r="F96" s="241" t="str">
        <f t="shared" si="13"/>
        <v>-031-124</v>
      </c>
      <c r="G96" s="235" t="s">
        <v>1447</v>
      </c>
      <c r="H96" s="241" t="s">
        <v>680</v>
      </c>
      <c r="I96" s="435" t="s">
        <v>160</v>
      </c>
      <c r="J96" s="438">
        <f>VLOOKUP(H96,'Full Trial Balance'!$A$4:$G$2306,3,FALSE)</f>
        <v>360</v>
      </c>
      <c r="K96" s="438">
        <f>VLOOKUP(H96,'Full Trial Balance'!$A$4:$G$2306,4,FALSE)</f>
        <v>0</v>
      </c>
      <c r="L96" s="438">
        <f>VLOOKUP(H96,'Full Trial Balance'!$A$4:$G$2306,5,FALSE)</f>
        <v>1295.8399999999999</v>
      </c>
      <c r="M96" s="438">
        <f>VLOOKUP(H96,'Full Trial Balance'!$A$4:$G$2306,6,FALSE)</f>
        <v>0</v>
      </c>
      <c r="N96" s="438">
        <f>VLOOKUP(H96,'Full Trial Balance'!$A$4:$G$2306,7,FALSE)</f>
        <v>1295.8399999999999</v>
      </c>
      <c r="O96" s="485">
        <f t="shared" si="14"/>
        <v>0</v>
      </c>
    </row>
    <row r="97" spans="1:15" s="258" customFormat="1" x14ac:dyDescent="0.25">
      <c r="A97" s="241" t="str">
        <f t="shared" si="9"/>
        <v>02-01</v>
      </c>
      <c r="B97" s="241" t="str">
        <f t="shared" si="10"/>
        <v>02</v>
      </c>
      <c r="C97" s="241" t="str">
        <f t="shared" si="11"/>
        <v>01</v>
      </c>
      <c r="D97" s="489" t="str">
        <f t="shared" si="12"/>
        <v>02-</v>
      </c>
      <c r="E97" s="241" t="s">
        <v>1250</v>
      </c>
      <c r="F97" s="241" t="str">
        <f t="shared" si="13"/>
        <v>-031-125</v>
      </c>
      <c r="G97" s="489" t="s">
        <v>1447</v>
      </c>
      <c r="H97" s="241" t="s">
        <v>719</v>
      </c>
      <c r="I97" s="435" t="s">
        <v>161</v>
      </c>
      <c r="J97" s="438">
        <f>VLOOKUP(H97,'Full Trial Balance'!$A$4:$G$2306,3,FALSE)</f>
        <v>512</v>
      </c>
      <c r="K97" s="438">
        <f>VLOOKUP(H97,'Full Trial Balance'!$A$4:$G$2306,4,FALSE)</f>
        <v>0</v>
      </c>
      <c r="L97" s="438">
        <f>VLOOKUP(H97,'Full Trial Balance'!$A$4:$G$2306,5,FALSE)</f>
        <v>258.35000000000002</v>
      </c>
      <c r="M97" s="438">
        <f>VLOOKUP(H97,'Full Trial Balance'!$A$4:$G$2306,6,FALSE)</f>
        <v>0</v>
      </c>
      <c r="N97" s="438">
        <f>VLOOKUP(H97,'Full Trial Balance'!$A$4:$G$2306,7,FALSE)</f>
        <v>258.35000000000002</v>
      </c>
      <c r="O97" s="485">
        <f t="shared" si="14"/>
        <v>0</v>
      </c>
    </row>
    <row r="98" spans="1:15" x14ac:dyDescent="0.25">
      <c r="A98" s="241" t="str">
        <f t="shared" si="9"/>
        <v>02-01</v>
      </c>
      <c r="B98" s="241" t="str">
        <f t="shared" si="10"/>
        <v>02</v>
      </c>
      <c r="C98" s="241" t="str">
        <f t="shared" si="11"/>
        <v>01</v>
      </c>
      <c r="D98" s="235" t="str">
        <f t="shared" si="12"/>
        <v>02-</v>
      </c>
      <c r="E98" s="241" t="s">
        <v>1250</v>
      </c>
      <c r="F98" s="241" t="str">
        <f t="shared" si="13"/>
        <v>-031-126</v>
      </c>
      <c r="G98" s="429" t="s">
        <v>1443</v>
      </c>
      <c r="H98" s="241" t="s">
        <v>674</v>
      </c>
      <c r="I98" s="435" t="s">
        <v>162</v>
      </c>
      <c r="J98" s="438">
        <f>VLOOKUP(H98,'Full Trial Balance'!$A$4:$G$2306,3,FALSE)</f>
        <v>200</v>
      </c>
      <c r="K98" s="438">
        <f>VLOOKUP(H98,'Full Trial Balance'!$A$4:$G$2306,4,FALSE)</f>
        <v>0</v>
      </c>
      <c r="L98" s="438">
        <f>VLOOKUP(H98,'Full Trial Balance'!$A$4:$G$2306,5,FALSE)</f>
        <v>94.35</v>
      </c>
      <c r="M98" s="438">
        <f>VLOOKUP(H98,'Full Trial Balance'!$A$4:$G$2306,6,FALSE)</f>
        <v>12.35</v>
      </c>
      <c r="N98" s="438">
        <f>VLOOKUP(H98,'Full Trial Balance'!$A$4:$G$2306,7,FALSE)</f>
        <v>82</v>
      </c>
      <c r="O98" s="485">
        <f t="shared" si="14"/>
        <v>0</v>
      </c>
    </row>
    <row r="99" spans="1:15" x14ac:dyDescent="0.25">
      <c r="A99" s="241" t="str">
        <f t="shared" si="9"/>
        <v>02-01</v>
      </c>
      <c r="B99" s="241" t="str">
        <f t="shared" si="10"/>
        <v>02</v>
      </c>
      <c r="C99" s="241" t="str">
        <f t="shared" si="11"/>
        <v>01</v>
      </c>
      <c r="D99" s="235" t="str">
        <f t="shared" si="12"/>
        <v>02-</v>
      </c>
      <c r="E99" s="241" t="s">
        <v>1250</v>
      </c>
      <c r="F99" s="241" t="str">
        <f t="shared" si="13"/>
        <v>-031-127</v>
      </c>
      <c r="G99" s="429" t="s">
        <v>1443</v>
      </c>
      <c r="H99" s="241" t="s">
        <v>711</v>
      </c>
      <c r="I99" s="435" t="s">
        <v>83</v>
      </c>
      <c r="J99" s="438">
        <f>VLOOKUP(H99,'Full Trial Balance'!$A$4:$G$2306,3,FALSE)</f>
        <v>3600</v>
      </c>
      <c r="K99" s="438">
        <f>VLOOKUP(H99,'Full Trial Balance'!$A$4:$G$2306,4,FALSE)</f>
        <v>0</v>
      </c>
      <c r="L99" s="438">
        <f>VLOOKUP(H99,'Full Trial Balance'!$A$4:$G$2306,5,FALSE)</f>
        <v>1587.63</v>
      </c>
      <c r="M99" s="438">
        <f>VLOOKUP(H99,'Full Trial Balance'!$A$4:$G$2306,6,FALSE)</f>
        <v>17.989999999999998</v>
      </c>
      <c r="N99" s="438">
        <f>VLOOKUP(H99,'Full Trial Balance'!$A$4:$G$2306,7,FALSE)</f>
        <v>1569.64</v>
      </c>
      <c r="O99" s="485">
        <f t="shared" si="14"/>
        <v>0</v>
      </c>
    </row>
    <row r="100" spans="1:15" x14ac:dyDescent="0.25">
      <c r="A100" s="241" t="str">
        <f t="shared" si="9"/>
        <v>02-01</v>
      </c>
      <c r="B100" s="241" t="str">
        <f t="shared" si="10"/>
        <v>02</v>
      </c>
      <c r="C100" s="241" t="str">
        <f t="shared" si="11"/>
        <v>01</v>
      </c>
      <c r="D100" s="489" t="str">
        <f t="shared" si="12"/>
        <v>02-</v>
      </c>
      <c r="E100" s="241" t="s">
        <v>1250</v>
      </c>
      <c r="F100" s="241" t="str">
        <f t="shared" si="13"/>
        <v>-031-128</v>
      </c>
      <c r="G100" s="489" t="str">
        <f>CONCATENATE(D100,E100,F100)</f>
        <v>02-0x-031-128</v>
      </c>
      <c r="H100" s="241" t="s">
        <v>715</v>
      </c>
      <c r="I100" s="435" t="s">
        <v>163</v>
      </c>
      <c r="J100" s="438">
        <f>VLOOKUP(H100,'Full Trial Balance'!$A$4:$G$2306,3,FALSE)</f>
        <v>2080</v>
      </c>
      <c r="K100" s="438">
        <f>VLOOKUP(H100,'Full Trial Balance'!$A$4:$G$2306,4,FALSE)</f>
        <v>0</v>
      </c>
      <c r="L100" s="438">
        <f>VLOOKUP(H100,'Full Trial Balance'!$A$4:$G$2306,5,FALSE)</f>
        <v>1078.6400000000001</v>
      </c>
      <c r="M100" s="438">
        <f>VLOOKUP(H100,'Full Trial Balance'!$A$4:$G$2306,6,FALSE)</f>
        <v>0</v>
      </c>
      <c r="N100" s="438">
        <f>VLOOKUP(H100,'Full Trial Balance'!$A$4:$G$2306,7,FALSE)</f>
        <v>1078.6400000000001</v>
      </c>
      <c r="O100" s="485">
        <f t="shared" si="14"/>
        <v>0</v>
      </c>
    </row>
    <row r="101" spans="1:15" x14ac:dyDescent="0.25">
      <c r="A101" s="241" t="str">
        <f t="shared" si="9"/>
        <v>02-01</v>
      </c>
      <c r="B101" s="241" t="str">
        <f t="shared" si="10"/>
        <v>02</v>
      </c>
      <c r="C101" s="241" t="str">
        <f t="shared" si="11"/>
        <v>01</v>
      </c>
      <c r="D101" s="235" t="str">
        <f t="shared" si="12"/>
        <v>02-</v>
      </c>
      <c r="E101" s="241" t="s">
        <v>1250</v>
      </c>
      <c r="F101" s="241" t="str">
        <f t="shared" si="13"/>
        <v>-035-001</v>
      </c>
      <c r="G101" s="235" t="str">
        <f>CONCATENATE(D101,E101,F101)</f>
        <v>02-0x-035-001</v>
      </c>
      <c r="H101" s="241" t="s">
        <v>712</v>
      </c>
      <c r="I101" s="435" t="s">
        <v>70</v>
      </c>
      <c r="J101" s="438">
        <f>VLOOKUP(H101,'Full Trial Balance'!$A$4:$G$2306,3,FALSE)</f>
        <v>4640</v>
      </c>
      <c r="K101" s="438">
        <f>VLOOKUP(H101,'Full Trial Balance'!$A$4:$G$2306,4,FALSE)</f>
        <v>0</v>
      </c>
      <c r="L101" s="438">
        <f>VLOOKUP(H101,'Full Trial Balance'!$A$4:$G$2306,5,FALSE)</f>
        <v>7159.67</v>
      </c>
      <c r="M101" s="438">
        <f>VLOOKUP(H101,'Full Trial Balance'!$A$4:$G$2306,6,FALSE)</f>
        <v>16.34</v>
      </c>
      <c r="N101" s="438">
        <f>VLOOKUP(H101,'Full Trial Balance'!$A$4:$G$2306,7,FALSE)</f>
        <v>7143.33</v>
      </c>
      <c r="O101" s="485">
        <f t="shared" si="14"/>
        <v>-1.4566126083082054E-13</v>
      </c>
    </row>
    <row r="102" spans="1:15" x14ac:dyDescent="0.25">
      <c r="A102" s="241" t="str">
        <f t="shared" si="9"/>
        <v>02-01</v>
      </c>
      <c r="B102" s="241" t="str">
        <f t="shared" si="10"/>
        <v>02</v>
      </c>
      <c r="C102" s="241" t="str">
        <f t="shared" si="11"/>
        <v>01</v>
      </c>
      <c r="D102" s="235" t="str">
        <f t="shared" si="12"/>
        <v>02-</v>
      </c>
      <c r="E102" s="241" t="s">
        <v>1250</v>
      </c>
      <c r="F102" s="241" t="str">
        <f t="shared" si="13"/>
        <v>-035-002</v>
      </c>
      <c r="G102" s="235" t="str">
        <f>CONCATENATE(D102,E102,F102)</f>
        <v>02-0x-035-002</v>
      </c>
      <c r="H102" s="241" t="s">
        <v>713</v>
      </c>
      <c r="I102" s="435" t="s">
        <v>47</v>
      </c>
      <c r="J102" s="438">
        <f>VLOOKUP(H102,'Full Trial Balance'!$A$4:$G$2306,3,FALSE)</f>
        <v>400</v>
      </c>
      <c r="K102" s="438">
        <f>VLOOKUP(H102,'Full Trial Balance'!$A$4:$G$2306,4,FALSE)</f>
        <v>0</v>
      </c>
      <c r="L102" s="438">
        <f>VLOOKUP(H102,'Full Trial Balance'!$A$4:$G$2306,5,FALSE)</f>
        <v>943.41</v>
      </c>
      <c r="M102" s="438">
        <f>VLOOKUP(H102,'Full Trial Balance'!$A$4:$G$2306,6,FALSE)</f>
        <v>170</v>
      </c>
      <c r="N102" s="438">
        <f>VLOOKUP(H102,'Full Trial Balance'!$A$4:$G$2306,7,FALSE)</f>
        <v>773.41</v>
      </c>
      <c r="O102" s="485">
        <f t="shared" si="14"/>
        <v>0</v>
      </c>
    </row>
    <row r="103" spans="1:15" x14ac:dyDescent="0.25">
      <c r="A103" s="241" t="str">
        <f t="shared" si="9"/>
        <v>02-01</v>
      </c>
      <c r="B103" s="241" t="str">
        <f t="shared" si="10"/>
        <v>02</v>
      </c>
      <c r="C103" s="241" t="str">
        <f t="shared" si="11"/>
        <v>01</v>
      </c>
      <c r="D103" s="235" t="str">
        <f t="shared" si="12"/>
        <v>02-</v>
      </c>
      <c r="E103" s="241" t="s">
        <v>1250</v>
      </c>
      <c r="F103" s="241" t="str">
        <f t="shared" si="13"/>
        <v>-035-003</v>
      </c>
      <c r="G103" s="235" t="s">
        <v>1454</v>
      </c>
      <c r="H103" s="241" t="s">
        <v>707</v>
      </c>
      <c r="I103" s="435" t="s">
        <v>48</v>
      </c>
      <c r="J103" s="438">
        <f>VLOOKUP(H103,'Full Trial Balance'!$A$4:$G$2306,3,FALSE)</f>
        <v>600</v>
      </c>
      <c r="K103" s="438">
        <f>VLOOKUP(H103,'Full Trial Balance'!$A$4:$G$2306,4,FALSE)</f>
        <v>0</v>
      </c>
      <c r="L103" s="438">
        <f>VLOOKUP(H103,'Full Trial Balance'!$A$4:$G$2306,5,FALSE)</f>
        <v>224.25</v>
      </c>
      <c r="M103" s="438">
        <f>VLOOKUP(H103,'Full Trial Balance'!$A$4:$G$2306,6,FALSE)</f>
        <v>79.239999999999995</v>
      </c>
      <c r="N103" s="438">
        <f>VLOOKUP(H103,'Full Trial Balance'!$A$4:$G$2306,7,FALSE)</f>
        <v>145.01</v>
      </c>
      <c r="O103" s="485">
        <f t="shared" si="14"/>
        <v>0</v>
      </c>
    </row>
    <row r="104" spans="1:15" x14ac:dyDescent="0.25">
      <c r="A104" s="241" t="str">
        <f t="shared" si="9"/>
        <v>02-01</v>
      </c>
      <c r="B104" s="241" t="str">
        <f t="shared" si="10"/>
        <v>02</v>
      </c>
      <c r="C104" s="241" t="str">
        <f t="shared" si="11"/>
        <v>01</v>
      </c>
      <c r="D104" s="235" t="str">
        <f t="shared" si="12"/>
        <v>02-</v>
      </c>
      <c r="E104" s="241" t="s">
        <v>1250</v>
      </c>
      <c r="F104" s="241" t="str">
        <f t="shared" si="13"/>
        <v>-035-004</v>
      </c>
      <c r="G104" s="235" t="s">
        <v>1454</v>
      </c>
      <c r="H104" s="241" t="s">
        <v>693</v>
      </c>
      <c r="I104" s="435" t="s">
        <v>49</v>
      </c>
      <c r="J104" s="438">
        <f>VLOOKUP(H104,'Full Trial Balance'!$A$4:$G$2306,3,FALSE)</f>
        <v>1600</v>
      </c>
      <c r="K104" s="438">
        <f>VLOOKUP(H104,'Full Trial Balance'!$A$4:$G$2306,4,FALSE)</f>
        <v>0</v>
      </c>
      <c r="L104" s="438">
        <f>VLOOKUP(H104,'Full Trial Balance'!$A$4:$G$2306,5,FALSE)</f>
        <v>393.11</v>
      </c>
      <c r="M104" s="438">
        <f>VLOOKUP(H104,'Full Trial Balance'!$A$4:$G$2306,6,FALSE)</f>
        <v>0</v>
      </c>
      <c r="N104" s="438">
        <f>VLOOKUP(H104,'Full Trial Balance'!$A$4:$G$2306,7,FALSE)</f>
        <v>393.11</v>
      </c>
      <c r="O104" s="485">
        <f t="shared" si="14"/>
        <v>0</v>
      </c>
    </row>
    <row r="105" spans="1:15" x14ac:dyDescent="0.25">
      <c r="A105" s="241" t="str">
        <f t="shared" si="9"/>
        <v>02-01</v>
      </c>
      <c r="B105" s="241" t="str">
        <f t="shared" si="10"/>
        <v>02</v>
      </c>
      <c r="C105" s="241" t="str">
        <f t="shared" si="11"/>
        <v>01</v>
      </c>
      <c r="D105" s="235" t="str">
        <f t="shared" si="12"/>
        <v>02-</v>
      </c>
      <c r="E105" s="241" t="s">
        <v>1250</v>
      </c>
      <c r="F105" s="241" t="str">
        <f t="shared" si="13"/>
        <v>-035-005</v>
      </c>
      <c r="G105" s="235" t="s">
        <v>1459</v>
      </c>
      <c r="H105" s="241" t="s">
        <v>684</v>
      </c>
      <c r="I105" s="435" t="s">
        <v>50</v>
      </c>
      <c r="J105" s="438">
        <f>VLOOKUP(H105,'Full Trial Balance'!$A$4:$G$2306,3,FALSE)</f>
        <v>2240</v>
      </c>
      <c r="K105" s="438">
        <f>VLOOKUP(H105,'Full Trial Balance'!$A$4:$G$2306,4,FALSE)</f>
        <v>0</v>
      </c>
      <c r="L105" s="438">
        <f>VLOOKUP(H105,'Full Trial Balance'!$A$4:$G$2306,5,FALSE)</f>
        <v>692.05</v>
      </c>
      <c r="M105" s="438">
        <f>VLOOKUP(H105,'Full Trial Balance'!$A$4:$G$2306,6,FALSE)</f>
        <v>0</v>
      </c>
      <c r="N105" s="438">
        <f>VLOOKUP(H105,'Full Trial Balance'!$A$4:$G$2306,7,FALSE)</f>
        <v>692.05</v>
      </c>
      <c r="O105" s="485">
        <f t="shared" si="14"/>
        <v>0</v>
      </c>
    </row>
    <row r="106" spans="1:15" x14ac:dyDescent="0.25">
      <c r="A106" s="241" t="str">
        <f t="shared" si="9"/>
        <v>02-01</v>
      </c>
      <c r="B106" s="241" t="str">
        <f t="shared" si="10"/>
        <v>02</v>
      </c>
      <c r="C106" s="241" t="str">
        <f t="shared" si="11"/>
        <v>01</v>
      </c>
      <c r="D106" s="235" t="str">
        <f t="shared" si="12"/>
        <v>02-</v>
      </c>
      <c r="E106" s="241" t="s">
        <v>1250</v>
      </c>
      <c r="F106" s="241" t="str">
        <f t="shared" si="13"/>
        <v>-035-006</v>
      </c>
      <c r="G106" s="235" t="s">
        <v>1459</v>
      </c>
      <c r="H106" s="241" t="s">
        <v>1065</v>
      </c>
      <c r="I106" s="435" t="s">
        <v>1061</v>
      </c>
      <c r="J106" s="438">
        <f>VLOOKUP(H106,'Full Trial Balance'!$A$4:$G$2306,3,FALSE)</f>
        <v>2400</v>
      </c>
      <c r="K106" s="438">
        <f>VLOOKUP(H106,'Full Trial Balance'!$A$4:$G$2306,4,FALSE)</f>
        <v>0</v>
      </c>
      <c r="L106" s="438">
        <f>VLOOKUP(H106,'Full Trial Balance'!$A$4:$G$2306,5,FALSE)</f>
        <v>1961.79</v>
      </c>
      <c r="M106" s="438">
        <f>VLOOKUP(H106,'Full Trial Balance'!$A$4:$G$2306,6,FALSE)</f>
        <v>0</v>
      </c>
      <c r="N106" s="438">
        <f>VLOOKUP(H106,'Full Trial Balance'!$A$4:$G$2306,7,FALSE)</f>
        <v>1961.79</v>
      </c>
      <c r="O106" s="485">
        <f t="shared" si="14"/>
        <v>0</v>
      </c>
    </row>
    <row r="107" spans="1:15" x14ac:dyDescent="0.25">
      <c r="A107" s="241" t="str">
        <f t="shared" si="9"/>
        <v>02-01</v>
      </c>
      <c r="B107" s="241" t="str">
        <f t="shared" si="10"/>
        <v>02</v>
      </c>
      <c r="C107" s="241" t="str">
        <f t="shared" si="11"/>
        <v>01</v>
      </c>
      <c r="D107" s="235" t="str">
        <f t="shared" si="12"/>
        <v>02-</v>
      </c>
      <c r="E107" s="241" t="s">
        <v>1250</v>
      </c>
      <c r="F107" s="241" t="str">
        <f t="shared" si="13"/>
        <v>-035-007</v>
      </c>
      <c r="G107" s="235" t="str">
        <f t="shared" ref="G107:G113" si="15">CONCATENATE(D107,E107,F107)</f>
        <v>02-0x-035-007</v>
      </c>
      <c r="H107" s="241" t="s">
        <v>673</v>
      </c>
      <c r="I107" s="435" t="s">
        <v>51</v>
      </c>
      <c r="J107" s="438">
        <f>VLOOKUP(H107,'Full Trial Balance'!$A$4:$G$2306,3,FALSE)</f>
        <v>960</v>
      </c>
      <c r="K107" s="438">
        <f>VLOOKUP(H107,'Full Trial Balance'!$A$4:$G$2306,4,FALSE)</f>
        <v>0</v>
      </c>
      <c r="L107" s="438">
        <f>VLOOKUP(H107,'Full Trial Balance'!$A$4:$G$2306,5,FALSE)</f>
        <v>302.14999999999998</v>
      </c>
      <c r="M107" s="438">
        <f>VLOOKUP(H107,'Full Trial Balance'!$A$4:$G$2306,6,FALSE)</f>
        <v>0</v>
      </c>
      <c r="N107" s="438">
        <f>VLOOKUP(H107,'Full Trial Balance'!$A$4:$G$2306,7,FALSE)</f>
        <v>302.14999999999998</v>
      </c>
      <c r="O107" s="485">
        <f t="shared" si="14"/>
        <v>0</v>
      </c>
    </row>
    <row r="108" spans="1:15" x14ac:dyDescent="0.25">
      <c r="A108" s="241" t="str">
        <f t="shared" si="9"/>
        <v>02-01</v>
      </c>
      <c r="B108" s="241" t="str">
        <f t="shared" si="10"/>
        <v>02</v>
      </c>
      <c r="C108" s="241" t="str">
        <f t="shared" si="11"/>
        <v>01</v>
      </c>
      <c r="D108" s="235" t="str">
        <f t="shared" si="12"/>
        <v>02-</v>
      </c>
      <c r="E108" s="241" t="s">
        <v>1250</v>
      </c>
      <c r="F108" s="241" t="str">
        <f t="shared" si="13"/>
        <v>-035-008</v>
      </c>
      <c r="G108" s="235" t="str">
        <f t="shared" si="15"/>
        <v>02-0x-035-008</v>
      </c>
      <c r="H108" s="241" t="s">
        <v>702</v>
      </c>
      <c r="I108" s="435" t="s">
        <v>164</v>
      </c>
      <c r="J108" s="438">
        <f>VLOOKUP(H108,'Full Trial Balance'!$A$4:$G$2306,3,FALSE)</f>
        <v>4800</v>
      </c>
      <c r="K108" s="438">
        <f>VLOOKUP(H108,'Full Trial Balance'!$A$4:$G$2306,4,FALSE)</f>
        <v>0</v>
      </c>
      <c r="L108" s="438">
        <f>VLOOKUP(H108,'Full Trial Balance'!$A$4:$G$2306,5,FALSE)</f>
        <v>3649.73</v>
      </c>
      <c r="M108" s="438">
        <f>VLOOKUP(H108,'Full Trial Balance'!$A$4:$G$2306,6,FALSE)</f>
        <v>0</v>
      </c>
      <c r="N108" s="438">
        <f>VLOOKUP(H108,'Full Trial Balance'!$A$4:$G$2306,7,FALSE)</f>
        <v>3649.73</v>
      </c>
      <c r="O108" s="485">
        <f t="shared" si="14"/>
        <v>0</v>
      </c>
    </row>
    <row r="109" spans="1:15" x14ac:dyDescent="0.25">
      <c r="A109" s="241" t="str">
        <f t="shared" si="9"/>
        <v>02-01</v>
      </c>
      <c r="B109" s="241" t="str">
        <f t="shared" si="10"/>
        <v>02</v>
      </c>
      <c r="C109" s="241" t="str">
        <f t="shared" si="11"/>
        <v>01</v>
      </c>
      <c r="D109" s="235" t="str">
        <f t="shared" si="12"/>
        <v>02-</v>
      </c>
      <c r="E109" s="241" t="s">
        <v>1250</v>
      </c>
      <c r="F109" s="241" t="str">
        <f t="shared" si="13"/>
        <v>-035-009</v>
      </c>
      <c r="G109" s="235" t="str">
        <f t="shared" si="15"/>
        <v>02-0x-035-009</v>
      </c>
      <c r="H109" s="241" t="s">
        <v>694</v>
      </c>
      <c r="I109" s="435" t="s">
        <v>165</v>
      </c>
      <c r="J109" s="438">
        <f>VLOOKUP(H109,'Full Trial Balance'!$A$4:$G$2306,3,FALSE)</f>
        <v>480</v>
      </c>
      <c r="K109" s="438">
        <f>VLOOKUP(H109,'Full Trial Balance'!$A$4:$G$2306,4,FALSE)</f>
        <v>0</v>
      </c>
      <c r="L109" s="438">
        <f>VLOOKUP(H109,'Full Trial Balance'!$A$4:$G$2306,5,FALSE)</f>
        <v>150.81</v>
      </c>
      <c r="M109" s="438">
        <f>VLOOKUP(H109,'Full Trial Balance'!$A$4:$G$2306,6,FALSE)</f>
        <v>6.68</v>
      </c>
      <c r="N109" s="438">
        <f>VLOOKUP(H109,'Full Trial Balance'!$A$4:$G$2306,7,FALSE)</f>
        <v>144.13</v>
      </c>
      <c r="O109" s="485">
        <f t="shared" si="14"/>
        <v>-7.1054273576010019E-15</v>
      </c>
    </row>
    <row r="110" spans="1:15" x14ac:dyDescent="0.25">
      <c r="A110" s="241" t="str">
        <f t="shared" si="9"/>
        <v>02-01</v>
      </c>
      <c r="B110" s="241" t="str">
        <f t="shared" si="10"/>
        <v>02</v>
      </c>
      <c r="C110" s="241" t="str">
        <f t="shared" si="11"/>
        <v>01</v>
      </c>
      <c r="D110" s="235" t="str">
        <f t="shared" si="12"/>
        <v>02-</v>
      </c>
      <c r="E110" s="241" t="s">
        <v>1250</v>
      </c>
      <c r="F110" s="241" t="str">
        <f t="shared" si="13"/>
        <v>-035-010</v>
      </c>
      <c r="G110" s="235" t="str">
        <f t="shared" si="15"/>
        <v>02-0x-035-010</v>
      </c>
      <c r="H110" s="241" t="s">
        <v>1066</v>
      </c>
      <c r="I110" s="435" t="s">
        <v>1063</v>
      </c>
      <c r="J110" s="438">
        <f>VLOOKUP(H110,'Full Trial Balance'!$A$4:$G$2306,3,FALSE)</f>
        <v>760</v>
      </c>
      <c r="K110" s="438">
        <f>VLOOKUP(H110,'Full Trial Balance'!$A$4:$G$2306,4,FALSE)</f>
        <v>0</v>
      </c>
      <c r="L110" s="438">
        <f>VLOOKUP(H110,'Full Trial Balance'!$A$4:$G$2306,5,FALSE)</f>
        <v>287.2</v>
      </c>
      <c r="M110" s="438">
        <f>VLOOKUP(H110,'Full Trial Balance'!$A$4:$G$2306,6,FALSE)</f>
        <v>0</v>
      </c>
      <c r="N110" s="438">
        <f>VLOOKUP(H110,'Full Trial Balance'!$A$4:$G$2306,7,FALSE)</f>
        <v>287.2</v>
      </c>
      <c r="O110" s="485">
        <f t="shared" si="14"/>
        <v>0</v>
      </c>
    </row>
    <row r="111" spans="1:15" x14ac:dyDescent="0.25">
      <c r="A111" s="241" t="str">
        <f t="shared" si="9"/>
        <v>02-01</v>
      </c>
      <c r="B111" s="241" t="str">
        <f t="shared" si="10"/>
        <v>02</v>
      </c>
      <c r="C111" s="241" t="str">
        <f t="shared" si="11"/>
        <v>01</v>
      </c>
      <c r="D111" s="235" t="str">
        <f t="shared" si="12"/>
        <v>02-</v>
      </c>
      <c r="E111" s="241" t="s">
        <v>1250</v>
      </c>
      <c r="F111" s="241" t="str">
        <f t="shared" si="13"/>
        <v>-038-110</v>
      </c>
      <c r="G111" s="235" t="str">
        <f t="shared" si="15"/>
        <v>02-0x-038-110</v>
      </c>
      <c r="H111" s="241" t="s">
        <v>672</v>
      </c>
      <c r="I111" s="435" t="s">
        <v>166</v>
      </c>
      <c r="J111" s="438">
        <f>VLOOKUP(H111,'Full Trial Balance'!$A$4:$G$2306,3,FALSE)</f>
        <v>2800</v>
      </c>
      <c r="K111" s="438">
        <f>VLOOKUP(H111,'Full Trial Balance'!$A$4:$G$2306,4,FALSE)</f>
        <v>0</v>
      </c>
      <c r="L111" s="438">
        <f>VLOOKUP(H111,'Full Trial Balance'!$A$4:$G$2306,5,FALSE)</f>
        <v>2194.8000000000002</v>
      </c>
      <c r="M111" s="438">
        <f>VLOOKUP(H111,'Full Trial Balance'!$A$4:$G$2306,6,FALSE)</f>
        <v>0</v>
      </c>
      <c r="N111" s="438">
        <f>VLOOKUP(H111,'Full Trial Balance'!$A$4:$G$2306,7,FALSE)</f>
        <v>2194.8000000000002</v>
      </c>
      <c r="O111" s="485">
        <f t="shared" si="14"/>
        <v>0</v>
      </c>
    </row>
    <row r="112" spans="1:15" x14ac:dyDescent="0.25">
      <c r="A112" s="241" t="str">
        <f t="shared" si="9"/>
        <v>02-01</v>
      </c>
      <c r="B112" s="241" t="str">
        <f t="shared" si="10"/>
        <v>02</v>
      </c>
      <c r="C112" s="241" t="str">
        <f t="shared" si="11"/>
        <v>01</v>
      </c>
      <c r="D112" s="235" t="str">
        <f t="shared" si="12"/>
        <v>02-</v>
      </c>
      <c r="E112" s="241" t="s">
        <v>1250</v>
      </c>
      <c r="F112" s="241" t="str">
        <f t="shared" si="13"/>
        <v>-038-111</v>
      </c>
      <c r="G112" s="235" t="str">
        <f t="shared" si="15"/>
        <v>02-0x-038-111</v>
      </c>
      <c r="H112" s="241" t="s">
        <v>687</v>
      </c>
      <c r="I112" s="435" t="s">
        <v>52</v>
      </c>
      <c r="J112" s="438">
        <f>VLOOKUP(H112,'Full Trial Balance'!$A$4:$G$2306,3,FALSE)</f>
        <v>14720</v>
      </c>
      <c r="K112" s="438">
        <f>VLOOKUP(H112,'Full Trial Balance'!$A$4:$G$2306,4,FALSE)</f>
        <v>0</v>
      </c>
      <c r="L112" s="438">
        <f>VLOOKUP(H112,'Full Trial Balance'!$A$4:$G$2306,5,FALSE)</f>
        <v>4512.5</v>
      </c>
      <c r="M112" s="438">
        <f>VLOOKUP(H112,'Full Trial Balance'!$A$4:$G$2306,6,FALSE)</f>
        <v>306</v>
      </c>
      <c r="N112" s="438">
        <f>VLOOKUP(H112,'Full Trial Balance'!$A$4:$G$2306,7,FALSE)</f>
        <v>4206.5</v>
      </c>
      <c r="O112" s="485">
        <f t="shared" si="14"/>
        <v>0</v>
      </c>
    </row>
    <row r="113" spans="1:15" x14ac:dyDescent="0.25">
      <c r="A113" s="241" t="str">
        <f t="shared" si="9"/>
        <v>02-01</v>
      </c>
      <c r="B113" s="241" t="str">
        <f t="shared" si="10"/>
        <v>02</v>
      </c>
      <c r="C113" s="241" t="str">
        <f t="shared" si="11"/>
        <v>01</v>
      </c>
      <c r="D113" s="235" t="str">
        <f t="shared" si="12"/>
        <v>02-</v>
      </c>
      <c r="E113" s="241" t="s">
        <v>1250</v>
      </c>
      <c r="F113" s="241" t="str">
        <f t="shared" si="13"/>
        <v>-038-113</v>
      </c>
      <c r="G113" s="235" t="str">
        <f t="shared" si="15"/>
        <v>02-0x-038-113</v>
      </c>
      <c r="H113" s="241" t="s">
        <v>699</v>
      </c>
      <c r="I113" s="435" t="s">
        <v>167</v>
      </c>
      <c r="J113" s="438">
        <f>VLOOKUP(H113,'Full Trial Balance'!$A$4:$G$2306,3,FALSE)</f>
        <v>18240</v>
      </c>
      <c r="K113" s="438">
        <f>VLOOKUP(H113,'Full Trial Balance'!$A$4:$G$2306,4,FALSE)</f>
        <v>0</v>
      </c>
      <c r="L113" s="438">
        <f>VLOOKUP(H113,'Full Trial Balance'!$A$4:$G$2306,5,FALSE)</f>
        <v>9357.26</v>
      </c>
      <c r="M113" s="438">
        <f>VLOOKUP(H113,'Full Trial Balance'!$A$4:$G$2306,6,FALSE)</f>
        <v>638.05999999999995</v>
      </c>
      <c r="N113" s="438">
        <f>VLOOKUP(H113,'Full Trial Balance'!$A$4:$G$2306,7,FALSE)</f>
        <v>8719.2000000000007</v>
      </c>
      <c r="O113" s="485">
        <f t="shared" si="14"/>
        <v>0</v>
      </c>
    </row>
    <row r="114" spans="1:15" x14ac:dyDescent="0.25">
      <c r="A114" s="241" t="str">
        <f t="shared" si="9"/>
        <v>02-01</v>
      </c>
      <c r="B114" s="241" t="str">
        <f t="shared" si="10"/>
        <v>02</v>
      </c>
      <c r="C114" s="241" t="str">
        <f t="shared" si="11"/>
        <v>01</v>
      </c>
      <c r="D114" s="235" t="str">
        <f t="shared" si="12"/>
        <v>02-</v>
      </c>
      <c r="E114" s="241" t="s">
        <v>1250</v>
      </c>
      <c r="F114" s="241" t="str">
        <f t="shared" si="13"/>
        <v>-040-018</v>
      </c>
      <c r="G114" s="235" t="s">
        <v>1464</v>
      </c>
      <c r="H114" s="241" t="s">
        <v>686</v>
      </c>
      <c r="I114" s="435" t="s">
        <v>1151</v>
      </c>
      <c r="J114" s="438">
        <f>VLOOKUP(H114,'Full Trial Balance'!$A$4:$G$2306,3,FALSE)</f>
        <v>550</v>
      </c>
      <c r="K114" s="438">
        <f>VLOOKUP(H114,'Full Trial Balance'!$A$4:$G$2306,4,FALSE)</f>
        <v>0</v>
      </c>
      <c r="L114" s="438">
        <f>VLOOKUP(H114,'Full Trial Balance'!$A$4:$G$2306,5,FALSE)</f>
        <v>0</v>
      </c>
      <c r="M114" s="438">
        <f>VLOOKUP(H114,'Full Trial Balance'!$A$4:$G$2306,6,FALSE)</f>
        <v>0</v>
      </c>
      <c r="N114" s="438">
        <f>VLOOKUP(H114,'Full Trial Balance'!$A$4:$G$2306,7,FALSE)</f>
        <v>0</v>
      </c>
      <c r="O114" s="485">
        <f t="shared" si="14"/>
        <v>0</v>
      </c>
    </row>
    <row r="115" spans="1:15" x14ac:dyDescent="0.25">
      <c r="A115" s="241" t="str">
        <f t="shared" si="9"/>
        <v>02-01</v>
      </c>
      <c r="B115" s="241" t="str">
        <f t="shared" si="10"/>
        <v>02</v>
      </c>
      <c r="C115" s="241" t="str">
        <f t="shared" si="11"/>
        <v>01</v>
      </c>
      <c r="D115" s="235" t="str">
        <f t="shared" si="12"/>
        <v>02-</v>
      </c>
      <c r="E115" s="241" t="s">
        <v>1250</v>
      </c>
      <c r="F115" s="241" t="str">
        <f t="shared" si="13"/>
        <v>-040-019</v>
      </c>
      <c r="G115" s="235" t="s">
        <v>1464</v>
      </c>
      <c r="H115" s="241" t="s">
        <v>685</v>
      </c>
      <c r="I115" s="435" t="s">
        <v>180</v>
      </c>
      <c r="J115" s="438">
        <f>VLOOKUP(H115,'Full Trial Balance'!$A$4:$G$2306,3,FALSE)</f>
        <v>240</v>
      </c>
      <c r="K115" s="438">
        <f>VLOOKUP(H115,'Full Trial Balance'!$A$4:$G$2306,4,FALSE)</f>
        <v>0</v>
      </c>
      <c r="L115" s="438">
        <f>VLOOKUP(H115,'Full Trial Balance'!$A$4:$G$2306,5,FALSE)</f>
        <v>68.8</v>
      </c>
      <c r="M115" s="438">
        <f>VLOOKUP(H115,'Full Trial Balance'!$A$4:$G$2306,6,FALSE)</f>
        <v>0</v>
      </c>
      <c r="N115" s="438">
        <f>VLOOKUP(H115,'Full Trial Balance'!$A$4:$G$2306,7,FALSE)</f>
        <v>68.8</v>
      </c>
      <c r="O115" s="485">
        <f t="shared" si="14"/>
        <v>0</v>
      </c>
    </row>
    <row r="116" spans="1:15" x14ac:dyDescent="0.25">
      <c r="A116" s="241" t="str">
        <f t="shared" si="9"/>
        <v>02-01</v>
      </c>
      <c r="B116" s="241" t="str">
        <f t="shared" si="10"/>
        <v>02</v>
      </c>
      <c r="C116" s="241" t="str">
        <f t="shared" si="11"/>
        <v>01</v>
      </c>
      <c r="D116" s="235" t="str">
        <f t="shared" si="12"/>
        <v>02-</v>
      </c>
      <c r="E116" s="241" t="s">
        <v>1250</v>
      </c>
      <c r="F116" s="241" t="str">
        <f t="shared" si="13"/>
        <v>-040-020</v>
      </c>
      <c r="G116" s="235" t="s">
        <v>1464</v>
      </c>
      <c r="H116" s="241" t="s">
        <v>690</v>
      </c>
      <c r="I116" s="435" t="s">
        <v>1152</v>
      </c>
      <c r="J116" s="438">
        <f>VLOOKUP(H116,'Full Trial Balance'!$A$4:$G$2306,3,FALSE)</f>
        <v>2950</v>
      </c>
      <c r="K116" s="438">
        <f>VLOOKUP(H116,'Full Trial Balance'!$A$4:$G$2306,4,FALSE)</f>
        <v>0</v>
      </c>
      <c r="L116" s="438">
        <f>VLOOKUP(H116,'Full Trial Balance'!$A$4:$G$2306,5,FALSE)</f>
        <v>454.93</v>
      </c>
      <c r="M116" s="438">
        <f>VLOOKUP(H116,'Full Trial Balance'!$A$4:$G$2306,6,FALSE)</f>
        <v>0</v>
      </c>
      <c r="N116" s="438">
        <f>VLOOKUP(H116,'Full Trial Balance'!$A$4:$G$2306,7,FALSE)</f>
        <v>454.93</v>
      </c>
      <c r="O116" s="485">
        <f t="shared" si="14"/>
        <v>0</v>
      </c>
    </row>
    <row r="117" spans="1:15" x14ac:dyDescent="0.25">
      <c r="A117" s="241" t="str">
        <f t="shared" si="9"/>
        <v>02-01</v>
      </c>
      <c r="B117" s="241" t="str">
        <f t="shared" si="10"/>
        <v>02</v>
      </c>
      <c r="C117" s="241" t="str">
        <f t="shared" si="11"/>
        <v>01</v>
      </c>
      <c r="D117" s="235" t="str">
        <f t="shared" si="12"/>
        <v>02-</v>
      </c>
      <c r="E117" s="241" t="s">
        <v>1250</v>
      </c>
      <c r="F117" s="241" t="str">
        <f t="shared" si="13"/>
        <v>-040-022</v>
      </c>
      <c r="G117" s="235" t="str">
        <f>CONCATENATE(D117,E117,F117)</f>
        <v>02-0x-040-022</v>
      </c>
      <c r="H117" s="241" t="s">
        <v>720</v>
      </c>
      <c r="I117" s="435" t="s">
        <v>53</v>
      </c>
      <c r="J117" s="438">
        <f>VLOOKUP(H117,'Full Trial Balance'!$A$4:$G$2306,3,FALSE)</f>
        <v>950</v>
      </c>
      <c r="K117" s="438">
        <f>VLOOKUP(H117,'Full Trial Balance'!$A$4:$G$2306,4,FALSE)</f>
        <v>0</v>
      </c>
      <c r="L117" s="438">
        <f>VLOOKUP(H117,'Full Trial Balance'!$A$4:$G$2306,5,FALSE)</f>
        <v>74.17</v>
      </c>
      <c r="M117" s="438">
        <f>VLOOKUP(H117,'Full Trial Balance'!$A$4:$G$2306,6,FALSE)</f>
        <v>0</v>
      </c>
      <c r="N117" s="438">
        <f>VLOOKUP(H117,'Full Trial Balance'!$A$4:$G$2306,7,FALSE)</f>
        <v>74.17</v>
      </c>
      <c r="O117" s="485">
        <f t="shared" si="14"/>
        <v>0</v>
      </c>
    </row>
    <row r="118" spans="1:15" x14ac:dyDescent="0.25">
      <c r="A118" s="241" t="str">
        <f t="shared" si="9"/>
        <v>02-01</v>
      </c>
      <c r="B118" s="241" t="str">
        <f t="shared" si="10"/>
        <v>02</v>
      </c>
      <c r="C118" s="241" t="str">
        <f t="shared" si="11"/>
        <v>01</v>
      </c>
      <c r="D118" s="235" t="str">
        <f t="shared" si="12"/>
        <v>02-</v>
      </c>
      <c r="E118" s="241" t="s">
        <v>1250</v>
      </c>
      <c r="F118" s="241" t="str">
        <f t="shared" si="13"/>
        <v>-040-024</v>
      </c>
      <c r="G118" s="235" t="str">
        <f>CONCATENATE(D118,E118,F118)</f>
        <v>02-0x-040-024</v>
      </c>
      <c r="H118" s="241" t="s">
        <v>716</v>
      </c>
      <c r="I118" s="435" t="s">
        <v>71</v>
      </c>
      <c r="J118" s="438">
        <f>VLOOKUP(H118,'Full Trial Balance'!$A$4:$G$2306,3,FALSE)</f>
        <v>400</v>
      </c>
      <c r="K118" s="438">
        <f>VLOOKUP(H118,'Full Trial Balance'!$A$4:$G$2306,4,FALSE)</f>
        <v>0</v>
      </c>
      <c r="L118" s="438">
        <f>VLOOKUP(H118,'Full Trial Balance'!$A$4:$G$2306,5,FALSE)</f>
        <v>102.07</v>
      </c>
      <c r="M118" s="438">
        <f>VLOOKUP(H118,'Full Trial Balance'!$A$4:$G$2306,6,FALSE)</f>
        <v>0</v>
      </c>
      <c r="N118" s="438">
        <f>VLOOKUP(H118,'Full Trial Balance'!$A$4:$G$2306,7,FALSE)</f>
        <v>102.07</v>
      </c>
      <c r="O118" s="485">
        <f t="shared" si="14"/>
        <v>0</v>
      </c>
    </row>
    <row r="119" spans="1:15" x14ac:dyDescent="0.25">
      <c r="A119" s="241" t="str">
        <f t="shared" si="9"/>
        <v>02-01</v>
      </c>
      <c r="B119" s="241" t="str">
        <f t="shared" si="10"/>
        <v>02</v>
      </c>
      <c r="C119" s="241" t="str">
        <f t="shared" si="11"/>
        <v>01</v>
      </c>
      <c r="D119" s="235" t="str">
        <f t="shared" si="12"/>
        <v>02-</v>
      </c>
      <c r="E119" s="241" t="s">
        <v>1250</v>
      </c>
      <c r="F119" s="241" t="str">
        <f t="shared" si="13"/>
        <v>-040-025</v>
      </c>
      <c r="G119" s="235" t="str">
        <f>CONCATENATE(D119,E119,F119)</f>
        <v>02-0x-040-025</v>
      </c>
      <c r="H119" s="241" t="s">
        <v>705</v>
      </c>
      <c r="I119" s="435" t="s">
        <v>54</v>
      </c>
      <c r="J119" s="438">
        <f>VLOOKUP(H119,'Full Trial Balance'!$A$4:$G$2306,3,FALSE)</f>
        <v>2500</v>
      </c>
      <c r="K119" s="438">
        <f>VLOOKUP(H119,'Full Trial Balance'!$A$4:$G$2306,4,FALSE)</f>
        <v>0</v>
      </c>
      <c r="L119" s="438">
        <f>VLOOKUP(H119,'Full Trial Balance'!$A$4:$G$2306,5,FALSE)</f>
        <v>191.13</v>
      </c>
      <c r="M119" s="438">
        <f>VLOOKUP(H119,'Full Trial Balance'!$A$4:$G$2306,6,FALSE)</f>
        <v>0</v>
      </c>
      <c r="N119" s="438">
        <f>VLOOKUP(H119,'Full Trial Balance'!$A$4:$G$2306,7,FALSE)</f>
        <v>191.13</v>
      </c>
      <c r="O119" s="485">
        <f t="shared" si="14"/>
        <v>0</v>
      </c>
    </row>
    <row r="120" spans="1:15" x14ac:dyDescent="0.25">
      <c r="A120" s="241" t="str">
        <f t="shared" si="9"/>
        <v>02-01</v>
      </c>
      <c r="B120" s="241" t="str">
        <f t="shared" si="10"/>
        <v>02</v>
      </c>
      <c r="C120" s="241" t="str">
        <f t="shared" si="11"/>
        <v>01</v>
      </c>
      <c r="D120" s="235" t="str">
        <f t="shared" si="12"/>
        <v>02-</v>
      </c>
      <c r="E120" s="241" t="s">
        <v>1250</v>
      </c>
      <c r="F120" s="241" t="str">
        <f t="shared" si="13"/>
        <v>-040-026</v>
      </c>
      <c r="G120" s="235" t="str">
        <f>CONCATENATE(D120,E120,F120)</f>
        <v>02-0x-040-026</v>
      </c>
      <c r="H120" s="241" t="s">
        <v>710</v>
      </c>
      <c r="I120" s="435" t="s">
        <v>170</v>
      </c>
      <c r="J120" s="438">
        <f>VLOOKUP(H120,'Full Trial Balance'!$A$4:$G$2306,3,FALSE)</f>
        <v>4480</v>
      </c>
      <c r="K120" s="438">
        <f>VLOOKUP(H120,'Full Trial Balance'!$A$4:$G$2306,4,FALSE)</f>
        <v>0</v>
      </c>
      <c r="L120" s="438">
        <f>VLOOKUP(H120,'Full Trial Balance'!$A$4:$G$2306,5,FALSE)</f>
        <v>1487.24</v>
      </c>
      <c r="M120" s="438">
        <f>VLOOKUP(H120,'Full Trial Balance'!$A$4:$G$2306,6,FALSE)</f>
        <v>0</v>
      </c>
      <c r="N120" s="438">
        <f>VLOOKUP(H120,'Full Trial Balance'!$A$4:$G$2306,7,FALSE)</f>
        <v>1487.24</v>
      </c>
      <c r="O120" s="485">
        <f t="shared" si="14"/>
        <v>0</v>
      </c>
    </row>
    <row r="121" spans="1:15" x14ac:dyDescent="0.25">
      <c r="A121" s="241" t="str">
        <f t="shared" si="9"/>
        <v>02-01</v>
      </c>
      <c r="B121" s="241" t="str">
        <f t="shared" si="10"/>
        <v>02</v>
      </c>
      <c r="C121" s="241" t="str">
        <f t="shared" si="11"/>
        <v>01</v>
      </c>
      <c r="D121" s="235" t="str">
        <f t="shared" si="12"/>
        <v>02-</v>
      </c>
      <c r="E121" s="241" t="s">
        <v>1250</v>
      </c>
      <c r="F121" s="241" t="str">
        <f t="shared" si="13"/>
        <v>-040-027</v>
      </c>
      <c r="G121" s="235" t="s">
        <v>1433</v>
      </c>
      <c r="H121" s="241" t="s">
        <v>677</v>
      </c>
      <c r="I121" s="435" t="s">
        <v>171</v>
      </c>
      <c r="J121" s="438">
        <f>VLOOKUP(H121,'Full Trial Balance'!$A$4:$G$2306,3,FALSE)</f>
        <v>4400</v>
      </c>
      <c r="K121" s="438">
        <f>VLOOKUP(H121,'Full Trial Balance'!$A$4:$G$2306,4,FALSE)</f>
        <v>0</v>
      </c>
      <c r="L121" s="438">
        <f>VLOOKUP(H121,'Full Trial Balance'!$A$4:$G$2306,5,FALSE)</f>
        <v>2616.4699999999998</v>
      </c>
      <c r="M121" s="438">
        <f>VLOOKUP(H121,'Full Trial Balance'!$A$4:$G$2306,6,FALSE)</f>
        <v>16.670000000000002</v>
      </c>
      <c r="N121" s="438">
        <f>VLOOKUP(H121,'Full Trial Balance'!$A$4:$G$2306,7,FALSE)</f>
        <v>2599.8000000000002</v>
      </c>
      <c r="O121" s="485">
        <f t="shared" si="14"/>
        <v>3.836930773104541E-13</v>
      </c>
    </row>
    <row r="122" spans="1:15" x14ac:dyDescent="0.25">
      <c r="A122" s="241" t="str">
        <f t="shared" si="9"/>
        <v>02-01</v>
      </c>
      <c r="B122" s="241" t="str">
        <f t="shared" si="10"/>
        <v>02</v>
      </c>
      <c r="C122" s="241" t="str">
        <f t="shared" si="11"/>
        <v>01</v>
      </c>
      <c r="D122" s="235" t="str">
        <f t="shared" si="12"/>
        <v>02-</v>
      </c>
      <c r="E122" s="241" t="s">
        <v>1250</v>
      </c>
      <c r="F122" s="241" t="str">
        <f t="shared" si="13"/>
        <v>-040-030</v>
      </c>
      <c r="G122" s="235" t="s">
        <v>1433</v>
      </c>
      <c r="H122" s="241" t="s">
        <v>678</v>
      </c>
      <c r="I122" s="435" t="s">
        <v>172</v>
      </c>
      <c r="J122" s="438">
        <f>VLOOKUP(H122,'Full Trial Balance'!$A$4:$G$2306,3,FALSE)</f>
        <v>96</v>
      </c>
      <c r="K122" s="438">
        <f>VLOOKUP(H122,'Full Trial Balance'!$A$4:$G$2306,4,FALSE)</f>
        <v>0</v>
      </c>
      <c r="L122" s="438">
        <f>VLOOKUP(H122,'Full Trial Balance'!$A$4:$G$2306,5,FALSE)</f>
        <v>0</v>
      </c>
      <c r="M122" s="438">
        <f>VLOOKUP(H122,'Full Trial Balance'!$A$4:$G$2306,6,FALSE)</f>
        <v>0</v>
      </c>
      <c r="N122" s="438">
        <f>VLOOKUP(H122,'Full Trial Balance'!$A$4:$G$2306,7,FALSE)</f>
        <v>0</v>
      </c>
      <c r="O122" s="485">
        <f t="shared" si="14"/>
        <v>0</v>
      </c>
    </row>
    <row r="123" spans="1:15" x14ac:dyDescent="0.25">
      <c r="A123" s="241" t="str">
        <f t="shared" si="9"/>
        <v>02-01</v>
      </c>
      <c r="B123" s="241" t="str">
        <f t="shared" si="10"/>
        <v>02</v>
      </c>
      <c r="C123" s="241" t="str">
        <f t="shared" si="11"/>
        <v>01</v>
      </c>
      <c r="D123" s="235" t="str">
        <f t="shared" si="12"/>
        <v>02-</v>
      </c>
      <c r="E123" s="241" t="s">
        <v>1250</v>
      </c>
      <c r="F123" s="241" t="str">
        <f t="shared" si="13"/>
        <v>-040-035</v>
      </c>
      <c r="G123" s="235" t="s">
        <v>1433</v>
      </c>
      <c r="H123" s="241" t="s">
        <v>679</v>
      </c>
      <c r="I123" s="435" t="s">
        <v>621</v>
      </c>
      <c r="J123" s="438">
        <f>VLOOKUP(H123,'Full Trial Balance'!$A$4:$G$2306,3,FALSE)</f>
        <v>96</v>
      </c>
      <c r="K123" s="438">
        <f>VLOOKUP(H123,'Full Trial Balance'!$A$4:$G$2306,4,FALSE)</f>
        <v>0</v>
      </c>
      <c r="L123" s="438">
        <f>VLOOKUP(H123,'Full Trial Balance'!$A$4:$G$2306,5,FALSE)</f>
        <v>0</v>
      </c>
      <c r="M123" s="438">
        <f>VLOOKUP(H123,'Full Trial Balance'!$A$4:$G$2306,6,FALSE)</f>
        <v>0</v>
      </c>
      <c r="N123" s="438">
        <f>VLOOKUP(H123,'Full Trial Balance'!$A$4:$G$2306,7,FALSE)</f>
        <v>0</v>
      </c>
      <c r="O123" s="485">
        <f t="shared" si="14"/>
        <v>0</v>
      </c>
    </row>
    <row r="124" spans="1:15" x14ac:dyDescent="0.25">
      <c r="A124" s="241" t="str">
        <f t="shared" si="9"/>
        <v>02-01</v>
      </c>
      <c r="B124" s="241" t="str">
        <f t="shared" si="10"/>
        <v>02</v>
      </c>
      <c r="C124" s="241" t="str">
        <f t="shared" si="11"/>
        <v>01</v>
      </c>
      <c r="D124" s="235" t="str">
        <f t="shared" si="12"/>
        <v>02-</v>
      </c>
      <c r="E124" s="241" t="s">
        <v>1250</v>
      </c>
      <c r="F124" s="241" t="str">
        <f t="shared" si="13"/>
        <v>-045-000</v>
      </c>
      <c r="G124" s="235" t="s">
        <v>1427</v>
      </c>
      <c r="H124" s="241" t="s">
        <v>695</v>
      </c>
      <c r="I124" s="435" t="s">
        <v>34</v>
      </c>
      <c r="J124" s="438">
        <f>VLOOKUP(H124,'Full Trial Balance'!$A$4:$G$2306,3,FALSE)</f>
        <v>80</v>
      </c>
      <c r="K124" s="438">
        <f>VLOOKUP(H124,'Full Trial Balance'!$A$4:$G$2306,4,FALSE)</f>
        <v>0</v>
      </c>
      <c r="L124" s="438">
        <f>VLOOKUP(H124,'Full Trial Balance'!$A$4:$G$2306,5,FALSE)</f>
        <v>9.48</v>
      </c>
      <c r="M124" s="438">
        <f>VLOOKUP(H124,'Full Trial Balance'!$A$4:$G$2306,6,FALSE)</f>
        <v>0</v>
      </c>
      <c r="N124" s="438">
        <f>VLOOKUP(H124,'Full Trial Balance'!$A$4:$G$2306,7,FALSE)</f>
        <v>9.48</v>
      </c>
      <c r="O124" s="485">
        <f t="shared" si="14"/>
        <v>0</v>
      </c>
    </row>
    <row r="125" spans="1:15" x14ac:dyDescent="0.25">
      <c r="A125" s="241" t="str">
        <f t="shared" si="9"/>
        <v>02-01</v>
      </c>
      <c r="B125" s="241" t="str">
        <f t="shared" si="10"/>
        <v>02</v>
      </c>
      <c r="C125" s="241" t="str">
        <f t="shared" si="11"/>
        <v>01</v>
      </c>
      <c r="D125" s="235" t="str">
        <f t="shared" si="12"/>
        <v>02-</v>
      </c>
      <c r="E125" s="241" t="s">
        <v>1250</v>
      </c>
      <c r="F125" s="241" t="str">
        <f t="shared" si="13"/>
        <v>-045-008</v>
      </c>
      <c r="G125" s="235" t="s">
        <v>1427</v>
      </c>
      <c r="H125" s="241" t="s">
        <v>671</v>
      </c>
      <c r="I125" s="435" t="s">
        <v>612</v>
      </c>
      <c r="J125" s="438">
        <f>VLOOKUP(H125,'Full Trial Balance'!$A$4:$G$2306,3,FALSE)</f>
        <v>20868</v>
      </c>
      <c r="K125" s="438">
        <f>VLOOKUP(H125,'Full Trial Balance'!$A$4:$G$2306,4,FALSE)</f>
        <v>0</v>
      </c>
      <c r="L125" s="438">
        <f>VLOOKUP(H125,'Full Trial Balance'!$A$4:$G$2306,5,FALSE)</f>
        <v>10434</v>
      </c>
      <c r="M125" s="438">
        <f>VLOOKUP(H125,'Full Trial Balance'!$A$4:$G$2306,6,FALSE)</f>
        <v>1739.04</v>
      </c>
      <c r="N125" s="438">
        <f>VLOOKUP(H125,'Full Trial Balance'!$A$4:$G$2306,7,FALSE)</f>
        <v>8694.9599999999991</v>
      </c>
      <c r="O125" s="485">
        <f t="shared" si="14"/>
        <v>0</v>
      </c>
    </row>
    <row r="126" spans="1:15" x14ac:dyDescent="0.25">
      <c r="A126" s="241" t="str">
        <f t="shared" si="9"/>
        <v>02-01</v>
      </c>
      <c r="B126" s="241" t="str">
        <f t="shared" si="10"/>
        <v>02</v>
      </c>
      <c r="C126" s="241" t="str">
        <f t="shared" si="11"/>
        <v>01</v>
      </c>
      <c r="D126" s="235" t="str">
        <f t="shared" si="12"/>
        <v>02-</v>
      </c>
      <c r="E126" s="241" t="s">
        <v>1250</v>
      </c>
      <c r="F126" s="241" t="str">
        <f t="shared" si="13"/>
        <v>-045-025</v>
      </c>
      <c r="G126" s="235" t="s">
        <v>1427</v>
      </c>
      <c r="H126" s="241" t="s">
        <v>670</v>
      </c>
      <c r="I126" s="435" t="s">
        <v>1075</v>
      </c>
      <c r="J126" s="438">
        <f>VLOOKUP(H126,'Full Trial Balance'!$A$4:$G$2306,3,FALSE)</f>
        <v>90544</v>
      </c>
      <c r="K126" s="438">
        <f>VLOOKUP(H126,'Full Trial Balance'!$A$4:$G$2306,4,FALSE)</f>
        <v>0</v>
      </c>
      <c r="L126" s="438">
        <f>VLOOKUP(H126,'Full Trial Balance'!$A$4:$G$2306,5,FALSE)</f>
        <v>45271.88</v>
      </c>
      <c r="M126" s="438">
        <f>VLOOKUP(H126,'Full Trial Balance'!$A$4:$G$2306,6,FALSE)</f>
        <v>7695</v>
      </c>
      <c r="N126" s="438">
        <f>VLOOKUP(H126,'Full Trial Balance'!$A$4:$G$2306,7,FALSE)</f>
        <v>37576.879999999997</v>
      </c>
      <c r="O126" s="485">
        <f t="shared" si="14"/>
        <v>0</v>
      </c>
    </row>
    <row r="127" spans="1:15" x14ac:dyDescent="0.25">
      <c r="A127" s="241" t="str">
        <f t="shared" si="9"/>
        <v>02-01</v>
      </c>
      <c r="B127" s="241" t="str">
        <f t="shared" si="10"/>
        <v>02</v>
      </c>
      <c r="C127" s="241" t="str">
        <f t="shared" si="11"/>
        <v>01</v>
      </c>
      <c r="D127" s="235" t="str">
        <f t="shared" si="12"/>
        <v>02-</v>
      </c>
      <c r="E127" s="241" t="s">
        <v>1250</v>
      </c>
      <c r="F127" s="241" t="str">
        <f t="shared" si="13"/>
        <v>-045-030</v>
      </c>
      <c r="G127" s="235" t="s">
        <v>1427</v>
      </c>
      <c r="H127" s="241" t="s">
        <v>698</v>
      </c>
      <c r="I127" s="435" t="s">
        <v>174</v>
      </c>
      <c r="J127" s="438">
        <f>VLOOKUP(H127,'Full Trial Balance'!$A$4:$G$2306,3,FALSE)</f>
        <v>0</v>
      </c>
      <c r="K127" s="438">
        <f>VLOOKUP(H127,'Full Trial Balance'!$A$4:$G$2306,4,FALSE)</f>
        <v>0</v>
      </c>
      <c r="L127" s="438">
        <f>VLOOKUP(H127,'Full Trial Balance'!$A$4:$G$2306,5,FALSE)</f>
        <v>0</v>
      </c>
      <c r="M127" s="438">
        <f>VLOOKUP(H127,'Full Trial Balance'!$A$4:$G$2306,6,FALSE)</f>
        <v>0</v>
      </c>
      <c r="N127" s="438">
        <f>VLOOKUP(H127,'Full Trial Balance'!$A$4:$G$2306,7,FALSE)</f>
        <v>0</v>
      </c>
      <c r="O127" s="485">
        <f t="shared" si="14"/>
        <v>0</v>
      </c>
    </row>
    <row r="128" spans="1:15" x14ac:dyDescent="0.25">
      <c r="A128" s="241" t="str">
        <f t="shared" si="9"/>
        <v>02-01</v>
      </c>
      <c r="B128" s="241" t="str">
        <f t="shared" si="10"/>
        <v>02</v>
      </c>
      <c r="C128" s="241" t="str">
        <f t="shared" si="11"/>
        <v>01</v>
      </c>
      <c r="D128" s="235" t="str">
        <f t="shared" si="12"/>
        <v>02-</v>
      </c>
      <c r="E128" s="241" t="s">
        <v>1250</v>
      </c>
      <c r="F128" s="241" t="str">
        <f t="shared" si="13"/>
        <v>-045-035</v>
      </c>
      <c r="G128" s="235" t="s">
        <v>1427</v>
      </c>
      <c r="H128" s="241" t="s">
        <v>697</v>
      </c>
      <c r="I128" s="435" t="s">
        <v>185</v>
      </c>
      <c r="J128" s="438">
        <f>VLOOKUP(H128,'Full Trial Balance'!$A$4:$G$2306,3,FALSE)</f>
        <v>3200</v>
      </c>
      <c r="K128" s="438">
        <f>VLOOKUP(H128,'Full Trial Balance'!$A$4:$G$2306,4,FALSE)</f>
        <v>0</v>
      </c>
      <c r="L128" s="438">
        <f>VLOOKUP(H128,'Full Trial Balance'!$A$4:$G$2306,5,FALSE)</f>
        <v>1730.9</v>
      </c>
      <c r="M128" s="438">
        <f>VLOOKUP(H128,'Full Trial Balance'!$A$4:$G$2306,6,FALSE)</f>
        <v>0</v>
      </c>
      <c r="N128" s="438">
        <f>VLOOKUP(H128,'Full Trial Balance'!$A$4:$G$2306,7,FALSE)</f>
        <v>1730.9</v>
      </c>
      <c r="O128" s="485">
        <f t="shared" si="14"/>
        <v>0</v>
      </c>
    </row>
    <row r="129" spans="1:15" x14ac:dyDescent="0.25">
      <c r="A129" s="241" t="str">
        <f t="shared" si="9"/>
        <v>02-01</v>
      </c>
      <c r="B129" s="241" t="str">
        <f t="shared" si="10"/>
        <v>02</v>
      </c>
      <c r="C129" s="241" t="str">
        <f t="shared" si="11"/>
        <v>01</v>
      </c>
      <c r="D129" s="235" t="str">
        <f t="shared" si="12"/>
        <v>02-</v>
      </c>
      <c r="E129" s="241" t="s">
        <v>1250</v>
      </c>
      <c r="F129" s="241" t="str">
        <f t="shared" si="13"/>
        <v>-075-000</v>
      </c>
      <c r="G129" s="235" t="str">
        <f t="shared" ref="G129:G150" si="16">CONCATENATE(D129,E129,F129)</f>
        <v>02-0x-075-000</v>
      </c>
      <c r="H129" s="241" t="s">
        <v>1089</v>
      </c>
      <c r="I129" s="435" t="s">
        <v>1088</v>
      </c>
      <c r="J129" s="438">
        <f>VLOOKUP(H129,'Full Trial Balance'!$A$4:$G$2306,3,FALSE)</f>
        <v>0</v>
      </c>
      <c r="K129" s="438">
        <f>VLOOKUP(H129,'Full Trial Balance'!$A$4:$G$2306,4,FALSE)</f>
        <v>0</v>
      </c>
      <c r="L129" s="438">
        <f>VLOOKUP(H129,'Full Trial Balance'!$A$4:$G$2306,5,FALSE)</f>
        <v>0</v>
      </c>
      <c r="M129" s="438">
        <f>VLOOKUP(H129,'Full Trial Balance'!$A$4:$G$2306,6,FALSE)</f>
        <v>0</v>
      </c>
      <c r="N129" s="438">
        <f>VLOOKUP(H129,'Full Trial Balance'!$A$4:$G$2306,7,FALSE)</f>
        <v>0</v>
      </c>
      <c r="O129" s="485">
        <f t="shared" si="14"/>
        <v>0</v>
      </c>
    </row>
    <row r="130" spans="1:15" x14ac:dyDescent="0.25">
      <c r="A130" s="241" t="str">
        <f t="shared" si="9"/>
        <v>02-01</v>
      </c>
      <c r="B130" s="241" t="str">
        <f t="shared" si="10"/>
        <v>02</v>
      </c>
      <c r="C130" s="241" t="str">
        <f t="shared" si="11"/>
        <v>01</v>
      </c>
      <c r="D130" s="235" t="str">
        <f t="shared" si="12"/>
        <v>02-</v>
      </c>
      <c r="E130" s="241" t="s">
        <v>1250</v>
      </c>
      <c r="F130" s="241" t="str">
        <f t="shared" si="13"/>
        <v>-080-025</v>
      </c>
      <c r="G130" s="235" t="str">
        <f t="shared" si="16"/>
        <v>02-0x-080-025</v>
      </c>
      <c r="H130" s="241" t="s">
        <v>696</v>
      </c>
      <c r="I130" s="435" t="s">
        <v>186</v>
      </c>
      <c r="J130" s="438">
        <f>VLOOKUP(H130,'Full Trial Balance'!$A$4:$G$2306,3,FALSE)</f>
        <v>1440</v>
      </c>
      <c r="K130" s="438">
        <f>VLOOKUP(H130,'Full Trial Balance'!$A$4:$G$2306,4,FALSE)</f>
        <v>0</v>
      </c>
      <c r="L130" s="438">
        <f>VLOOKUP(H130,'Full Trial Balance'!$A$4:$G$2306,5,FALSE)</f>
        <v>0</v>
      </c>
      <c r="M130" s="438">
        <f>VLOOKUP(H130,'Full Trial Balance'!$A$4:$G$2306,6,FALSE)</f>
        <v>0</v>
      </c>
      <c r="N130" s="438">
        <f>VLOOKUP(H130,'Full Trial Balance'!$A$4:$G$2306,7,FALSE)</f>
        <v>0</v>
      </c>
      <c r="O130" s="485">
        <f t="shared" si="14"/>
        <v>0</v>
      </c>
    </row>
    <row r="131" spans="1:15" x14ac:dyDescent="0.25">
      <c r="A131" s="241" t="str">
        <f t="shared" ref="A131:A194" si="17">LEFT(H131,5)</f>
        <v>02-01</v>
      </c>
      <c r="B131" s="241" t="str">
        <f t="shared" ref="B131:B194" si="18">LEFT(H131,2)</f>
        <v>02</v>
      </c>
      <c r="C131" s="241" t="str">
        <f t="shared" ref="C131:C194" si="19">RIGHT(A131,2)</f>
        <v>01</v>
      </c>
      <c r="D131" s="235" t="str">
        <f t="shared" ref="D131:D194" si="20">LEFT(A131,3)</f>
        <v>02-</v>
      </c>
      <c r="E131" s="241" t="s">
        <v>1250</v>
      </c>
      <c r="F131" s="241" t="str">
        <f t="shared" ref="F131:F194" si="21">RIGHT(H131,8)</f>
        <v>-090-001</v>
      </c>
      <c r="G131" s="235" t="str">
        <f t="shared" si="16"/>
        <v>02-0x-090-001</v>
      </c>
      <c r="H131" s="241" t="s">
        <v>1178</v>
      </c>
      <c r="I131" s="435" t="s">
        <v>1154</v>
      </c>
      <c r="J131" s="438">
        <f>VLOOKUP(H131,'Full Trial Balance'!$A$4:$G$2306,3,FALSE)</f>
        <v>0</v>
      </c>
      <c r="K131" s="438">
        <f>VLOOKUP(H131,'Full Trial Balance'!$A$4:$G$2306,4,FALSE)</f>
        <v>0</v>
      </c>
      <c r="L131" s="438">
        <f>VLOOKUP(H131,'Full Trial Balance'!$A$4:$G$2306,5,FALSE)</f>
        <v>0</v>
      </c>
      <c r="M131" s="438">
        <f>VLOOKUP(H131,'Full Trial Balance'!$A$4:$G$2306,6,FALSE)</f>
        <v>0</v>
      </c>
      <c r="N131" s="438">
        <f>VLOOKUP(H131,'Full Trial Balance'!$A$4:$G$2306,7,FALSE)</f>
        <v>0</v>
      </c>
      <c r="O131" s="485">
        <f t="shared" ref="O131:O194" si="22">N131-L131+M131</f>
        <v>0</v>
      </c>
    </row>
    <row r="132" spans="1:15" x14ac:dyDescent="0.25">
      <c r="A132" s="241" t="str">
        <f t="shared" si="17"/>
        <v>02-01</v>
      </c>
      <c r="B132" s="241" t="str">
        <f t="shared" si="18"/>
        <v>02</v>
      </c>
      <c r="C132" s="241" t="str">
        <f t="shared" si="19"/>
        <v>01</v>
      </c>
      <c r="D132" s="235" t="str">
        <f t="shared" si="20"/>
        <v>02-</v>
      </c>
      <c r="E132" s="241" t="s">
        <v>1250</v>
      </c>
      <c r="F132" s="241" t="str">
        <f t="shared" si="21"/>
        <v>-090-002</v>
      </c>
      <c r="G132" s="235" t="str">
        <f t="shared" si="16"/>
        <v>02-0x-090-002</v>
      </c>
      <c r="H132" s="241" t="s">
        <v>1179</v>
      </c>
      <c r="I132" s="435" t="s">
        <v>1156</v>
      </c>
      <c r="J132" s="438">
        <f>VLOOKUP(H132,'Full Trial Balance'!$A$4:$G$2306,3,FALSE)</f>
        <v>0</v>
      </c>
      <c r="K132" s="438">
        <f>VLOOKUP(H132,'Full Trial Balance'!$A$4:$G$2306,4,FALSE)</f>
        <v>0</v>
      </c>
      <c r="L132" s="438">
        <f>VLOOKUP(H132,'Full Trial Balance'!$A$4:$G$2306,5,FALSE)</f>
        <v>0</v>
      </c>
      <c r="M132" s="438">
        <f>VLOOKUP(H132,'Full Trial Balance'!$A$4:$G$2306,6,FALSE)</f>
        <v>0</v>
      </c>
      <c r="N132" s="438">
        <f>VLOOKUP(H132,'Full Trial Balance'!$A$4:$G$2306,7,FALSE)</f>
        <v>0</v>
      </c>
      <c r="O132" s="485">
        <f t="shared" si="22"/>
        <v>0</v>
      </c>
    </row>
    <row r="133" spans="1:15" x14ac:dyDescent="0.25">
      <c r="A133" s="241" t="str">
        <f t="shared" si="17"/>
        <v>02-01</v>
      </c>
      <c r="B133" s="241" t="str">
        <f t="shared" si="18"/>
        <v>02</v>
      </c>
      <c r="C133" s="241" t="str">
        <f t="shared" si="19"/>
        <v>01</v>
      </c>
      <c r="D133" s="235" t="str">
        <f t="shared" si="20"/>
        <v>02-</v>
      </c>
      <c r="E133" s="241" t="s">
        <v>1250</v>
      </c>
      <c r="F133" s="241" t="str">
        <f t="shared" si="21"/>
        <v>-090-010</v>
      </c>
      <c r="G133" s="235" t="str">
        <f t="shared" si="16"/>
        <v>02-0x-090-010</v>
      </c>
      <c r="H133" s="241" t="s">
        <v>1180</v>
      </c>
      <c r="I133" s="435" t="s">
        <v>1158</v>
      </c>
      <c r="J133" s="438">
        <f>VLOOKUP(H133,'Full Trial Balance'!$A$4:$G$2306,3,FALSE)</f>
        <v>0</v>
      </c>
      <c r="K133" s="438">
        <f>VLOOKUP(H133,'Full Trial Balance'!$A$4:$G$2306,4,FALSE)</f>
        <v>0</v>
      </c>
      <c r="L133" s="438">
        <f>VLOOKUP(H133,'Full Trial Balance'!$A$4:$G$2306,5,FALSE)</f>
        <v>0</v>
      </c>
      <c r="M133" s="438">
        <f>VLOOKUP(H133,'Full Trial Balance'!$A$4:$G$2306,6,FALSE)</f>
        <v>0</v>
      </c>
      <c r="N133" s="438">
        <f>VLOOKUP(H133,'Full Trial Balance'!$A$4:$G$2306,7,FALSE)</f>
        <v>0</v>
      </c>
      <c r="O133" s="485">
        <f t="shared" si="22"/>
        <v>0</v>
      </c>
    </row>
    <row r="134" spans="1:15" x14ac:dyDescent="0.25">
      <c r="A134" s="241" t="str">
        <f t="shared" si="17"/>
        <v>02-01</v>
      </c>
      <c r="B134" s="241" t="str">
        <f t="shared" si="18"/>
        <v>02</v>
      </c>
      <c r="C134" s="241" t="str">
        <f t="shared" si="19"/>
        <v>01</v>
      </c>
      <c r="D134" s="235" t="str">
        <f t="shared" si="20"/>
        <v>02-</v>
      </c>
      <c r="E134" s="241" t="s">
        <v>1250</v>
      </c>
      <c r="F134" s="241" t="str">
        <f t="shared" si="21"/>
        <v>-090-020</v>
      </c>
      <c r="G134" s="235" t="str">
        <f t="shared" si="16"/>
        <v>02-0x-090-020</v>
      </c>
      <c r="H134" s="241" t="s">
        <v>1181</v>
      </c>
      <c r="I134" s="435" t="s">
        <v>1160</v>
      </c>
      <c r="J134" s="438">
        <f>VLOOKUP(H134,'Full Trial Balance'!$A$4:$G$2306,3,FALSE)</f>
        <v>0</v>
      </c>
      <c r="K134" s="438">
        <f>VLOOKUP(H134,'Full Trial Balance'!$A$4:$G$2306,4,FALSE)</f>
        <v>0</v>
      </c>
      <c r="L134" s="438">
        <f>VLOOKUP(H134,'Full Trial Balance'!$A$4:$G$2306,5,FALSE)</f>
        <v>0</v>
      </c>
      <c r="M134" s="438">
        <f>VLOOKUP(H134,'Full Trial Balance'!$A$4:$G$2306,6,FALSE)</f>
        <v>0</v>
      </c>
      <c r="N134" s="438">
        <f>VLOOKUP(H134,'Full Trial Balance'!$A$4:$G$2306,7,FALSE)</f>
        <v>0</v>
      </c>
      <c r="O134" s="485">
        <f t="shared" si="22"/>
        <v>0</v>
      </c>
    </row>
    <row r="135" spans="1:15" x14ac:dyDescent="0.25">
      <c r="A135" s="241" t="str">
        <f t="shared" si="17"/>
        <v>02-01</v>
      </c>
      <c r="B135" s="241" t="str">
        <f t="shared" si="18"/>
        <v>02</v>
      </c>
      <c r="C135" s="241" t="str">
        <f t="shared" si="19"/>
        <v>01</v>
      </c>
      <c r="D135" s="235" t="str">
        <f t="shared" si="20"/>
        <v>02-</v>
      </c>
      <c r="E135" s="241" t="s">
        <v>1250</v>
      </c>
      <c r="F135" s="241" t="str">
        <f t="shared" si="21"/>
        <v>-095-000</v>
      </c>
      <c r="G135" s="235" t="str">
        <f t="shared" si="16"/>
        <v>02-0x-095-000</v>
      </c>
      <c r="H135" s="241" t="s">
        <v>676</v>
      </c>
      <c r="I135" s="435" t="s">
        <v>178</v>
      </c>
      <c r="J135" s="438">
        <f>VLOOKUP(H135,'Full Trial Balance'!$A$4:$G$2306,3,FALSE)</f>
        <v>80</v>
      </c>
      <c r="K135" s="438">
        <f>VLOOKUP(H135,'Full Trial Balance'!$A$4:$G$2306,4,FALSE)</f>
        <v>0</v>
      </c>
      <c r="L135" s="438">
        <f>VLOOKUP(H135,'Full Trial Balance'!$A$4:$G$2306,5,FALSE)</f>
        <v>0</v>
      </c>
      <c r="M135" s="438">
        <f>VLOOKUP(H135,'Full Trial Balance'!$A$4:$G$2306,6,FALSE)</f>
        <v>0</v>
      </c>
      <c r="N135" s="438">
        <f>VLOOKUP(H135,'Full Trial Balance'!$A$4:$G$2306,7,FALSE)</f>
        <v>0</v>
      </c>
      <c r="O135" s="485">
        <f t="shared" si="22"/>
        <v>0</v>
      </c>
    </row>
    <row r="136" spans="1:15" x14ac:dyDescent="0.25">
      <c r="A136" s="241" t="str">
        <f t="shared" si="17"/>
        <v>03-01</v>
      </c>
      <c r="B136" s="241" t="str">
        <f t="shared" si="18"/>
        <v>03</v>
      </c>
      <c r="C136" s="241" t="str">
        <f t="shared" si="19"/>
        <v>01</v>
      </c>
      <c r="D136" s="235" t="str">
        <f t="shared" si="20"/>
        <v>03-</v>
      </c>
      <c r="E136" s="241" t="s">
        <v>1250</v>
      </c>
      <c r="F136" s="241" t="str">
        <f t="shared" si="21"/>
        <v>-010-000</v>
      </c>
      <c r="G136" s="235" t="str">
        <f t="shared" si="16"/>
        <v>03-0x-010-000</v>
      </c>
      <c r="H136" s="241" t="s">
        <v>781</v>
      </c>
      <c r="I136" s="435" t="s">
        <v>665</v>
      </c>
      <c r="J136" s="438">
        <f>VLOOKUP(H136,'Full Trial Balance'!$A$4:$G$2306,3,FALSE)</f>
        <v>542049</v>
      </c>
      <c r="K136" s="438">
        <f>VLOOKUP(H136,'Full Trial Balance'!$A$4:$G$2306,4,FALSE)</f>
        <v>0</v>
      </c>
      <c r="L136" s="438">
        <f>VLOOKUP(H136,'Full Trial Balance'!$A$4:$G$2306,5,FALSE)</f>
        <v>254206.23</v>
      </c>
      <c r="M136" s="438">
        <f>VLOOKUP(H136,'Full Trial Balance'!$A$4:$G$2306,6,FALSE)</f>
        <v>18804.28</v>
      </c>
      <c r="N136" s="438">
        <f>VLOOKUP(H136,'Full Trial Balance'!$A$4:$G$2306,7,FALSE)</f>
        <v>235401.95</v>
      </c>
      <c r="O136" s="485">
        <f t="shared" si="22"/>
        <v>0</v>
      </c>
    </row>
    <row r="137" spans="1:15" x14ac:dyDescent="0.25">
      <c r="A137" s="241" t="str">
        <f t="shared" si="17"/>
        <v>03-01</v>
      </c>
      <c r="B137" s="241" t="str">
        <f t="shared" si="18"/>
        <v>03</v>
      </c>
      <c r="C137" s="241" t="str">
        <f t="shared" si="19"/>
        <v>01</v>
      </c>
      <c r="D137" s="235" t="str">
        <f t="shared" si="20"/>
        <v>03-</v>
      </c>
      <c r="E137" s="241" t="s">
        <v>1250</v>
      </c>
      <c r="F137" s="241" t="str">
        <f t="shared" si="21"/>
        <v>-010-005</v>
      </c>
      <c r="G137" s="235" t="str">
        <f t="shared" si="16"/>
        <v>03-0x-010-005</v>
      </c>
      <c r="H137" s="241" t="s">
        <v>782</v>
      </c>
      <c r="I137" s="435" t="s">
        <v>667</v>
      </c>
      <c r="J137" s="438">
        <f>VLOOKUP(H137,'Full Trial Balance'!$A$4:$G$2306,3,FALSE)</f>
        <v>0</v>
      </c>
      <c r="K137" s="438">
        <f>VLOOKUP(H137,'Full Trial Balance'!$A$4:$G$2306,4,FALSE)</f>
        <v>0</v>
      </c>
      <c r="L137" s="438">
        <f>VLOOKUP(H137,'Full Trial Balance'!$A$4:$G$2306,5,FALSE)</f>
        <v>0</v>
      </c>
      <c r="M137" s="438">
        <f>VLOOKUP(H137,'Full Trial Balance'!$A$4:$G$2306,6,FALSE)</f>
        <v>0</v>
      </c>
      <c r="N137" s="438">
        <f>VLOOKUP(H137,'Full Trial Balance'!$A$4:$G$2306,7,FALSE)</f>
        <v>0</v>
      </c>
      <c r="O137" s="485">
        <f t="shared" si="22"/>
        <v>0</v>
      </c>
    </row>
    <row r="138" spans="1:15" x14ac:dyDescent="0.25">
      <c r="A138" s="241" t="str">
        <f t="shared" si="17"/>
        <v>03-01</v>
      </c>
      <c r="B138" s="241" t="str">
        <f t="shared" si="18"/>
        <v>03</v>
      </c>
      <c r="C138" s="241" t="str">
        <f t="shared" si="19"/>
        <v>01</v>
      </c>
      <c r="D138" s="235" t="str">
        <f t="shared" si="20"/>
        <v>03-</v>
      </c>
      <c r="E138" s="241" t="s">
        <v>1250</v>
      </c>
      <c r="F138" s="241" t="str">
        <f t="shared" si="21"/>
        <v>-015-000</v>
      </c>
      <c r="G138" s="235" t="str">
        <f t="shared" si="16"/>
        <v>03-0x-015-000</v>
      </c>
      <c r="H138" s="241" t="s">
        <v>768</v>
      </c>
      <c r="I138" s="435" t="s">
        <v>37</v>
      </c>
      <c r="J138" s="438">
        <f>VLOOKUP(H138,'Full Trial Balance'!$A$4:$G$2306,3,FALSE)</f>
        <v>9555.52</v>
      </c>
      <c r="K138" s="438">
        <f>VLOOKUP(H138,'Full Trial Balance'!$A$4:$G$2306,4,FALSE)</f>
        <v>0</v>
      </c>
      <c r="L138" s="438">
        <f>VLOOKUP(H138,'Full Trial Balance'!$A$4:$G$2306,5,FALSE)</f>
        <v>6261.59</v>
      </c>
      <c r="M138" s="438">
        <f>VLOOKUP(H138,'Full Trial Balance'!$A$4:$G$2306,6,FALSE)</f>
        <v>171.28</v>
      </c>
      <c r="N138" s="438">
        <f>VLOOKUP(H138,'Full Trial Balance'!$A$4:$G$2306,7,FALSE)</f>
        <v>6090.31</v>
      </c>
      <c r="O138" s="485">
        <f t="shared" si="22"/>
        <v>2.5579538487363607E-13</v>
      </c>
    </row>
    <row r="139" spans="1:15" x14ac:dyDescent="0.25">
      <c r="A139" s="241" t="str">
        <f t="shared" si="17"/>
        <v>03-01</v>
      </c>
      <c r="B139" s="241" t="str">
        <f t="shared" si="18"/>
        <v>03</v>
      </c>
      <c r="C139" s="241" t="str">
        <f t="shared" si="19"/>
        <v>01</v>
      </c>
      <c r="D139" s="235" t="str">
        <f t="shared" si="20"/>
        <v>03-</v>
      </c>
      <c r="E139" s="241" t="s">
        <v>1250</v>
      </c>
      <c r="F139" s="241" t="str">
        <f t="shared" si="21"/>
        <v>-016-000</v>
      </c>
      <c r="G139" s="235" t="str">
        <f t="shared" si="16"/>
        <v>03-0x-016-000</v>
      </c>
      <c r="H139" s="241" t="s">
        <v>776</v>
      </c>
      <c r="I139" s="435" t="s">
        <v>1076</v>
      </c>
      <c r="J139" s="438">
        <f>VLOOKUP(H139,'Full Trial Balance'!$A$4:$G$2306,3,FALSE)</f>
        <v>0</v>
      </c>
      <c r="K139" s="438">
        <f>VLOOKUP(H139,'Full Trial Balance'!$A$4:$G$2306,4,FALSE)</f>
        <v>0</v>
      </c>
      <c r="L139" s="438">
        <f>VLOOKUP(H139,'Full Trial Balance'!$A$4:$G$2306,5,FALSE)</f>
        <v>0</v>
      </c>
      <c r="M139" s="438">
        <f>VLOOKUP(H139,'Full Trial Balance'!$A$4:$G$2306,6,FALSE)</f>
        <v>0</v>
      </c>
      <c r="N139" s="438">
        <f>VLOOKUP(H139,'Full Trial Balance'!$A$4:$G$2306,7,FALSE)</f>
        <v>0</v>
      </c>
      <c r="O139" s="485">
        <f t="shared" si="22"/>
        <v>0</v>
      </c>
    </row>
    <row r="140" spans="1:15" x14ac:dyDescent="0.25">
      <c r="A140" s="241" t="str">
        <f t="shared" si="17"/>
        <v>03-01</v>
      </c>
      <c r="B140" s="241" t="str">
        <f t="shared" si="18"/>
        <v>03</v>
      </c>
      <c r="C140" s="241" t="str">
        <f t="shared" si="19"/>
        <v>01</v>
      </c>
      <c r="D140" s="235" t="str">
        <f t="shared" si="20"/>
        <v>03-</v>
      </c>
      <c r="E140" s="241" t="s">
        <v>1250</v>
      </c>
      <c r="F140" s="241" t="str">
        <f t="shared" si="21"/>
        <v>-020-202</v>
      </c>
      <c r="G140" s="235" t="str">
        <f t="shared" si="16"/>
        <v>03-0x-020-202</v>
      </c>
      <c r="H140" s="241" t="s">
        <v>747</v>
      </c>
      <c r="I140" s="435" t="s">
        <v>153</v>
      </c>
      <c r="J140" s="438">
        <f>VLOOKUP(H140,'Full Trial Balance'!$A$4:$G$2306,3,FALSE)</f>
        <v>31343</v>
      </c>
      <c r="K140" s="438">
        <f>VLOOKUP(H140,'Full Trial Balance'!$A$4:$G$2306,4,FALSE)</f>
        <v>0</v>
      </c>
      <c r="L140" s="438">
        <f>VLOOKUP(H140,'Full Trial Balance'!$A$4:$G$2306,5,FALSE)</f>
        <v>13254.27</v>
      </c>
      <c r="M140" s="438">
        <f>VLOOKUP(H140,'Full Trial Balance'!$A$4:$G$2306,6,FALSE)</f>
        <v>1116.46</v>
      </c>
      <c r="N140" s="438">
        <f>VLOOKUP(H140,'Full Trial Balance'!$A$4:$G$2306,7,FALSE)</f>
        <v>12137.81</v>
      </c>
      <c r="O140" s="485">
        <f t="shared" si="22"/>
        <v>0</v>
      </c>
    </row>
    <row r="141" spans="1:15" x14ac:dyDescent="0.25">
      <c r="A141" s="241" t="str">
        <f t="shared" si="17"/>
        <v>03-01</v>
      </c>
      <c r="B141" s="241" t="str">
        <f t="shared" si="18"/>
        <v>03</v>
      </c>
      <c r="C141" s="241" t="str">
        <f t="shared" si="19"/>
        <v>01</v>
      </c>
      <c r="D141" s="235" t="str">
        <f t="shared" si="20"/>
        <v>03-</v>
      </c>
      <c r="E141" s="241" t="s">
        <v>1250</v>
      </c>
      <c r="F141" s="241" t="str">
        <f t="shared" si="21"/>
        <v>-020-203</v>
      </c>
      <c r="G141" s="235" t="str">
        <f t="shared" si="16"/>
        <v>03-0x-020-203</v>
      </c>
      <c r="H141" s="241" t="s">
        <v>761</v>
      </c>
      <c r="I141" s="435" t="s">
        <v>154</v>
      </c>
      <c r="J141" s="438">
        <f>VLOOKUP(H141,'Full Trial Balance'!$A$4:$G$2306,3,FALSE)</f>
        <v>7998</v>
      </c>
      <c r="K141" s="438">
        <f>VLOOKUP(H141,'Full Trial Balance'!$A$4:$G$2306,4,FALSE)</f>
        <v>0</v>
      </c>
      <c r="L141" s="438">
        <f>VLOOKUP(H141,'Full Trial Balance'!$A$4:$G$2306,5,FALSE)</f>
        <v>3697.6</v>
      </c>
      <c r="M141" s="438">
        <f>VLOOKUP(H141,'Full Trial Balance'!$A$4:$G$2306,6,FALSE)</f>
        <v>261.06</v>
      </c>
      <c r="N141" s="438">
        <f>VLOOKUP(H141,'Full Trial Balance'!$A$4:$G$2306,7,FALSE)</f>
        <v>3436.54</v>
      </c>
      <c r="O141" s="485">
        <f t="shared" si="22"/>
        <v>0</v>
      </c>
    </row>
    <row r="142" spans="1:15" x14ac:dyDescent="0.25">
      <c r="A142" s="241" t="str">
        <f t="shared" si="17"/>
        <v>03-01</v>
      </c>
      <c r="B142" s="241" t="str">
        <f t="shared" si="18"/>
        <v>03</v>
      </c>
      <c r="C142" s="241" t="str">
        <f t="shared" si="19"/>
        <v>01</v>
      </c>
      <c r="D142" s="235" t="str">
        <f t="shared" si="20"/>
        <v>03-</v>
      </c>
      <c r="E142" s="241" t="s">
        <v>1250</v>
      </c>
      <c r="F142" s="241" t="str">
        <f t="shared" si="21"/>
        <v>-020-204</v>
      </c>
      <c r="G142" s="256" t="str">
        <f t="shared" si="16"/>
        <v>03-0x-020-204</v>
      </c>
      <c r="H142" s="241" t="s">
        <v>762</v>
      </c>
      <c r="I142" s="435" t="s">
        <v>38</v>
      </c>
      <c r="J142" s="438">
        <f>VLOOKUP(H142,'Full Trial Balance'!$A$4:$G$2306,3,FALSE)</f>
        <v>103201</v>
      </c>
      <c r="K142" s="438">
        <f>VLOOKUP(H142,'Full Trial Balance'!$A$4:$G$2306,4,FALSE)</f>
        <v>0</v>
      </c>
      <c r="L142" s="438">
        <f>VLOOKUP(H142,'Full Trial Balance'!$A$4:$G$2306,5,FALSE)</f>
        <v>44053.69</v>
      </c>
      <c r="M142" s="438">
        <f>VLOOKUP(H142,'Full Trial Balance'!$A$4:$G$2306,6,FALSE)</f>
        <v>437.14</v>
      </c>
      <c r="N142" s="438">
        <f>VLOOKUP(H142,'Full Trial Balance'!$A$4:$G$2306,7,FALSE)</f>
        <v>43616.55</v>
      </c>
      <c r="O142" s="485">
        <f t="shared" si="22"/>
        <v>5.6843418860808015E-13</v>
      </c>
    </row>
    <row r="143" spans="1:15" x14ac:dyDescent="0.25">
      <c r="A143" s="241" t="str">
        <f t="shared" si="17"/>
        <v>03-01</v>
      </c>
      <c r="B143" s="241" t="str">
        <f t="shared" si="18"/>
        <v>03</v>
      </c>
      <c r="C143" s="241" t="str">
        <f t="shared" si="19"/>
        <v>01</v>
      </c>
      <c r="D143" s="235" t="str">
        <f t="shared" si="20"/>
        <v>03-</v>
      </c>
      <c r="E143" s="241" t="s">
        <v>1250</v>
      </c>
      <c r="F143" s="241" t="str">
        <f t="shared" si="21"/>
        <v>-020-205</v>
      </c>
      <c r="G143" s="256" t="str">
        <f t="shared" si="16"/>
        <v>03-0x-020-205</v>
      </c>
      <c r="H143" s="241" t="s">
        <v>743</v>
      </c>
      <c r="I143" s="435" t="s">
        <v>77</v>
      </c>
      <c r="J143" s="438">
        <f>VLOOKUP(H143,'Full Trial Balance'!$A$4:$G$2306,3,FALSE)</f>
        <v>6362</v>
      </c>
      <c r="K143" s="438">
        <f>VLOOKUP(H143,'Full Trial Balance'!$A$4:$G$2306,4,FALSE)</f>
        <v>0</v>
      </c>
      <c r="L143" s="438">
        <f>VLOOKUP(H143,'Full Trial Balance'!$A$4:$G$2306,5,FALSE)</f>
        <v>2273.77</v>
      </c>
      <c r="M143" s="438">
        <f>VLOOKUP(H143,'Full Trial Balance'!$A$4:$G$2306,6,FALSE)</f>
        <v>50.82</v>
      </c>
      <c r="N143" s="438">
        <f>VLOOKUP(H143,'Full Trial Balance'!$A$4:$G$2306,7,FALSE)</f>
        <v>2222.9499999999998</v>
      </c>
      <c r="O143" s="485">
        <f t="shared" si="22"/>
        <v>-1.6342482922482304E-13</v>
      </c>
    </row>
    <row r="144" spans="1:15" x14ac:dyDescent="0.25">
      <c r="A144" s="241" t="str">
        <f t="shared" si="17"/>
        <v>03-01</v>
      </c>
      <c r="B144" s="241" t="str">
        <f t="shared" si="18"/>
        <v>03</v>
      </c>
      <c r="C144" s="241" t="str">
        <f t="shared" si="19"/>
        <v>01</v>
      </c>
      <c r="D144" s="235" t="str">
        <f t="shared" si="20"/>
        <v>03-</v>
      </c>
      <c r="E144" s="241" t="s">
        <v>1250</v>
      </c>
      <c r="F144" s="241" t="str">
        <f t="shared" si="21"/>
        <v>-020-206</v>
      </c>
      <c r="G144" s="256" t="str">
        <f t="shared" si="16"/>
        <v>03-0x-020-206</v>
      </c>
      <c r="H144" s="241" t="s">
        <v>780</v>
      </c>
      <c r="I144" s="435" t="s">
        <v>78</v>
      </c>
      <c r="J144" s="438">
        <f>VLOOKUP(H144,'Full Trial Balance'!$A$4:$G$2306,3,FALSE)</f>
        <v>1181</v>
      </c>
      <c r="K144" s="438">
        <f>VLOOKUP(H144,'Full Trial Balance'!$A$4:$G$2306,4,FALSE)</f>
        <v>0</v>
      </c>
      <c r="L144" s="438">
        <f>VLOOKUP(H144,'Full Trial Balance'!$A$4:$G$2306,5,FALSE)</f>
        <v>620.32000000000005</v>
      </c>
      <c r="M144" s="438">
        <f>VLOOKUP(H144,'Full Trial Balance'!$A$4:$G$2306,6,FALSE)</f>
        <v>0</v>
      </c>
      <c r="N144" s="438">
        <f>VLOOKUP(H144,'Full Trial Balance'!$A$4:$G$2306,7,FALSE)</f>
        <v>620.32000000000005</v>
      </c>
      <c r="O144" s="485">
        <f t="shared" si="22"/>
        <v>0</v>
      </c>
    </row>
    <row r="145" spans="1:15" x14ac:dyDescent="0.25">
      <c r="A145" s="241" t="str">
        <f t="shared" si="17"/>
        <v>03-01</v>
      </c>
      <c r="B145" s="241" t="str">
        <f t="shared" si="18"/>
        <v>03</v>
      </c>
      <c r="C145" s="241" t="str">
        <f t="shared" si="19"/>
        <v>01</v>
      </c>
      <c r="D145" s="235" t="str">
        <f t="shared" si="20"/>
        <v>03-</v>
      </c>
      <c r="E145" s="241" t="s">
        <v>1250</v>
      </c>
      <c r="F145" s="241" t="str">
        <f t="shared" si="21"/>
        <v>-020-208</v>
      </c>
      <c r="G145" s="235" t="str">
        <f t="shared" si="16"/>
        <v>03-0x-020-208</v>
      </c>
      <c r="H145" s="241" t="s">
        <v>783</v>
      </c>
      <c r="I145" s="435" t="s">
        <v>893</v>
      </c>
      <c r="J145" s="438">
        <f>VLOOKUP(H145,'Full Trial Balance'!$A$4:$G$2306,3,FALSE)</f>
        <v>5678</v>
      </c>
      <c r="K145" s="438">
        <f>VLOOKUP(H145,'Full Trial Balance'!$A$4:$G$2306,4,FALSE)</f>
        <v>0</v>
      </c>
      <c r="L145" s="438">
        <f>VLOOKUP(H145,'Full Trial Balance'!$A$4:$G$2306,5,FALSE)</f>
        <v>2150.85</v>
      </c>
      <c r="M145" s="438">
        <f>VLOOKUP(H145,'Full Trial Balance'!$A$4:$G$2306,6,FALSE)</f>
        <v>128.25</v>
      </c>
      <c r="N145" s="438">
        <f>VLOOKUP(H145,'Full Trial Balance'!$A$4:$G$2306,7,FALSE)</f>
        <v>2022.6</v>
      </c>
      <c r="O145" s="485">
        <f t="shared" si="22"/>
        <v>0</v>
      </c>
    </row>
    <row r="146" spans="1:15" x14ac:dyDescent="0.25">
      <c r="A146" s="241" t="str">
        <f t="shared" si="17"/>
        <v>03-01</v>
      </c>
      <c r="B146" s="241" t="str">
        <f t="shared" si="18"/>
        <v>03</v>
      </c>
      <c r="C146" s="241" t="str">
        <f t="shared" si="19"/>
        <v>01</v>
      </c>
      <c r="D146" s="489" t="str">
        <f t="shared" si="20"/>
        <v>03-</v>
      </c>
      <c r="E146" s="241" t="s">
        <v>1250</v>
      </c>
      <c r="F146" s="241" t="str">
        <f t="shared" si="21"/>
        <v>-020-209</v>
      </c>
      <c r="G146" s="489" t="str">
        <f t="shared" si="16"/>
        <v>03-0x-020-209</v>
      </c>
      <c r="H146" s="241" t="s">
        <v>759</v>
      </c>
      <c r="I146" s="435" t="s">
        <v>39</v>
      </c>
      <c r="J146" s="438">
        <f>VLOOKUP(H146,'Full Trial Balance'!$A$4:$G$2306,3,FALSE)</f>
        <v>2011</v>
      </c>
      <c r="K146" s="438">
        <f>VLOOKUP(H146,'Full Trial Balance'!$A$4:$G$2306,4,FALSE)</f>
        <v>0</v>
      </c>
      <c r="L146" s="438">
        <f>VLOOKUP(H146,'Full Trial Balance'!$A$4:$G$2306,5,FALSE)</f>
        <v>1198.98</v>
      </c>
      <c r="M146" s="438">
        <f>VLOOKUP(H146,'Full Trial Balance'!$A$4:$G$2306,6,FALSE)</f>
        <v>338.16</v>
      </c>
      <c r="N146" s="438">
        <f>VLOOKUP(H146,'Full Trial Balance'!$A$4:$G$2306,7,FALSE)</f>
        <v>860.82</v>
      </c>
      <c r="O146" s="485">
        <f t="shared" si="22"/>
        <v>0</v>
      </c>
    </row>
    <row r="147" spans="1:15" x14ac:dyDescent="0.25">
      <c r="A147" s="241" t="str">
        <f t="shared" si="17"/>
        <v>03-01</v>
      </c>
      <c r="B147" s="241" t="str">
        <f t="shared" si="18"/>
        <v>03</v>
      </c>
      <c r="C147" s="241" t="str">
        <f t="shared" si="19"/>
        <v>01</v>
      </c>
      <c r="D147" s="235" t="str">
        <f t="shared" si="20"/>
        <v>03-</v>
      </c>
      <c r="E147" s="241" t="s">
        <v>1250</v>
      </c>
      <c r="F147" s="241" t="str">
        <f t="shared" si="21"/>
        <v>-020-212</v>
      </c>
      <c r="G147" s="235" t="str">
        <f t="shared" si="16"/>
        <v>03-0x-020-212</v>
      </c>
      <c r="H147" s="241" t="s">
        <v>777</v>
      </c>
      <c r="I147" s="435" t="s">
        <v>40</v>
      </c>
      <c r="J147" s="438">
        <f>VLOOKUP(H147,'Full Trial Balance'!$A$4:$G$2306,3,FALSE)</f>
        <v>1966</v>
      </c>
      <c r="K147" s="438">
        <f>VLOOKUP(H147,'Full Trial Balance'!$A$4:$G$2306,4,FALSE)</f>
        <v>0</v>
      </c>
      <c r="L147" s="438">
        <f>VLOOKUP(H147,'Full Trial Balance'!$A$4:$G$2306,5,FALSE)</f>
        <v>77.3</v>
      </c>
      <c r="M147" s="438">
        <f>VLOOKUP(H147,'Full Trial Balance'!$A$4:$G$2306,6,FALSE)</f>
        <v>42.53</v>
      </c>
      <c r="N147" s="438">
        <f>VLOOKUP(H147,'Full Trial Balance'!$A$4:$G$2306,7,FALSE)</f>
        <v>34.770000000000003</v>
      </c>
      <c r="O147" s="485">
        <f t="shared" si="22"/>
        <v>0</v>
      </c>
    </row>
    <row r="148" spans="1:15" x14ac:dyDescent="0.25">
      <c r="A148" s="241" t="str">
        <f t="shared" si="17"/>
        <v>03-01</v>
      </c>
      <c r="B148" s="241" t="str">
        <f t="shared" si="18"/>
        <v>03</v>
      </c>
      <c r="C148" s="241" t="str">
        <f t="shared" si="19"/>
        <v>01</v>
      </c>
      <c r="D148" s="235" t="str">
        <f t="shared" si="20"/>
        <v>03-</v>
      </c>
      <c r="E148" s="241" t="s">
        <v>1250</v>
      </c>
      <c r="F148" s="241" t="str">
        <f t="shared" si="21"/>
        <v>-020-213</v>
      </c>
      <c r="G148" s="256" t="str">
        <f t="shared" si="16"/>
        <v>03-0x-020-213</v>
      </c>
      <c r="H148" s="241" t="s">
        <v>746</v>
      </c>
      <c r="I148" s="435" t="s">
        <v>41</v>
      </c>
      <c r="J148" s="438">
        <f>VLOOKUP(H148,'Full Trial Balance'!$A$4:$G$2306,3,FALSE)</f>
        <v>44</v>
      </c>
      <c r="K148" s="438">
        <f>VLOOKUP(H148,'Full Trial Balance'!$A$4:$G$2306,4,FALSE)</f>
        <v>0</v>
      </c>
      <c r="L148" s="438">
        <f>VLOOKUP(H148,'Full Trial Balance'!$A$4:$G$2306,5,FALSE)</f>
        <v>1.5</v>
      </c>
      <c r="M148" s="438">
        <f>VLOOKUP(H148,'Full Trial Balance'!$A$4:$G$2306,6,FALSE)</f>
        <v>1.05</v>
      </c>
      <c r="N148" s="438">
        <f>VLOOKUP(H148,'Full Trial Balance'!$A$4:$G$2306,7,FALSE)</f>
        <v>0.45</v>
      </c>
      <c r="O148" s="485">
        <f t="shared" si="22"/>
        <v>0</v>
      </c>
    </row>
    <row r="149" spans="1:15" x14ac:dyDescent="0.25">
      <c r="A149" s="241" t="str">
        <f t="shared" si="17"/>
        <v>03-01</v>
      </c>
      <c r="B149" s="241" t="str">
        <f t="shared" si="18"/>
        <v>03</v>
      </c>
      <c r="C149" s="241" t="str">
        <f t="shared" si="19"/>
        <v>01</v>
      </c>
      <c r="D149" s="235" t="str">
        <f t="shared" si="20"/>
        <v>03-</v>
      </c>
      <c r="E149" s="241" t="s">
        <v>1250</v>
      </c>
      <c r="F149" s="241" t="str">
        <f t="shared" si="21"/>
        <v>-020-214</v>
      </c>
      <c r="G149" s="256" t="str">
        <f t="shared" si="16"/>
        <v>03-0x-020-214</v>
      </c>
      <c r="H149" s="241" t="s">
        <v>738</v>
      </c>
      <c r="I149" s="435" t="s">
        <v>155</v>
      </c>
      <c r="J149" s="438">
        <f>VLOOKUP(H149,'Full Trial Balance'!$A$4:$G$2306,3,FALSE)</f>
        <v>3744</v>
      </c>
      <c r="K149" s="438">
        <f>VLOOKUP(H149,'Full Trial Balance'!$A$4:$G$2306,4,FALSE)</f>
        <v>0</v>
      </c>
      <c r="L149" s="438">
        <f>VLOOKUP(H149,'Full Trial Balance'!$A$4:$G$2306,5,FALSE)</f>
        <v>1550</v>
      </c>
      <c r="M149" s="438">
        <f>VLOOKUP(H149,'Full Trial Balance'!$A$4:$G$2306,6,FALSE)</f>
        <v>250</v>
      </c>
      <c r="N149" s="438">
        <f>VLOOKUP(H149,'Full Trial Balance'!$A$4:$G$2306,7,FALSE)</f>
        <v>1300</v>
      </c>
      <c r="O149" s="485">
        <f t="shared" si="22"/>
        <v>0</v>
      </c>
    </row>
    <row r="150" spans="1:15" x14ac:dyDescent="0.25">
      <c r="A150" s="241" t="str">
        <f t="shared" si="17"/>
        <v>03-01</v>
      </c>
      <c r="B150" s="241" t="str">
        <f t="shared" si="18"/>
        <v>03</v>
      </c>
      <c r="C150" s="241" t="str">
        <f t="shared" si="19"/>
        <v>01</v>
      </c>
      <c r="D150" s="235" t="str">
        <f t="shared" si="20"/>
        <v>03-</v>
      </c>
      <c r="E150" s="241" t="s">
        <v>1250</v>
      </c>
      <c r="F150" s="241" t="str">
        <f t="shared" si="21"/>
        <v>-020-215</v>
      </c>
      <c r="G150" s="235" t="str">
        <f t="shared" si="16"/>
        <v>03-0x-020-215</v>
      </c>
      <c r="H150" s="241" t="s">
        <v>744</v>
      </c>
      <c r="I150" s="435" t="s">
        <v>42</v>
      </c>
      <c r="J150" s="438">
        <f>VLOOKUP(H150,'Full Trial Balance'!$A$4:$G$2306,3,FALSE)</f>
        <v>1645</v>
      </c>
      <c r="K150" s="438">
        <f>VLOOKUP(H150,'Full Trial Balance'!$A$4:$G$2306,4,FALSE)</f>
        <v>0</v>
      </c>
      <c r="L150" s="438">
        <f>VLOOKUP(H150,'Full Trial Balance'!$A$4:$G$2306,5,FALSE)</f>
        <v>636.27</v>
      </c>
      <c r="M150" s="438">
        <f>VLOOKUP(H150,'Full Trial Balance'!$A$4:$G$2306,6,FALSE)</f>
        <v>34.28</v>
      </c>
      <c r="N150" s="438">
        <f>VLOOKUP(H150,'Full Trial Balance'!$A$4:$G$2306,7,FALSE)</f>
        <v>601.99</v>
      </c>
      <c r="O150" s="485">
        <f t="shared" si="22"/>
        <v>0</v>
      </c>
    </row>
    <row r="151" spans="1:15" x14ac:dyDescent="0.25">
      <c r="A151" s="241" t="str">
        <f t="shared" si="17"/>
        <v>03-01</v>
      </c>
      <c r="B151" s="241" t="str">
        <f t="shared" si="18"/>
        <v>03</v>
      </c>
      <c r="C151" s="241" t="str">
        <f t="shared" si="19"/>
        <v>01</v>
      </c>
      <c r="D151" s="235" t="str">
        <f t="shared" si="20"/>
        <v>03-</v>
      </c>
      <c r="E151" s="241" t="s">
        <v>1250</v>
      </c>
      <c r="F151" s="241" t="str">
        <f t="shared" si="21"/>
        <v>-020-217</v>
      </c>
      <c r="G151" s="489" t="s">
        <v>3437</v>
      </c>
      <c r="H151" s="241" t="s">
        <v>736</v>
      </c>
      <c r="I151" s="435" t="s">
        <v>43</v>
      </c>
      <c r="J151" s="438">
        <f>VLOOKUP(H151,'Full Trial Balance'!$A$4:$G$2306,3,FALSE)</f>
        <v>47921</v>
      </c>
      <c r="K151" s="438">
        <f>VLOOKUP(H151,'Full Trial Balance'!$A$4:$G$2306,4,FALSE)</f>
        <v>0</v>
      </c>
      <c r="L151" s="438">
        <f>VLOOKUP(H151,'Full Trial Balance'!$A$4:$G$2306,5,FALSE)</f>
        <v>19815.05</v>
      </c>
      <c r="M151" s="438">
        <f>VLOOKUP(H151,'Full Trial Balance'!$A$4:$G$2306,6,FALSE)</f>
        <v>1495.41</v>
      </c>
      <c r="N151" s="438">
        <f>VLOOKUP(H151,'Full Trial Balance'!$A$4:$G$2306,7,FALSE)</f>
        <v>18319.64</v>
      </c>
      <c r="O151" s="485">
        <f t="shared" si="22"/>
        <v>0</v>
      </c>
    </row>
    <row r="152" spans="1:15" s="258" customFormat="1" x14ac:dyDescent="0.25">
      <c r="A152" s="241" t="str">
        <f t="shared" si="17"/>
        <v>03-01</v>
      </c>
      <c r="B152" s="241" t="str">
        <f t="shared" si="18"/>
        <v>03</v>
      </c>
      <c r="C152" s="241" t="str">
        <f t="shared" si="19"/>
        <v>01</v>
      </c>
      <c r="D152" s="489" t="str">
        <f t="shared" si="20"/>
        <v>03-</v>
      </c>
      <c r="E152" s="241" t="s">
        <v>1250</v>
      </c>
      <c r="F152" s="241" t="str">
        <f t="shared" si="21"/>
        <v>-020-218</v>
      </c>
      <c r="G152" s="489" t="s">
        <v>3438</v>
      </c>
      <c r="H152" s="241" t="s">
        <v>737</v>
      </c>
      <c r="I152" s="435" t="s">
        <v>44</v>
      </c>
      <c r="J152" s="438">
        <f>VLOOKUP(H152,'Full Trial Balance'!$A$4:$G$2306,3,FALSE)</f>
        <v>39587</v>
      </c>
      <c r="K152" s="438">
        <f>VLOOKUP(H152,'Full Trial Balance'!$A$4:$G$2306,4,FALSE)</f>
        <v>0</v>
      </c>
      <c r="L152" s="438">
        <f>VLOOKUP(H152,'Full Trial Balance'!$A$4:$G$2306,5,FALSE)</f>
        <v>16439</v>
      </c>
      <c r="M152" s="438">
        <f>VLOOKUP(H152,'Full Trial Balance'!$A$4:$G$2306,6,FALSE)</f>
        <v>1234.05</v>
      </c>
      <c r="N152" s="438">
        <f>VLOOKUP(H152,'Full Trial Balance'!$A$4:$G$2306,7,FALSE)</f>
        <v>15204.95</v>
      </c>
      <c r="O152" s="485">
        <f t="shared" si="22"/>
        <v>0</v>
      </c>
    </row>
    <row r="153" spans="1:15" x14ac:dyDescent="0.25">
      <c r="A153" s="241" t="str">
        <f t="shared" si="17"/>
        <v>03-01</v>
      </c>
      <c r="B153" s="241" t="str">
        <f t="shared" si="18"/>
        <v>03</v>
      </c>
      <c r="C153" s="241" t="str">
        <f t="shared" si="19"/>
        <v>01</v>
      </c>
      <c r="D153" s="235" t="str">
        <f t="shared" si="20"/>
        <v>03-</v>
      </c>
      <c r="E153" s="241" t="s">
        <v>1250</v>
      </c>
      <c r="F153" s="241" t="str">
        <f t="shared" si="21"/>
        <v>-020-220</v>
      </c>
      <c r="G153" s="235" t="str">
        <f>CONCATENATE(D153,E153,F153)</f>
        <v>03-0x-020-220</v>
      </c>
      <c r="H153" s="241" t="s">
        <v>767</v>
      </c>
      <c r="I153" s="435" t="s">
        <v>183</v>
      </c>
      <c r="J153" s="438">
        <f>VLOOKUP(H153,'Full Trial Balance'!$A$4:$G$2306,3,FALSE)</f>
        <v>27560</v>
      </c>
      <c r="K153" s="438">
        <f>VLOOKUP(H153,'Full Trial Balance'!$A$4:$G$2306,4,FALSE)</f>
        <v>0</v>
      </c>
      <c r="L153" s="438">
        <f>VLOOKUP(H153,'Full Trial Balance'!$A$4:$G$2306,5,FALSE)</f>
        <v>0</v>
      </c>
      <c r="M153" s="438">
        <f>VLOOKUP(H153,'Full Trial Balance'!$A$4:$G$2306,6,FALSE)</f>
        <v>0</v>
      </c>
      <c r="N153" s="438">
        <f>VLOOKUP(H153,'Full Trial Balance'!$A$4:$G$2306,7,FALSE)</f>
        <v>0</v>
      </c>
      <c r="O153" s="485">
        <f t="shared" si="22"/>
        <v>0</v>
      </c>
    </row>
    <row r="154" spans="1:15" x14ac:dyDescent="0.25">
      <c r="A154" s="241" t="str">
        <f t="shared" si="17"/>
        <v>03-01</v>
      </c>
      <c r="B154" s="241" t="str">
        <f t="shared" si="18"/>
        <v>03</v>
      </c>
      <c r="C154" s="241" t="str">
        <f t="shared" si="19"/>
        <v>01</v>
      </c>
      <c r="D154" s="235" t="str">
        <f t="shared" si="20"/>
        <v>03-</v>
      </c>
      <c r="E154" s="241" t="s">
        <v>1250</v>
      </c>
      <c r="F154" s="241" t="str">
        <f t="shared" si="21"/>
        <v>-020-222</v>
      </c>
      <c r="G154" s="489" t="s">
        <v>3437</v>
      </c>
      <c r="H154" s="241" t="s">
        <v>2721</v>
      </c>
      <c r="I154" s="435" t="s">
        <v>2254</v>
      </c>
      <c r="J154" s="438">
        <f>VLOOKUP(H154,'Full Trial Balance'!$A$4:$G$2306,3,FALSE)</f>
        <v>0</v>
      </c>
      <c r="K154" s="438">
        <f>VLOOKUP(H154,'Full Trial Balance'!$A$4:$G$2306,4,FALSE)</f>
        <v>0</v>
      </c>
      <c r="L154" s="438">
        <f>VLOOKUP(H154,'Full Trial Balance'!$A$4:$G$2306,5,FALSE)</f>
        <v>659.36</v>
      </c>
      <c r="M154" s="438">
        <f>VLOOKUP(H154,'Full Trial Balance'!$A$4:$G$2306,6,FALSE)</f>
        <v>48.04</v>
      </c>
      <c r="N154" s="438">
        <f>VLOOKUP(H154,'Full Trial Balance'!$A$4:$G$2306,7,FALSE)</f>
        <v>611.32000000000005</v>
      </c>
      <c r="O154" s="485">
        <f t="shared" si="22"/>
        <v>0</v>
      </c>
    </row>
    <row r="155" spans="1:15" x14ac:dyDescent="0.25">
      <c r="A155" s="241" t="str">
        <f t="shared" si="17"/>
        <v>03-01</v>
      </c>
      <c r="B155" s="241" t="str">
        <f t="shared" si="18"/>
        <v>03</v>
      </c>
      <c r="C155" s="241" t="str">
        <f t="shared" si="19"/>
        <v>01</v>
      </c>
      <c r="D155" s="489" t="str">
        <f t="shared" si="20"/>
        <v>03-</v>
      </c>
      <c r="E155" s="241" t="s">
        <v>1250</v>
      </c>
      <c r="F155" s="241" t="str">
        <f t="shared" si="21"/>
        <v>-020-223</v>
      </c>
      <c r="G155" s="489" t="s">
        <v>3438</v>
      </c>
      <c r="H155" s="241" t="s">
        <v>2722</v>
      </c>
      <c r="I155" s="435" t="s">
        <v>2256</v>
      </c>
      <c r="J155" s="438">
        <f>VLOOKUP(H155,'Full Trial Balance'!$A$4:$G$2306,3,FALSE)</f>
        <v>0</v>
      </c>
      <c r="K155" s="438">
        <f>VLOOKUP(H155,'Full Trial Balance'!$A$4:$G$2306,4,FALSE)</f>
        <v>0</v>
      </c>
      <c r="L155" s="438">
        <f>VLOOKUP(H155,'Full Trial Balance'!$A$4:$G$2306,5,FALSE)</f>
        <v>839.33</v>
      </c>
      <c r="M155" s="438">
        <f>VLOOKUP(H155,'Full Trial Balance'!$A$4:$G$2306,6,FALSE)</f>
        <v>61.15</v>
      </c>
      <c r="N155" s="438">
        <f>VLOOKUP(H155,'Full Trial Balance'!$A$4:$G$2306,7,FALSE)</f>
        <v>778.18</v>
      </c>
      <c r="O155" s="485">
        <f t="shared" si="22"/>
        <v>-9.2370555648813024E-14</v>
      </c>
    </row>
    <row r="156" spans="1:15" x14ac:dyDescent="0.25">
      <c r="A156" s="241" t="str">
        <f t="shared" si="17"/>
        <v>03-01</v>
      </c>
      <c r="B156" s="241" t="str">
        <f t="shared" si="18"/>
        <v>03</v>
      </c>
      <c r="C156" s="241" t="str">
        <f t="shared" si="19"/>
        <v>01</v>
      </c>
      <c r="D156" s="235" t="str">
        <f t="shared" si="20"/>
        <v>03-</v>
      </c>
      <c r="E156" s="241" t="s">
        <v>1250</v>
      </c>
      <c r="F156" s="241" t="str">
        <f t="shared" si="21"/>
        <v>-020-225</v>
      </c>
      <c r="G156" s="235" t="str">
        <f>CONCATENATE(D156,E156,F156)</f>
        <v>03-0x-020-225</v>
      </c>
      <c r="H156" s="241" t="s">
        <v>1082</v>
      </c>
      <c r="I156" s="435" t="s">
        <v>1079</v>
      </c>
      <c r="J156" s="438">
        <f>VLOOKUP(H156,'Full Trial Balance'!$A$4:$G$2306,3,FALSE)</f>
        <v>68548.479999999996</v>
      </c>
      <c r="K156" s="438">
        <f>VLOOKUP(H156,'Full Trial Balance'!$A$4:$G$2306,4,FALSE)</f>
        <v>0</v>
      </c>
      <c r="L156" s="438">
        <f>VLOOKUP(H156,'Full Trial Balance'!$A$4:$G$2306,5,FALSE)</f>
        <v>67124.09</v>
      </c>
      <c r="M156" s="438">
        <f>VLOOKUP(H156,'Full Trial Balance'!$A$4:$G$2306,6,FALSE)</f>
        <v>0</v>
      </c>
      <c r="N156" s="438">
        <f>VLOOKUP(H156,'Full Trial Balance'!$A$4:$G$2306,7,FALSE)</f>
        <v>67124.09</v>
      </c>
      <c r="O156" s="485">
        <f t="shared" si="22"/>
        <v>0</v>
      </c>
    </row>
    <row r="157" spans="1:15" x14ac:dyDescent="0.25">
      <c r="A157" s="241" t="str">
        <f t="shared" si="17"/>
        <v>03-01</v>
      </c>
      <c r="B157" s="241" t="str">
        <f t="shared" si="18"/>
        <v>03</v>
      </c>
      <c r="C157" s="241" t="str">
        <f t="shared" si="19"/>
        <v>01</v>
      </c>
      <c r="D157" s="235" t="str">
        <f t="shared" si="20"/>
        <v>03-</v>
      </c>
      <c r="E157" s="241" t="s">
        <v>1250</v>
      </c>
      <c r="F157" s="241" t="str">
        <f t="shared" si="21"/>
        <v>-030-006</v>
      </c>
      <c r="G157" s="235" t="s">
        <v>1439</v>
      </c>
      <c r="H157" s="241" t="s">
        <v>758</v>
      </c>
      <c r="I157" s="435" t="s">
        <v>156</v>
      </c>
      <c r="J157" s="438">
        <f>VLOOKUP(H157,'Full Trial Balance'!$A$4:$G$2306,3,FALSE)</f>
        <v>49400</v>
      </c>
      <c r="K157" s="438">
        <f>VLOOKUP(H157,'Full Trial Balance'!$A$4:$G$2306,4,FALSE)</f>
        <v>0</v>
      </c>
      <c r="L157" s="438">
        <f>VLOOKUP(H157,'Full Trial Balance'!$A$4:$G$2306,5,FALSE)</f>
        <v>25642.799999999999</v>
      </c>
      <c r="M157" s="438">
        <f>VLOOKUP(H157,'Full Trial Balance'!$A$4:$G$2306,6,FALSE)</f>
        <v>0</v>
      </c>
      <c r="N157" s="438">
        <f>VLOOKUP(H157,'Full Trial Balance'!$A$4:$G$2306,7,FALSE)</f>
        <v>25642.799999999999</v>
      </c>
      <c r="O157" s="485">
        <f t="shared" si="22"/>
        <v>0</v>
      </c>
    </row>
    <row r="158" spans="1:15" x14ac:dyDescent="0.25">
      <c r="A158" s="241" t="str">
        <f t="shared" si="17"/>
        <v>03-01</v>
      </c>
      <c r="B158" s="241" t="str">
        <f t="shared" si="18"/>
        <v>03</v>
      </c>
      <c r="C158" s="241" t="str">
        <f t="shared" si="19"/>
        <v>01</v>
      </c>
      <c r="D158" s="235" t="str">
        <f t="shared" si="20"/>
        <v>03-</v>
      </c>
      <c r="E158" s="241" t="s">
        <v>1250</v>
      </c>
      <c r="F158" s="241" t="str">
        <f t="shared" si="21"/>
        <v>-030-011</v>
      </c>
      <c r="G158" s="235" t="s">
        <v>1439</v>
      </c>
      <c r="H158" s="241" t="s">
        <v>773</v>
      </c>
      <c r="I158" s="435" t="s">
        <v>157</v>
      </c>
      <c r="J158" s="438">
        <f>VLOOKUP(H158,'Full Trial Balance'!$A$4:$G$2306,3,FALSE)</f>
        <v>13000</v>
      </c>
      <c r="K158" s="438">
        <f>VLOOKUP(H158,'Full Trial Balance'!$A$4:$G$2306,4,FALSE)</f>
        <v>0</v>
      </c>
      <c r="L158" s="438">
        <f>VLOOKUP(H158,'Full Trial Balance'!$A$4:$G$2306,5,FALSE)</f>
        <v>7996.98</v>
      </c>
      <c r="M158" s="438">
        <f>VLOOKUP(H158,'Full Trial Balance'!$A$4:$G$2306,6,FALSE)</f>
        <v>0</v>
      </c>
      <c r="N158" s="438">
        <f>VLOOKUP(H158,'Full Trial Balance'!$A$4:$G$2306,7,FALSE)</f>
        <v>7996.98</v>
      </c>
      <c r="O158" s="485">
        <f t="shared" si="22"/>
        <v>0</v>
      </c>
    </row>
    <row r="159" spans="1:15" x14ac:dyDescent="0.25">
      <c r="A159" s="241" t="str">
        <f t="shared" si="17"/>
        <v>03-01</v>
      </c>
      <c r="B159" s="241" t="str">
        <f t="shared" si="18"/>
        <v>03</v>
      </c>
      <c r="C159" s="241" t="str">
        <f t="shared" si="19"/>
        <v>01</v>
      </c>
      <c r="D159" s="235" t="str">
        <f t="shared" si="20"/>
        <v>03-</v>
      </c>
      <c r="E159" s="241" t="s">
        <v>1250</v>
      </c>
      <c r="F159" s="241" t="str">
        <f t="shared" si="21"/>
        <v>-030-012</v>
      </c>
      <c r="G159" s="235" t="s">
        <v>1439</v>
      </c>
      <c r="H159" s="241" t="s">
        <v>730</v>
      </c>
      <c r="I159" s="435" t="s">
        <v>158</v>
      </c>
      <c r="J159" s="438">
        <f>VLOOKUP(H159,'Full Trial Balance'!$A$4:$G$2306,3,FALSE)</f>
        <v>3120</v>
      </c>
      <c r="K159" s="438">
        <f>VLOOKUP(H159,'Full Trial Balance'!$A$4:$G$2306,4,FALSE)</f>
        <v>0</v>
      </c>
      <c r="L159" s="438">
        <f>VLOOKUP(H159,'Full Trial Balance'!$A$4:$G$2306,5,FALSE)</f>
        <v>1449.48</v>
      </c>
      <c r="M159" s="438">
        <f>VLOOKUP(H159,'Full Trial Balance'!$A$4:$G$2306,6,FALSE)</f>
        <v>0</v>
      </c>
      <c r="N159" s="438">
        <f>VLOOKUP(H159,'Full Trial Balance'!$A$4:$G$2306,7,FALSE)</f>
        <v>1449.48</v>
      </c>
      <c r="O159" s="485">
        <f t="shared" si="22"/>
        <v>0</v>
      </c>
    </row>
    <row r="160" spans="1:15" x14ac:dyDescent="0.25">
      <c r="A160" s="241" t="str">
        <f t="shared" si="17"/>
        <v>03-01</v>
      </c>
      <c r="B160" s="241" t="str">
        <f t="shared" si="18"/>
        <v>03</v>
      </c>
      <c r="C160" s="241" t="str">
        <f t="shared" si="19"/>
        <v>01</v>
      </c>
      <c r="D160" s="235" t="str">
        <f t="shared" si="20"/>
        <v>03-</v>
      </c>
      <c r="E160" s="241" t="s">
        <v>1250</v>
      </c>
      <c r="F160" s="241" t="str">
        <f t="shared" si="21"/>
        <v>-030-015</v>
      </c>
      <c r="G160" s="235" t="str">
        <f>CONCATENATE(D160,E160,F160)</f>
        <v>03-0x-030-015</v>
      </c>
      <c r="H160" s="241" t="s">
        <v>1083</v>
      </c>
      <c r="I160" s="435" t="s">
        <v>846</v>
      </c>
      <c r="J160" s="438">
        <f>VLOOKUP(H160,'Full Trial Balance'!$A$4:$G$2306,3,FALSE)</f>
        <v>0</v>
      </c>
      <c r="K160" s="438">
        <f>VLOOKUP(H160,'Full Trial Balance'!$A$4:$G$2306,4,FALSE)</f>
        <v>0</v>
      </c>
      <c r="L160" s="438">
        <f>VLOOKUP(H160,'Full Trial Balance'!$A$4:$G$2306,5,FALSE)</f>
        <v>0</v>
      </c>
      <c r="M160" s="438">
        <f>VLOOKUP(H160,'Full Trial Balance'!$A$4:$G$2306,6,FALSE)</f>
        <v>0</v>
      </c>
      <c r="N160" s="438">
        <f>VLOOKUP(H160,'Full Trial Balance'!$A$4:$G$2306,7,FALSE)</f>
        <v>0</v>
      </c>
      <c r="O160" s="485">
        <f t="shared" si="22"/>
        <v>0</v>
      </c>
    </row>
    <row r="161" spans="1:15" x14ac:dyDescent="0.25">
      <c r="A161" s="241" t="str">
        <f t="shared" si="17"/>
        <v>03-01</v>
      </c>
      <c r="B161" s="241" t="str">
        <f t="shared" si="18"/>
        <v>03</v>
      </c>
      <c r="C161" s="241" t="str">
        <f t="shared" si="19"/>
        <v>01</v>
      </c>
      <c r="D161" s="235" t="str">
        <f t="shared" si="20"/>
        <v>03-</v>
      </c>
      <c r="E161" s="241" t="s">
        <v>1250</v>
      </c>
      <c r="F161" s="241" t="str">
        <f t="shared" si="21"/>
        <v>-030-050</v>
      </c>
      <c r="G161" s="235" t="str">
        <f>CONCATENATE(D161,E161,F161)</f>
        <v>03-0x-030-050</v>
      </c>
      <c r="H161" s="241" t="s">
        <v>1067</v>
      </c>
      <c r="I161" s="435" t="s">
        <v>1073</v>
      </c>
      <c r="J161" s="438">
        <f>VLOOKUP(H161,'Full Trial Balance'!$A$4:$G$2306,3,FALSE)</f>
        <v>0</v>
      </c>
      <c r="K161" s="438">
        <f>VLOOKUP(H161,'Full Trial Balance'!$A$4:$G$2306,4,FALSE)</f>
        <v>0</v>
      </c>
      <c r="L161" s="438">
        <f>VLOOKUP(H161,'Full Trial Balance'!$A$4:$G$2306,5,FALSE)</f>
        <v>0</v>
      </c>
      <c r="M161" s="438">
        <f>VLOOKUP(H161,'Full Trial Balance'!$A$4:$G$2306,6,FALSE)</f>
        <v>0</v>
      </c>
      <c r="N161" s="438">
        <f>VLOOKUP(H161,'Full Trial Balance'!$A$4:$G$2306,7,FALSE)</f>
        <v>0</v>
      </c>
      <c r="O161" s="485">
        <f t="shared" si="22"/>
        <v>0</v>
      </c>
    </row>
    <row r="162" spans="1:15" x14ac:dyDescent="0.25">
      <c r="A162" s="241" t="str">
        <f t="shared" si="17"/>
        <v>03-01</v>
      </c>
      <c r="B162" s="241" t="str">
        <f t="shared" si="18"/>
        <v>03</v>
      </c>
      <c r="C162" s="241" t="str">
        <f t="shared" si="19"/>
        <v>01</v>
      </c>
      <c r="D162" s="235" t="str">
        <f t="shared" si="20"/>
        <v>03-</v>
      </c>
      <c r="E162" s="241" t="s">
        <v>1250</v>
      </c>
      <c r="F162" s="241" t="str">
        <f t="shared" si="21"/>
        <v>-031-123</v>
      </c>
      <c r="G162" s="235" t="s">
        <v>1255</v>
      </c>
      <c r="H162" s="241" t="s">
        <v>765</v>
      </c>
      <c r="I162" s="435" t="s">
        <v>159</v>
      </c>
      <c r="J162" s="438">
        <f>VLOOKUP(H162,'Full Trial Balance'!$A$4:$G$2306,3,FALSE)</f>
        <v>7800</v>
      </c>
      <c r="K162" s="438">
        <f>VLOOKUP(H162,'Full Trial Balance'!$A$4:$G$2306,4,FALSE)</f>
        <v>0</v>
      </c>
      <c r="L162" s="438">
        <f>VLOOKUP(H162,'Full Trial Balance'!$A$4:$G$2306,5,FALSE)</f>
        <v>3343.39</v>
      </c>
      <c r="M162" s="438">
        <f>VLOOKUP(H162,'Full Trial Balance'!$A$4:$G$2306,6,FALSE)</f>
        <v>0</v>
      </c>
      <c r="N162" s="438">
        <f>VLOOKUP(H162,'Full Trial Balance'!$A$4:$G$2306,7,FALSE)</f>
        <v>3343.39</v>
      </c>
      <c r="O162" s="485">
        <f t="shared" si="22"/>
        <v>0</v>
      </c>
    </row>
    <row r="163" spans="1:15" x14ac:dyDescent="0.25">
      <c r="A163" s="241" t="str">
        <f t="shared" si="17"/>
        <v>03-01</v>
      </c>
      <c r="B163" s="241" t="str">
        <f t="shared" si="18"/>
        <v>03</v>
      </c>
      <c r="C163" s="241" t="str">
        <f t="shared" si="19"/>
        <v>01</v>
      </c>
      <c r="D163" s="235" t="str">
        <f t="shared" si="20"/>
        <v>03-</v>
      </c>
      <c r="E163" s="241" t="s">
        <v>1250</v>
      </c>
      <c r="F163" s="241" t="str">
        <f t="shared" si="21"/>
        <v>-031-124</v>
      </c>
      <c r="G163" s="235" t="s">
        <v>1448</v>
      </c>
      <c r="H163" s="241" t="s">
        <v>735</v>
      </c>
      <c r="I163" s="435" t="s">
        <v>160</v>
      </c>
      <c r="J163" s="438">
        <f>VLOOKUP(H163,'Full Trial Balance'!$A$4:$G$2306,3,FALSE)</f>
        <v>2340</v>
      </c>
      <c r="K163" s="438">
        <f>VLOOKUP(H163,'Full Trial Balance'!$A$4:$G$2306,4,FALSE)</f>
        <v>0</v>
      </c>
      <c r="L163" s="438">
        <f>VLOOKUP(H163,'Full Trial Balance'!$A$4:$G$2306,5,FALSE)</f>
        <v>8422.9</v>
      </c>
      <c r="M163" s="438">
        <f>VLOOKUP(H163,'Full Trial Balance'!$A$4:$G$2306,6,FALSE)</f>
        <v>0</v>
      </c>
      <c r="N163" s="438">
        <f>VLOOKUP(H163,'Full Trial Balance'!$A$4:$G$2306,7,FALSE)</f>
        <v>8422.9</v>
      </c>
      <c r="O163" s="485">
        <f t="shared" si="22"/>
        <v>0</v>
      </c>
    </row>
    <row r="164" spans="1:15" x14ac:dyDescent="0.25">
      <c r="A164" s="241" t="str">
        <f t="shared" si="17"/>
        <v>03-01</v>
      </c>
      <c r="B164" s="241" t="str">
        <f t="shared" si="18"/>
        <v>03</v>
      </c>
      <c r="C164" s="241" t="str">
        <f t="shared" si="19"/>
        <v>01</v>
      </c>
      <c r="D164" s="235" t="str">
        <f t="shared" si="20"/>
        <v>03-</v>
      </c>
      <c r="E164" s="241" t="s">
        <v>1250</v>
      </c>
      <c r="F164" s="241" t="str">
        <f t="shared" si="21"/>
        <v>-031-125</v>
      </c>
      <c r="G164" s="235" t="s">
        <v>1448</v>
      </c>
      <c r="H164" s="241" t="s">
        <v>778</v>
      </c>
      <c r="I164" s="435" t="s">
        <v>161</v>
      </c>
      <c r="J164" s="438">
        <f>VLOOKUP(H164,'Full Trial Balance'!$A$4:$G$2306,3,FALSE)</f>
        <v>3328</v>
      </c>
      <c r="K164" s="438">
        <f>VLOOKUP(H164,'Full Trial Balance'!$A$4:$G$2306,4,FALSE)</f>
        <v>0</v>
      </c>
      <c r="L164" s="438">
        <f>VLOOKUP(H164,'Full Trial Balance'!$A$4:$G$2306,5,FALSE)</f>
        <v>1634.36</v>
      </c>
      <c r="M164" s="438">
        <f>VLOOKUP(H164,'Full Trial Balance'!$A$4:$G$2306,6,FALSE)</f>
        <v>0</v>
      </c>
      <c r="N164" s="438">
        <f>VLOOKUP(H164,'Full Trial Balance'!$A$4:$G$2306,7,FALSE)</f>
        <v>1634.36</v>
      </c>
      <c r="O164" s="485">
        <f t="shared" si="22"/>
        <v>0</v>
      </c>
    </row>
    <row r="165" spans="1:15" x14ac:dyDescent="0.25">
      <c r="A165" s="241" t="str">
        <f t="shared" si="17"/>
        <v>03-01</v>
      </c>
      <c r="B165" s="241" t="str">
        <f t="shared" si="18"/>
        <v>03</v>
      </c>
      <c r="C165" s="241" t="str">
        <f t="shared" si="19"/>
        <v>01</v>
      </c>
      <c r="D165" s="235" t="str">
        <f t="shared" si="20"/>
        <v>03-</v>
      </c>
      <c r="E165" s="241" t="s">
        <v>1250</v>
      </c>
      <c r="F165" s="241" t="str">
        <f t="shared" si="21"/>
        <v>-031-126</v>
      </c>
      <c r="G165" s="429" t="s">
        <v>1444</v>
      </c>
      <c r="H165" s="241" t="s">
        <v>729</v>
      </c>
      <c r="I165" s="435" t="s">
        <v>162</v>
      </c>
      <c r="J165" s="438">
        <f>VLOOKUP(H165,'Full Trial Balance'!$A$4:$G$2306,3,FALSE)</f>
        <v>1300</v>
      </c>
      <c r="K165" s="438">
        <f>VLOOKUP(H165,'Full Trial Balance'!$A$4:$G$2306,4,FALSE)</f>
        <v>0</v>
      </c>
      <c r="L165" s="438">
        <f>VLOOKUP(H165,'Full Trial Balance'!$A$4:$G$2306,5,FALSE)</f>
        <v>613.29</v>
      </c>
      <c r="M165" s="438">
        <f>VLOOKUP(H165,'Full Trial Balance'!$A$4:$G$2306,6,FALSE)</f>
        <v>80.27</v>
      </c>
      <c r="N165" s="438">
        <f>VLOOKUP(H165,'Full Trial Balance'!$A$4:$G$2306,7,FALSE)</f>
        <v>533.02</v>
      </c>
      <c r="O165" s="485">
        <f t="shared" si="22"/>
        <v>0</v>
      </c>
    </row>
    <row r="166" spans="1:15" x14ac:dyDescent="0.25">
      <c r="A166" s="241" t="str">
        <f t="shared" si="17"/>
        <v>03-01</v>
      </c>
      <c r="B166" s="241" t="str">
        <f t="shared" si="18"/>
        <v>03</v>
      </c>
      <c r="C166" s="241" t="str">
        <f t="shared" si="19"/>
        <v>01</v>
      </c>
      <c r="D166" s="235" t="str">
        <f t="shared" si="20"/>
        <v>03-</v>
      </c>
      <c r="E166" s="241" t="s">
        <v>1250</v>
      </c>
      <c r="F166" s="241" t="str">
        <f t="shared" si="21"/>
        <v>-031-127</v>
      </c>
      <c r="G166" s="429" t="s">
        <v>1444</v>
      </c>
      <c r="H166" s="241" t="s">
        <v>770</v>
      </c>
      <c r="I166" s="435" t="s">
        <v>83</v>
      </c>
      <c r="J166" s="438">
        <f>VLOOKUP(H166,'Full Trial Balance'!$A$4:$G$2306,3,FALSE)</f>
        <v>23400</v>
      </c>
      <c r="K166" s="438">
        <f>VLOOKUP(H166,'Full Trial Balance'!$A$4:$G$2306,4,FALSE)</f>
        <v>0</v>
      </c>
      <c r="L166" s="438">
        <f>VLOOKUP(H166,'Full Trial Balance'!$A$4:$G$2306,5,FALSE)</f>
        <v>10440.969999999999</v>
      </c>
      <c r="M166" s="438">
        <f>VLOOKUP(H166,'Full Trial Balance'!$A$4:$G$2306,6,FALSE)</f>
        <v>116.93</v>
      </c>
      <c r="N166" s="438">
        <f>VLOOKUP(H166,'Full Trial Balance'!$A$4:$G$2306,7,FALSE)</f>
        <v>10324.040000000001</v>
      </c>
      <c r="O166" s="485">
        <f t="shared" si="22"/>
        <v>1.5347723092418164E-12</v>
      </c>
    </row>
    <row r="167" spans="1:15" x14ac:dyDescent="0.25">
      <c r="A167" s="241" t="str">
        <f t="shared" si="17"/>
        <v>03-01</v>
      </c>
      <c r="B167" s="241" t="str">
        <f t="shared" si="18"/>
        <v>03</v>
      </c>
      <c r="C167" s="241" t="str">
        <f t="shared" si="19"/>
        <v>01</v>
      </c>
      <c r="D167" s="235" t="str">
        <f t="shared" si="20"/>
        <v>03-</v>
      </c>
      <c r="E167" s="241" t="s">
        <v>1250</v>
      </c>
      <c r="F167" s="241" t="str">
        <f t="shared" si="21"/>
        <v>-031-128</v>
      </c>
      <c r="G167" s="235" t="str">
        <f>CONCATENATE(D167,E167,F167)</f>
        <v>03-0x-031-128</v>
      </c>
      <c r="H167" s="241" t="s">
        <v>774</v>
      </c>
      <c r="I167" s="435" t="s">
        <v>163</v>
      </c>
      <c r="J167" s="438">
        <f>VLOOKUP(H167,'Full Trial Balance'!$A$4:$G$2306,3,FALSE)</f>
        <v>13520</v>
      </c>
      <c r="K167" s="438">
        <f>VLOOKUP(H167,'Full Trial Balance'!$A$4:$G$2306,4,FALSE)</f>
        <v>0</v>
      </c>
      <c r="L167" s="438">
        <f>VLOOKUP(H167,'Full Trial Balance'!$A$4:$G$2306,5,FALSE)</f>
        <v>7010.68</v>
      </c>
      <c r="M167" s="438">
        <f>VLOOKUP(H167,'Full Trial Balance'!$A$4:$G$2306,6,FALSE)</f>
        <v>0</v>
      </c>
      <c r="N167" s="438">
        <f>VLOOKUP(H167,'Full Trial Balance'!$A$4:$G$2306,7,FALSE)</f>
        <v>7010.68</v>
      </c>
      <c r="O167" s="485">
        <f t="shared" si="22"/>
        <v>0</v>
      </c>
    </row>
    <row r="168" spans="1:15" x14ac:dyDescent="0.25">
      <c r="A168" s="241" t="str">
        <f t="shared" si="17"/>
        <v>03-01</v>
      </c>
      <c r="B168" s="241" t="str">
        <f t="shared" si="18"/>
        <v>03</v>
      </c>
      <c r="C168" s="241" t="str">
        <f t="shared" si="19"/>
        <v>01</v>
      </c>
      <c r="D168" s="235" t="str">
        <f t="shared" si="20"/>
        <v>03-</v>
      </c>
      <c r="E168" s="241" t="s">
        <v>1250</v>
      </c>
      <c r="F168" s="241" t="str">
        <f t="shared" si="21"/>
        <v>-035-001</v>
      </c>
      <c r="G168" s="235" t="str">
        <f>CONCATENATE(D168,E168,F168)</f>
        <v>03-0x-035-001</v>
      </c>
      <c r="H168" s="241" t="s">
        <v>771</v>
      </c>
      <c r="I168" s="435" t="s">
        <v>70</v>
      </c>
      <c r="J168" s="438">
        <f>VLOOKUP(H168,'Full Trial Balance'!$A$4:$G$2306,3,FALSE)</f>
        <v>30160</v>
      </c>
      <c r="K168" s="438">
        <f>VLOOKUP(H168,'Full Trial Balance'!$A$4:$G$2306,4,FALSE)</f>
        <v>0</v>
      </c>
      <c r="L168" s="438">
        <f>VLOOKUP(H168,'Full Trial Balance'!$A$4:$G$2306,5,FALSE)</f>
        <v>5536.72</v>
      </c>
      <c r="M168" s="438">
        <f>VLOOKUP(H168,'Full Trial Balance'!$A$4:$G$2306,6,FALSE)</f>
        <v>25.37</v>
      </c>
      <c r="N168" s="438">
        <f>VLOOKUP(H168,'Full Trial Balance'!$A$4:$G$2306,7,FALSE)</f>
        <v>5511.35</v>
      </c>
      <c r="O168" s="485">
        <f t="shared" si="22"/>
        <v>1.1013412404281553E-13</v>
      </c>
    </row>
    <row r="169" spans="1:15" x14ac:dyDescent="0.25">
      <c r="A169" s="241" t="str">
        <f t="shared" si="17"/>
        <v>03-01</v>
      </c>
      <c r="B169" s="241" t="str">
        <f t="shared" si="18"/>
        <v>03</v>
      </c>
      <c r="C169" s="241" t="str">
        <f t="shared" si="19"/>
        <v>01</v>
      </c>
      <c r="D169" s="235" t="str">
        <f t="shared" si="20"/>
        <v>03-</v>
      </c>
      <c r="E169" s="241" t="s">
        <v>1250</v>
      </c>
      <c r="F169" s="241" t="str">
        <f t="shared" si="21"/>
        <v>-035-002</v>
      </c>
      <c r="G169" s="235" t="str">
        <f>CONCATENATE(D169,E169,F169)</f>
        <v>03-0x-035-002</v>
      </c>
      <c r="H169" s="241" t="s">
        <v>772</v>
      </c>
      <c r="I169" s="435" t="s">
        <v>47</v>
      </c>
      <c r="J169" s="438">
        <f>VLOOKUP(H169,'Full Trial Balance'!$A$4:$G$2306,3,FALSE)</f>
        <v>2600</v>
      </c>
      <c r="K169" s="438">
        <f>VLOOKUP(H169,'Full Trial Balance'!$A$4:$G$2306,4,FALSE)</f>
        <v>0</v>
      </c>
      <c r="L169" s="438">
        <f>VLOOKUP(H169,'Full Trial Balance'!$A$4:$G$2306,5,FALSE)</f>
        <v>2045.46</v>
      </c>
      <c r="M169" s="438">
        <f>VLOOKUP(H169,'Full Trial Balance'!$A$4:$G$2306,6,FALSE)</f>
        <v>170</v>
      </c>
      <c r="N169" s="438">
        <f>VLOOKUP(H169,'Full Trial Balance'!$A$4:$G$2306,7,FALSE)</f>
        <v>1875.46</v>
      </c>
      <c r="O169" s="485">
        <f t="shared" si="22"/>
        <v>0</v>
      </c>
    </row>
    <row r="170" spans="1:15" x14ac:dyDescent="0.25">
      <c r="A170" s="241" t="str">
        <f t="shared" si="17"/>
        <v>03-01</v>
      </c>
      <c r="B170" s="241" t="str">
        <f t="shared" si="18"/>
        <v>03</v>
      </c>
      <c r="C170" s="241" t="str">
        <f t="shared" si="19"/>
        <v>01</v>
      </c>
      <c r="D170" s="235" t="str">
        <f t="shared" si="20"/>
        <v>03-</v>
      </c>
      <c r="E170" s="241" t="s">
        <v>1250</v>
      </c>
      <c r="F170" s="241" t="str">
        <f t="shared" si="21"/>
        <v>-035-003</v>
      </c>
      <c r="G170" s="256" t="s">
        <v>1455</v>
      </c>
      <c r="H170" s="241" t="s">
        <v>766</v>
      </c>
      <c r="I170" s="435" t="s">
        <v>48</v>
      </c>
      <c r="J170" s="438">
        <f>VLOOKUP(H170,'Full Trial Balance'!$A$4:$G$2306,3,FALSE)</f>
        <v>3900</v>
      </c>
      <c r="K170" s="438">
        <f>VLOOKUP(H170,'Full Trial Balance'!$A$4:$G$2306,4,FALSE)</f>
        <v>0</v>
      </c>
      <c r="L170" s="438">
        <f>VLOOKUP(H170,'Full Trial Balance'!$A$4:$G$2306,5,FALSE)</f>
        <v>1457.65</v>
      </c>
      <c r="M170" s="438">
        <f>VLOOKUP(H170,'Full Trial Balance'!$A$4:$G$2306,6,FALSE)</f>
        <v>504</v>
      </c>
      <c r="N170" s="438">
        <f>VLOOKUP(H170,'Full Trial Balance'!$A$4:$G$2306,7,FALSE)</f>
        <v>953.65</v>
      </c>
      <c r="O170" s="485">
        <f t="shared" si="22"/>
        <v>0</v>
      </c>
    </row>
    <row r="171" spans="1:15" x14ac:dyDescent="0.25">
      <c r="A171" s="241" t="str">
        <f t="shared" si="17"/>
        <v>03-01</v>
      </c>
      <c r="B171" s="241" t="str">
        <f t="shared" si="18"/>
        <v>03</v>
      </c>
      <c r="C171" s="241" t="str">
        <f t="shared" si="19"/>
        <v>01</v>
      </c>
      <c r="D171" s="235" t="str">
        <f t="shared" si="20"/>
        <v>03-</v>
      </c>
      <c r="E171" s="241" t="s">
        <v>1250</v>
      </c>
      <c r="F171" s="241" t="str">
        <f t="shared" si="21"/>
        <v>-035-004</v>
      </c>
      <c r="G171" s="235" t="s">
        <v>1455</v>
      </c>
      <c r="H171" s="241" t="s">
        <v>750</v>
      </c>
      <c r="I171" s="435" t="s">
        <v>49</v>
      </c>
      <c r="J171" s="438">
        <f>VLOOKUP(H171,'Full Trial Balance'!$A$4:$G$2306,3,FALSE)</f>
        <v>10400</v>
      </c>
      <c r="K171" s="438">
        <f>VLOOKUP(H171,'Full Trial Balance'!$A$4:$G$2306,4,FALSE)</f>
        <v>0</v>
      </c>
      <c r="L171" s="438">
        <f>VLOOKUP(H171,'Full Trial Balance'!$A$4:$G$2306,5,FALSE)</f>
        <v>2555.1799999999998</v>
      </c>
      <c r="M171" s="438">
        <f>VLOOKUP(H171,'Full Trial Balance'!$A$4:$G$2306,6,FALSE)</f>
        <v>0</v>
      </c>
      <c r="N171" s="438">
        <f>VLOOKUP(H171,'Full Trial Balance'!$A$4:$G$2306,7,FALSE)</f>
        <v>2555.1799999999998</v>
      </c>
      <c r="O171" s="485">
        <f t="shared" si="22"/>
        <v>0</v>
      </c>
    </row>
    <row r="172" spans="1:15" x14ac:dyDescent="0.25">
      <c r="A172" s="241" t="str">
        <f t="shared" si="17"/>
        <v>03-01</v>
      </c>
      <c r="B172" s="241" t="str">
        <f t="shared" si="18"/>
        <v>03</v>
      </c>
      <c r="C172" s="241" t="str">
        <f t="shared" si="19"/>
        <v>01</v>
      </c>
      <c r="D172" s="235" t="str">
        <f t="shared" si="20"/>
        <v>03-</v>
      </c>
      <c r="E172" s="241" t="s">
        <v>1250</v>
      </c>
      <c r="F172" s="241" t="str">
        <f t="shared" si="21"/>
        <v>-035-005</v>
      </c>
      <c r="G172" s="256" t="s">
        <v>1460</v>
      </c>
      <c r="H172" s="241" t="s">
        <v>739</v>
      </c>
      <c r="I172" s="435" t="s">
        <v>50</v>
      </c>
      <c r="J172" s="438">
        <f>VLOOKUP(H172,'Full Trial Balance'!$A$4:$G$2306,3,FALSE)</f>
        <v>14560</v>
      </c>
      <c r="K172" s="438">
        <f>VLOOKUP(H172,'Full Trial Balance'!$A$4:$G$2306,4,FALSE)</f>
        <v>0</v>
      </c>
      <c r="L172" s="438">
        <f>VLOOKUP(H172,'Full Trial Balance'!$A$4:$G$2306,5,FALSE)</f>
        <v>4498.38</v>
      </c>
      <c r="M172" s="438">
        <f>VLOOKUP(H172,'Full Trial Balance'!$A$4:$G$2306,6,FALSE)</f>
        <v>0</v>
      </c>
      <c r="N172" s="438">
        <f>VLOOKUP(H172,'Full Trial Balance'!$A$4:$G$2306,7,FALSE)</f>
        <v>4498.38</v>
      </c>
      <c r="O172" s="485">
        <f t="shared" si="22"/>
        <v>0</v>
      </c>
    </row>
    <row r="173" spans="1:15" x14ac:dyDescent="0.25">
      <c r="A173" s="241" t="str">
        <f t="shared" si="17"/>
        <v>03-01</v>
      </c>
      <c r="B173" s="241" t="str">
        <f t="shared" si="18"/>
        <v>03</v>
      </c>
      <c r="C173" s="241" t="str">
        <f t="shared" si="19"/>
        <v>01</v>
      </c>
      <c r="D173" s="235" t="str">
        <f t="shared" si="20"/>
        <v>03-</v>
      </c>
      <c r="E173" s="241" t="s">
        <v>1250</v>
      </c>
      <c r="F173" s="241" t="str">
        <f t="shared" si="21"/>
        <v>-035-006</v>
      </c>
      <c r="G173" s="256" t="s">
        <v>1460</v>
      </c>
      <c r="H173" s="241" t="s">
        <v>1068</v>
      </c>
      <c r="I173" s="435" t="s">
        <v>1061</v>
      </c>
      <c r="J173" s="438">
        <f>VLOOKUP(H173,'Full Trial Balance'!$A$4:$G$2306,3,FALSE)</f>
        <v>15600</v>
      </c>
      <c r="K173" s="438">
        <f>VLOOKUP(H173,'Full Trial Balance'!$A$4:$G$2306,4,FALSE)</f>
        <v>0</v>
      </c>
      <c r="L173" s="438">
        <f>VLOOKUP(H173,'Full Trial Balance'!$A$4:$G$2306,5,FALSE)</f>
        <v>8809.9500000000007</v>
      </c>
      <c r="M173" s="438">
        <f>VLOOKUP(H173,'Full Trial Balance'!$A$4:$G$2306,6,FALSE)</f>
        <v>0</v>
      </c>
      <c r="N173" s="438">
        <f>VLOOKUP(H173,'Full Trial Balance'!$A$4:$G$2306,7,FALSE)</f>
        <v>8809.9500000000007</v>
      </c>
      <c r="O173" s="485">
        <f t="shared" si="22"/>
        <v>0</v>
      </c>
    </row>
    <row r="174" spans="1:15" x14ac:dyDescent="0.25">
      <c r="A174" s="241" t="str">
        <f t="shared" si="17"/>
        <v>03-01</v>
      </c>
      <c r="B174" s="241" t="str">
        <f t="shared" si="18"/>
        <v>03</v>
      </c>
      <c r="C174" s="241" t="str">
        <f t="shared" si="19"/>
        <v>01</v>
      </c>
      <c r="D174" s="235" t="str">
        <f t="shared" si="20"/>
        <v>03-</v>
      </c>
      <c r="E174" s="241" t="s">
        <v>1250</v>
      </c>
      <c r="F174" s="241" t="str">
        <f t="shared" si="21"/>
        <v>-035-007</v>
      </c>
      <c r="G174" s="235" t="str">
        <f t="shared" ref="G174:G181" si="23">CONCATENATE(D174,E174,F174)</f>
        <v>03-0x-035-007</v>
      </c>
      <c r="H174" s="241" t="s">
        <v>728</v>
      </c>
      <c r="I174" s="435" t="s">
        <v>51</v>
      </c>
      <c r="J174" s="438">
        <f>VLOOKUP(H174,'Full Trial Balance'!$A$4:$G$2306,3,FALSE)</f>
        <v>6240</v>
      </c>
      <c r="K174" s="438">
        <f>VLOOKUP(H174,'Full Trial Balance'!$A$4:$G$2306,4,FALSE)</f>
        <v>0</v>
      </c>
      <c r="L174" s="438">
        <f>VLOOKUP(H174,'Full Trial Balance'!$A$4:$G$2306,5,FALSE)</f>
        <v>1963.97</v>
      </c>
      <c r="M174" s="438">
        <f>VLOOKUP(H174,'Full Trial Balance'!$A$4:$G$2306,6,FALSE)</f>
        <v>0</v>
      </c>
      <c r="N174" s="438">
        <f>VLOOKUP(H174,'Full Trial Balance'!$A$4:$G$2306,7,FALSE)</f>
        <v>1963.97</v>
      </c>
      <c r="O174" s="485">
        <f t="shared" si="22"/>
        <v>0</v>
      </c>
    </row>
    <row r="175" spans="1:15" x14ac:dyDescent="0.25">
      <c r="A175" s="241" t="str">
        <f t="shared" si="17"/>
        <v>03-01</v>
      </c>
      <c r="B175" s="241" t="str">
        <f t="shared" si="18"/>
        <v>03</v>
      </c>
      <c r="C175" s="241" t="str">
        <f t="shared" si="19"/>
        <v>01</v>
      </c>
      <c r="D175" s="235" t="str">
        <f t="shared" si="20"/>
        <v>03-</v>
      </c>
      <c r="E175" s="241" t="s">
        <v>1250</v>
      </c>
      <c r="F175" s="241" t="str">
        <f t="shared" si="21"/>
        <v>-035-008</v>
      </c>
      <c r="G175" s="235" t="str">
        <f t="shared" si="23"/>
        <v>03-0x-035-008</v>
      </c>
      <c r="H175" s="241" t="s">
        <v>760</v>
      </c>
      <c r="I175" s="435" t="s">
        <v>164</v>
      </c>
      <c r="J175" s="438">
        <f>VLOOKUP(H175,'Full Trial Balance'!$A$4:$G$2306,3,FALSE)</f>
        <v>31200</v>
      </c>
      <c r="K175" s="438">
        <f>VLOOKUP(H175,'Full Trial Balance'!$A$4:$G$2306,4,FALSE)</f>
        <v>0</v>
      </c>
      <c r="L175" s="438">
        <f>VLOOKUP(H175,'Full Trial Balance'!$A$4:$G$2306,5,FALSE)</f>
        <v>20238.53</v>
      </c>
      <c r="M175" s="438">
        <f>VLOOKUP(H175,'Full Trial Balance'!$A$4:$G$2306,6,FALSE)</f>
        <v>0</v>
      </c>
      <c r="N175" s="438">
        <f>VLOOKUP(H175,'Full Trial Balance'!$A$4:$G$2306,7,FALSE)</f>
        <v>20238.53</v>
      </c>
      <c r="O175" s="485">
        <f t="shared" si="22"/>
        <v>0</v>
      </c>
    </row>
    <row r="176" spans="1:15" x14ac:dyDescent="0.25">
      <c r="A176" s="241" t="str">
        <f t="shared" si="17"/>
        <v>03-01</v>
      </c>
      <c r="B176" s="241" t="str">
        <f t="shared" si="18"/>
        <v>03</v>
      </c>
      <c r="C176" s="241" t="str">
        <f t="shared" si="19"/>
        <v>01</v>
      </c>
      <c r="D176" s="235" t="str">
        <f t="shared" si="20"/>
        <v>03-</v>
      </c>
      <c r="E176" s="241" t="s">
        <v>1250</v>
      </c>
      <c r="F176" s="241" t="str">
        <f t="shared" si="21"/>
        <v>-035-009</v>
      </c>
      <c r="G176" s="235" t="str">
        <f t="shared" si="23"/>
        <v>03-0x-035-009</v>
      </c>
      <c r="H176" s="241" t="s">
        <v>751</v>
      </c>
      <c r="I176" s="435" t="s">
        <v>165</v>
      </c>
      <c r="J176" s="438">
        <f>VLOOKUP(H176,'Full Trial Balance'!$A$4:$G$2306,3,FALSE)</f>
        <v>3120</v>
      </c>
      <c r="K176" s="438">
        <f>VLOOKUP(H176,'Full Trial Balance'!$A$4:$G$2306,4,FALSE)</f>
        <v>0</v>
      </c>
      <c r="L176" s="438">
        <f>VLOOKUP(H176,'Full Trial Balance'!$A$4:$G$2306,5,FALSE)</f>
        <v>980.29</v>
      </c>
      <c r="M176" s="438">
        <f>VLOOKUP(H176,'Full Trial Balance'!$A$4:$G$2306,6,FALSE)</f>
        <v>43.43</v>
      </c>
      <c r="N176" s="438">
        <f>VLOOKUP(H176,'Full Trial Balance'!$A$4:$G$2306,7,FALSE)</f>
        <v>936.86</v>
      </c>
      <c r="O176" s="485">
        <f t="shared" si="22"/>
        <v>0</v>
      </c>
    </row>
    <row r="177" spans="1:15" x14ac:dyDescent="0.25">
      <c r="A177" s="241" t="str">
        <f t="shared" si="17"/>
        <v>03-01</v>
      </c>
      <c r="B177" s="241" t="str">
        <f t="shared" si="18"/>
        <v>03</v>
      </c>
      <c r="C177" s="241" t="str">
        <f t="shared" si="19"/>
        <v>01</v>
      </c>
      <c r="D177" s="235" t="str">
        <f t="shared" si="20"/>
        <v>03-</v>
      </c>
      <c r="E177" s="241" t="s">
        <v>1250</v>
      </c>
      <c r="F177" s="241" t="str">
        <f t="shared" si="21"/>
        <v>-035-010</v>
      </c>
      <c r="G177" s="235" t="str">
        <f t="shared" si="23"/>
        <v>03-0x-035-010</v>
      </c>
      <c r="H177" s="241" t="s">
        <v>1069</v>
      </c>
      <c r="I177" s="435" t="s">
        <v>1063</v>
      </c>
      <c r="J177" s="438">
        <f>VLOOKUP(H177,'Full Trial Balance'!$A$4:$G$2306,3,FALSE)</f>
        <v>4940</v>
      </c>
      <c r="K177" s="438">
        <f>VLOOKUP(H177,'Full Trial Balance'!$A$4:$G$2306,4,FALSE)</f>
        <v>0</v>
      </c>
      <c r="L177" s="438">
        <f>VLOOKUP(H177,'Full Trial Balance'!$A$4:$G$2306,5,FALSE)</f>
        <v>1866.8</v>
      </c>
      <c r="M177" s="438">
        <f>VLOOKUP(H177,'Full Trial Balance'!$A$4:$G$2306,6,FALSE)</f>
        <v>0</v>
      </c>
      <c r="N177" s="438">
        <f>VLOOKUP(H177,'Full Trial Balance'!$A$4:$G$2306,7,FALSE)</f>
        <v>1866.8</v>
      </c>
      <c r="O177" s="485">
        <f t="shared" si="22"/>
        <v>0</v>
      </c>
    </row>
    <row r="178" spans="1:15" x14ac:dyDescent="0.25">
      <c r="A178" s="241" t="str">
        <f t="shared" si="17"/>
        <v>03-01</v>
      </c>
      <c r="B178" s="241" t="str">
        <f t="shared" si="18"/>
        <v>03</v>
      </c>
      <c r="C178" s="241" t="str">
        <f t="shared" si="19"/>
        <v>01</v>
      </c>
      <c r="D178" s="235" t="str">
        <f t="shared" si="20"/>
        <v>03-</v>
      </c>
      <c r="E178" s="241" t="s">
        <v>1250</v>
      </c>
      <c r="F178" s="241" t="str">
        <f t="shared" si="21"/>
        <v>-038-110</v>
      </c>
      <c r="G178" s="235" t="str">
        <f t="shared" si="23"/>
        <v>03-0x-038-110</v>
      </c>
      <c r="H178" s="241" t="s">
        <v>727</v>
      </c>
      <c r="I178" s="435" t="s">
        <v>166</v>
      </c>
      <c r="J178" s="438">
        <f>VLOOKUP(H178,'Full Trial Balance'!$A$4:$G$2306,3,FALSE)</f>
        <v>18200</v>
      </c>
      <c r="K178" s="438">
        <f>VLOOKUP(H178,'Full Trial Balance'!$A$4:$G$2306,4,FALSE)</f>
        <v>0</v>
      </c>
      <c r="L178" s="438">
        <f>VLOOKUP(H178,'Full Trial Balance'!$A$4:$G$2306,5,FALSE)</f>
        <v>12838.45</v>
      </c>
      <c r="M178" s="438">
        <f>VLOOKUP(H178,'Full Trial Balance'!$A$4:$G$2306,6,FALSE)</f>
        <v>0</v>
      </c>
      <c r="N178" s="438">
        <f>VLOOKUP(H178,'Full Trial Balance'!$A$4:$G$2306,7,FALSE)</f>
        <v>12838.45</v>
      </c>
      <c r="O178" s="485">
        <f t="shared" si="22"/>
        <v>0</v>
      </c>
    </row>
    <row r="179" spans="1:15" x14ac:dyDescent="0.25">
      <c r="A179" s="241" t="str">
        <f t="shared" si="17"/>
        <v>03-01</v>
      </c>
      <c r="B179" s="241" t="str">
        <f t="shared" si="18"/>
        <v>03</v>
      </c>
      <c r="C179" s="241" t="str">
        <f t="shared" si="19"/>
        <v>01</v>
      </c>
      <c r="D179" s="235" t="str">
        <f t="shared" si="20"/>
        <v>03-</v>
      </c>
      <c r="E179" s="241" t="s">
        <v>1250</v>
      </c>
      <c r="F179" s="241" t="str">
        <f t="shared" si="21"/>
        <v>-038-111</v>
      </c>
      <c r="G179" s="256" t="str">
        <f t="shared" si="23"/>
        <v>03-0x-038-111</v>
      </c>
      <c r="H179" s="241" t="s">
        <v>742</v>
      </c>
      <c r="I179" s="435" t="s">
        <v>52</v>
      </c>
      <c r="J179" s="438">
        <f>VLOOKUP(H179,'Full Trial Balance'!$A$4:$G$2306,3,FALSE)</f>
        <v>89680</v>
      </c>
      <c r="K179" s="438">
        <f>VLOOKUP(H179,'Full Trial Balance'!$A$4:$G$2306,4,FALSE)</f>
        <v>0</v>
      </c>
      <c r="L179" s="438">
        <f>VLOOKUP(H179,'Full Trial Balance'!$A$4:$G$2306,5,FALSE)</f>
        <v>37325.129999999997</v>
      </c>
      <c r="M179" s="438">
        <f>VLOOKUP(H179,'Full Trial Balance'!$A$4:$G$2306,6,FALSE)</f>
        <v>1989</v>
      </c>
      <c r="N179" s="438">
        <f>VLOOKUP(H179,'Full Trial Balance'!$A$4:$G$2306,7,FALSE)</f>
        <v>35336.129999999997</v>
      </c>
      <c r="O179" s="485">
        <f t="shared" si="22"/>
        <v>0</v>
      </c>
    </row>
    <row r="180" spans="1:15" x14ac:dyDescent="0.25">
      <c r="A180" s="241" t="str">
        <f t="shared" si="17"/>
        <v>03-01</v>
      </c>
      <c r="B180" s="241" t="str">
        <f t="shared" si="18"/>
        <v>03</v>
      </c>
      <c r="C180" s="241" t="str">
        <f t="shared" si="19"/>
        <v>01</v>
      </c>
      <c r="D180" s="235" t="str">
        <f t="shared" si="20"/>
        <v>03-</v>
      </c>
      <c r="E180" s="241" t="s">
        <v>1250</v>
      </c>
      <c r="F180" s="241" t="str">
        <f t="shared" si="21"/>
        <v>-038-113</v>
      </c>
      <c r="G180" s="235" t="str">
        <f t="shared" si="23"/>
        <v>03-0x-038-113</v>
      </c>
      <c r="H180" s="241" t="s">
        <v>757</v>
      </c>
      <c r="I180" s="435" t="s">
        <v>167</v>
      </c>
      <c r="J180" s="438">
        <f>VLOOKUP(H180,'Full Trial Balance'!$A$4:$G$2306,3,FALSE)</f>
        <v>108560</v>
      </c>
      <c r="K180" s="438">
        <f>VLOOKUP(H180,'Full Trial Balance'!$A$4:$G$2306,4,FALSE)</f>
        <v>0</v>
      </c>
      <c r="L180" s="438">
        <f>VLOOKUP(H180,'Full Trial Balance'!$A$4:$G$2306,5,FALSE)</f>
        <v>74531.289999999994</v>
      </c>
      <c r="M180" s="438">
        <f>VLOOKUP(H180,'Full Trial Balance'!$A$4:$G$2306,6,FALSE)</f>
        <v>7042.86</v>
      </c>
      <c r="N180" s="438">
        <f>VLOOKUP(H180,'Full Trial Balance'!$A$4:$G$2306,7,FALSE)</f>
        <v>67488.429999999993</v>
      </c>
      <c r="O180" s="485">
        <f t="shared" si="22"/>
        <v>0</v>
      </c>
    </row>
    <row r="181" spans="1:15" x14ac:dyDescent="0.25">
      <c r="A181" s="241" t="str">
        <f t="shared" si="17"/>
        <v>03-01</v>
      </c>
      <c r="B181" s="241" t="str">
        <f t="shared" si="18"/>
        <v>03</v>
      </c>
      <c r="C181" s="241" t="str">
        <f t="shared" si="19"/>
        <v>01</v>
      </c>
      <c r="D181" s="235" t="str">
        <f t="shared" si="20"/>
        <v>03-</v>
      </c>
      <c r="E181" s="241" t="s">
        <v>1250</v>
      </c>
      <c r="F181" s="241" t="str">
        <f t="shared" si="21"/>
        <v>-038-115</v>
      </c>
      <c r="G181" s="235" t="str">
        <f t="shared" si="23"/>
        <v>03-0x-038-115</v>
      </c>
      <c r="H181" s="241" t="s">
        <v>2727</v>
      </c>
      <c r="I181" s="435" t="s">
        <v>2267</v>
      </c>
      <c r="J181" s="438">
        <f>VLOOKUP(H181,'Full Trial Balance'!$A$4:$G$2306,3,FALSE)</f>
        <v>16000</v>
      </c>
      <c r="K181" s="438">
        <f>VLOOKUP(H181,'Full Trial Balance'!$A$4:$G$2306,4,FALSE)</f>
        <v>0</v>
      </c>
      <c r="L181" s="438">
        <f>VLOOKUP(H181,'Full Trial Balance'!$A$4:$G$2306,5,FALSE)</f>
        <v>0</v>
      </c>
      <c r="M181" s="438">
        <f>VLOOKUP(H181,'Full Trial Balance'!$A$4:$G$2306,6,FALSE)</f>
        <v>0</v>
      </c>
      <c r="N181" s="438">
        <f>VLOOKUP(H181,'Full Trial Balance'!$A$4:$G$2306,7,FALSE)</f>
        <v>0</v>
      </c>
      <c r="O181" s="485">
        <f t="shared" si="22"/>
        <v>0</v>
      </c>
    </row>
    <row r="182" spans="1:15" x14ac:dyDescent="0.25">
      <c r="A182" s="241" t="str">
        <f t="shared" si="17"/>
        <v>03-01</v>
      </c>
      <c r="B182" s="241" t="str">
        <f t="shared" si="18"/>
        <v>03</v>
      </c>
      <c r="C182" s="241" t="str">
        <f t="shared" si="19"/>
        <v>01</v>
      </c>
      <c r="D182" s="235" t="str">
        <f t="shared" si="20"/>
        <v>03-</v>
      </c>
      <c r="E182" s="241" t="s">
        <v>1250</v>
      </c>
      <c r="F182" s="241" t="str">
        <f t="shared" si="21"/>
        <v>-040-018</v>
      </c>
      <c r="G182" s="256" t="s">
        <v>1465</v>
      </c>
      <c r="H182" s="241" t="s">
        <v>741</v>
      </c>
      <c r="I182" s="435" t="s">
        <v>1151</v>
      </c>
      <c r="J182" s="438">
        <f>VLOOKUP(H182,'Full Trial Balance'!$A$4:$G$2306,3,FALSE)</f>
        <v>4400</v>
      </c>
      <c r="K182" s="438">
        <f>VLOOKUP(H182,'Full Trial Balance'!$A$4:$G$2306,4,FALSE)</f>
        <v>0</v>
      </c>
      <c r="L182" s="438">
        <f>VLOOKUP(H182,'Full Trial Balance'!$A$4:$G$2306,5,FALSE)</f>
        <v>1142.4000000000001</v>
      </c>
      <c r="M182" s="438">
        <f>VLOOKUP(H182,'Full Trial Balance'!$A$4:$G$2306,6,FALSE)</f>
        <v>0</v>
      </c>
      <c r="N182" s="438">
        <f>VLOOKUP(H182,'Full Trial Balance'!$A$4:$G$2306,7,FALSE)</f>
        <v>1142.4000000000001</v>
      </c>
      <c r="O182" s="485">
        <f t="shared" si="22"/>
        <v>0</v>
      </c>
    </row>
    <row r="183" spans="1:15" x14ac:dyDescent="0.25">
      <c r="A183" s="241" t="str">
        <f t="shared" si="17"/>
        <v>03-01</v>
      </c>
      <c r="B183" s="241" t="str">
        <f t="shared" si="18"/>
        <v>03</v>
      </c>
      <c r="C183" s="241" t="str">
        <f t="shared" si="19"/>
        <v>01</v>
      </c>
      <c r="D183" s="235" t="str">
        <f t="shared" si="20"/>
        <v>03-</v>
      </c>
      <c r="E183" s="241" t="s">
        <v>1250</v>
      </c>
      <c r="F183" s="241" t="str">
        <f t="shared" si="21"/>
        <v>-040-019</v>
      </c>
      <c r="G183" s="235" t="s">
        <v>1465</v>
      </c>
      <c r="H183" s="241" t="s">
        <v>740</v>
      </c>
      <c r="I183" s="435" t="s">
        <v>180</v>
      </c>
      <c r="J183" s="438">
        <f>VLOOKUP(H183,'Full Trial Balance'!$A$4:$G$2306,3,FALSE)</f>
        <v>1560</v>
      </c>
      <c r="K183" s="438">
        <f>VLOOKUP(H183,'Full Trial Balance'!$A$4:$G$2306,4,FALSE)</f>
        <v>0</v>
      </c>
      <c r="L183" s="438">
        <f>VLOOKUP(H183,'Full Trial Balance'!$A$4:$G$2306,5,FALSE)</f>
        <v>655.20000000000005</v>
      </c>
      <c r="M183" s="438">
        <f>VLOOKUP(H183,'Full Trial Balance'!$A$4:$G$2306,6,FALSE)</f>
        <v>0</v>
      </c>
      <c r="N183" s="438">
        <f>VLOOKUP(H183,'Full Trial Balance'!$A$4:$G$2306,7,FALSE)</f>
        <v>655.20000000000005</v>
      </c>
      <c r="O183" s="485">
        <f t="shared" si="22"/>
        <v>0</v>
      </c>
    </row>
    <row r="184" spans="1:15" x14ac:dyDescent="0.25">
      <c r="A184" s="241" t="str">
        <f t="shared" si="17"/>
        <v>03-01</v>
      </c>
      <c r="B184" s="241" t="str">
        <f t="shared" si="18"/>
        <v>03</v>
      </c>
      <c r="C184" s="241" t="str">
        <f t="shared" si="19"/>
        <v>01</v>
      </c>
      <c r="D184" s="235" t="str">
        <f t="shared" si="20"/>
        <v>03-</v>
      </c>
      <c r="E184" s="241" t="s">
        <v>1250</v>
      </c>
      <c r="F184" s="241" t="str">
        <f t="shared" si="21"/>
        <v>-040-020</v>
      </c>
      <c r="G184" s="235" t="s">
        <v>1465</v>
      </c>
      <c r="H184" s="241" t="s">
        <v>745</v>
      </c>
      <c r="I184" s="435" t="s">
        <v>1152</v>
      </c>
      <c r="J184" s="438">
        <f>VLOOKUP(H184,'Full Trial Balance'!$A$4:$G$2306,3,FALSE)</f>
        <v>25500</v>
      </c>
      <c r="K184" s="438">
        <f>VLOOKUP(H184,'Full Trial Balance'!$A$4:$G$2306,4,FALSE)</f>
        <v>0</v>
      </c>
      <c r="L184" s="438">
        <f>VLOOKUP(H184,'Full Trial Balance'!$A$4:$G$2306,5,FALSE)</f>
        <v>3780.36</v>
      </c>
      <c r="M184" s="438">
        <f>VLOOKUP(H184,'Full Trial Balance'!$A$4:$G$2306,6,FALSE)</f>
        <v>0</v>
      </c>
      <c r="N184" s="438">
        <f>VLOOKUP(H184,'Full Trial Balance'!$A$4:$G$2306,7,FALSE)</f>
        <v>3780.36</v>
      </c>
      <c r="O184" s="485">
        <f t="shared" si="22"/>
        <v>0</v>
      </c>
    </row>
    <row r="185" spans="1:15" x14ac:dyDescent="0.25">
      <c r="A185" s="241" t="str">
        <f t="shared" si="17"/>
        <v>03-01</v>
      </c>
      <c r="B185" s="241" t="str">
        <f t="shared" si="18"/>
        <v>03</v>
      </c>
      <c r="C185" s="241" t="str">
        <f t="shared" si="19"/>
        <v>01</v>
      </c>
      <c r="D185" s="235" t="str">
        <f t="shared" si="20"/>
        <v>03-</v>
      </c>
      <c r="E185" s="241" t="s">
        <v>1250</v>
      </c>
      <c r="F185" s="241" t="str">
        <f t="shared" si="21"/>
        <v>-040-022</v>
      </c>
      <c r="G185" s="235" t="str">
        <f>CONCATENATE(D185,E185,F185)</f>
        <v>03-0x-040-022</v>
      </c>
      <c r="H185" s="241" t="s">
        <v>779</v>
      </c>
      <c r="I185" s="435" t="s">
        <v>53</v>
      </c>
      <c r="J185" s="438">
        <f>VLOOKUP(H185,'Full Trial Balance'!$A$4:$G$2306,3,FALSE)</f>
        <v>5750</v>
      </c>
      <c r="K185" s="438">
        <f>VLOOKUP(H185,'Full Trial Balance'!$A$4:$G$2306,4,FALSE)</f>
        <v>0</v>
      </c>
      <c r="L185" s="438">
        <f>VLOOKUP(H185,'Full Trial Balance'!$A$4:$G$2306,5,FALSE)</f>
        <v>2705.42</v>
      </c>
      <c r="M185" s="438">
        <f>VLOOKUP(H185,'Full Trial Balance'!$A$4:$G$2306,6,FALSE)</f>
        <v>403.89</v>
      </c>
      <c r="N185" s="438">
        <f>VLOOKUP(H185,'Full Trial Balance'!$A$4:$G$2306,7,FALSE)</f>
        <v>2301.5300000000002</v>
      </c>
      <c r="O185" s="485">
        <f t="shared" si="22"/>
        <v>0</v>
      </c>
    </row>
    <row r="186" spans="1:15" x14ac:dyDescent="0.25">
      <c r="A186" s="241" t="str">
        <f t="shared" si="17"/>
        <v>03-01</v>
      </c>
      <c r="B186" s="241" t="str">
        <f t="shared" si="18"/>
        <v>03</v>
      </c>
      <c r="C186" s="241" t="str">
        <f t="shared" si="19"/>
        <v>01</v>
      </c>
      <c r="D186" s="235" t="str">
        <f t="shared" si="20"/>
        <v>03-</v>
      </c>
      <c r="E186" s="241" t="s">
        <v>1250</v>
      </c>
      <c r="F186" s="241" t="str">
        <f t="shared" si="21"/>
        <v>-040-024</v>
      </c>
      <c r="G186" s="235" t="str">
        <f>CONCATENATE(D186,E186,F186)</f>
        <v>03-0x-040-024</v>
      </c>
      <c r="H186" s="241" t="s">
        <v>775</v>
      </c>
      <c r="I186" s="435" t="s">
        <v>71</v>
      </c>
      <c r="J186" s="438">
        <f>VLOOKUP(H186,'Full Trial Balance'!$A$4:$G$2306,3,FALSE)</f>
        <v>2600</v>
      </c>
      <c r="K186" s="438">
        <f>VLOOKUP(H186,'Full Trial Balance'!$A$4:$G$2306,4,FALSE)</f>
        <v>0</v>
      </c>
      <c r="L186" s="438">
        <f>VLOOKUP(H186,'Full Trial Balance'!$A$4:$G$2306,5,FALSE)</f>
        <v>663.44</v>
      </c>
      <c r="M186" s="438">
        <f>VLOOKUP(H186,'Full Trial Balance'!$A$4:$G$2306,6,FALSE)</f>
        <v>0</v>
      </c>
      <c r="N186" s="438">
        <f>VLOOKUP(H186,'Full Trial Balance'!$A$4:$G$2306,7,FALSE)</f>
        <v>663.44</v>
      </c>
      <c r="O186" s="485">
        <f t="shared" si="22"/>
        <v>0</v>
      </c>
    </row>
    <row r="187" spans="1:15" x14ac:dyDescent="0.25">
      <c r="A187" s="241" t="str">
        <f t="shared" si="17"/>
        <v>03-01</v>
      </c>
      <c r="B187" s="241" t="str">
        <f t="shared" si="18"/>
        <v>03</v>
      </c>
      <c r="C187" s="241" t="str">
        <f t="shared" si="19"/>
        <v>01</v>
      </c>
      <c r="D187" s="235" t="str">
        <f t="shared" si="20"/>
        <v>03-</v>
      </c>
      <c r="E187" s="241" t="s">
        <v>1250</v>
      </c>
      <c r="F187" s="241" t="str">
        <f t="shared" si="21"/>
        <v>-040-025</v>
      </c>
      <c r="G187" s="235" t="str">
        <f>CONCATENATE(D187,E187,F187)</f>
        <v>03-0x-040-025</v>
      </c>
      <c r="H187" s="241" t="s">
        <v>764</v>
      </c>
      <c r="I187" s="435" t="s">
        <v>54</v>
      </c>
      <c r="J187" s="438">
        <f>VLOOKUP(H187,'Full Trial Balance'!$A$4:$G$2306,3,FALSE)</f>
        <v>15000</v>
      </c>
      <c r="K187" s="438">
        <f>VLOOKUP(H187,'Full Trial Balance'!$A$4:$G$2306,4,FALSE)</f>
        <v>0</v>
      </c>
      <c r="L187" s="438">
        <f>VLOOKUP(H187,'Full Trial Balance'!$A$4:$G$2306,5,FALSE)</f>
        <v>1242.32</v>
      </c>
      <c r="M187" s="438">
        <f>VLOOKUP(H187,'Full Trial Balance'!$A$4:$G$2306,6,FALSE)</f>
        <v>0</v>
      </c>
      <c r="N187" s="438">
        <f>VLOOKUP(H187,'Full Trial Balance'!$A$4:$G$2306,7,FALSE)</f>
        <v>1242.32</v>
      </c>
      <c r="O187" s="485">
        <f t="shared" si="22"/>
        <v>0</v>
      </c>
    </row>
    <row r="188" spans="1:15" x14ac:dyDescent="0.25">
      <c r="A188" s="241" t="str">
        <f t="shared" si="17"/>
        <v>03-01</v>
      </c>
      <c r="B188" s="241" t="str">
        <f t="shared" si="18"/>
        <v>03</v>
      </c>
      <c r="C188" s="241" t="str">
        <f t="shared" si="19"/>
        <v>01</v>
      </c>
      <c r="D188" s="235" t="str">
        <f t="shared" si="20"/>
        <v>03-</v>
      </c>
      <c r="E188" s="241" t="s">
        <v>1250</v>
      </c>
      <c r="F188" s="241" t="str">
        <f t="shared" si="21"/>
        <v>-040-026</v>
      </c>
      <c r="G188" s="235" t="str">
        <f>CONCATENATE(D188,E188,F188)</f>
        <v>03-0x-040-026</v>
      </c>
      <c r="H188" s="241" t="s">
        <v>769</v>
      </c>
      <c r="I188" s="435" t="s">
        <v>170</v>
      </c>
      <c r="J188" s="438">
        <f>VLOOKUP(H188,'Full Trial Balance'!$A$4:$G$2306,3,FALSE)</f>
        <v>29120</v>
      </c>
      <c r="K188" s="438">
        <f>VLOOKUP(H188,'Full Trial Balance'!$A$4:$G$2306,4,FALSE)</f>
        <v>0</v>
      </c>
      <c r="L188" s="438">
        <f>VLOOKUP(H188,'Full Trial Balance'!$A$4:$G$2306,5,FALSE)</f>
        <v>13145.19</v>
      </c>
      <c r="M188" s="438">
        <f>VLOOKUP(H188,'Full Trial Balance'!$A$4:$G$2306,6,FALSE)</f>
        <v>0</v>
      </c>
      <c r="N188" s="438">
        <f>VLOOKUP(H188,'Full Trial Balance'!$A$4:$G$2306,7,FALSE)</f>
        <v>13145.19</v>
      </c>
      <c r="O188" s="485">
        <f t="shared" si="22"/>
        <v>0</v>
      </c>
    </row>
    <row r="189" spans="1:15" x14ac:dyDescent="0.25">
      <c r="A189" s="241" t="str">
        <f t="shared" si="17"/>
        <v>03-01</v>
      </c>
      <c r="B189" s="241" t="str">
        <f t="shared" si="18"/>
        <v>03</v>
      </c>
      <c r="C189" s="241" t="str">
        <f t="shared" si="19"/>
        <v>01</v>
      </c>
      <c r="D189" s="235" t="str">
        <f t="shared" si="20"/>
        <v>03-</v>
      </c>
      <c r="E189" s="241" t="s">
        <v>1250</v>
      </c>
      <c r="F189" s="241" t="str">
        <f t="shared" si="21"/>
        <v>-040-027</v>
      </c>
      <c r="G189" s="235" t="s">
        <v>1434</v>
      </c>
      <c r="H189" s="241" t="s">
        <v>732</v>
      </c>
      <c r="I189" s="435" t="s">
        <v>171</v>
      </c>
      <c r="J189" s="438">
        <f>VLOOKUP(H189,'Full Trial Balance'!$A$4:$G$2306,3,FALSE)</f>
        <v>28600</v>
      </c>
      <c r="K189" s="438">
        <f>VLOOKUP(H189,'Full Trial Balance'!$A$4:$G$2306,4,FALSE)</f>
        <v>0</v>
      </c>
      <c r="L189" s="438">
        <f>VLOOKUP(H189,'Full Trial Balance'!$A$4:$G$2306,5,FALSE)</f>
        <v>17007.5</v>
      </c>
      <c r="M189" s="438">
        <f>VLOOKUP(H189,'Full Trial Balance'!$A$4:$G$2306,6,FALSE)</f>
        <v>108.37</v>
      </c>
      <c r="N189" s="438">
        <f>VLOOKUP(H189,'Full Trial Balance'!$A$4:$G$2306,7,FALSE)</f>
        <v>16899.13</v>
      </c>
      <c r="O189" s="485">
        <f t="shared" si="22"/>
        <v>1.0231815394945443E-12</v>
      </c>
    </row>
    <row r="190" spans="1:15" x14ac:dyDescent="0.25">
      <c r="A190" s="241" t="str">
        <f t="shared" si="17"/>
        <v>03-01</v>
      </c>
      <c r="B190" s="241" t="str">
        <f t="shared" si="18"/>
        <v>03</v>
      </c>
      <c r="C190" s="241" t="str">
        <f t="shared" si="19"/>
        <v>01</v>
      </c>
      <c r="D190" s="235" t="str">
        <f t="shared" si="20"/>
        <v>03-</v>
      </c>
      <c r="E190" s="241" t="s">
        <v>1250</v>
      </c>
      <c r="F190" s="241" t="str">
        <f t="shared" si="21"/>
        <v>-040-030</v>
      </c>
      <c r="G190" s="235" t="s">
        <v>1434</v>
      </c>
      <c r="H190" s="241" t="s">
        <v>733</v>
      </c>
      <c r="I190" s="435" t="s">
        <v>172</v>
      </c>
      <c r="J190" s="438">
        <f>VLOOKUP(H190,'Full Trial Balance'!$A$4:$G$2306,3,FALSE)</f>
        <v>624</v>
      </c>
      <c r="K190" s="438">
        <f>VLOOKUP(H190,'Full Trial Balance'!$A$4:$G$2306,4,FALSE)</f>
        <v>0</v>
      </c>
      <c r="L190" s="438">
        <f>VLOOKUP(H190,'Full Trial Balance'!$A$4:$G$2306,5,FALSE)</f>
        <v>0</v>
      </c>
      <c r="M190" s="438">
        <f>VLOOKUP(H190,'Full Trial Balance'!$A$4:$G$2306,6,FALSE)</f>
        <v>0</v>
      </c>
      <c r="N190" s="438">
        <f>VLOOKUP(H190,'Full Trial Balance'!$A$4:$G$2306,7,FALSE)</f>
        <v>0</v>
      </c>
      <c r="O190" s="485">
        <f t="shared" si="22"/>
        <v>0</v>
      </c>
    </row>
    <row r="191" spans="1:15" x14ac:dyDescent="0.25">
      <c r="A191" s="241" t="str">
        <f t="shared" si="17"/>
        <v>03-01</v>
      </c>
      <c r="B191" s="241" t="str">
        <f t="shared" si="18"/>
        <v>03</v>
      </c>
      <c r="C191" s="241" t="str">
        <f t="shared" si="19"/>
        <v>01</v>
      </c>
      <c r="D191" s="235" t="str">
        <f t="shared" si="20"/>
        <v>03-</v>
      </c>
      <c r="E191" s="241" t="s">
        <v>1250</v>
      </c>
      <c r="F191" s="241" t="str">
        <f t="shared" si="21"/>
        <v>-040-035</v>
      </c>
      <c r="G191" s="235" t="s">
        <v>1434</v>
      </c>
      <c r="H191" s="241" t="s">
        <v>734</v>
      </c>
      <c r="I191" s="435" t="s">
        <v>621</v>
      </c>
      <c r="J191" s="438">
        <f>VLOOKUP(H191,'Full Trial Balance'!$A$4:$G$2306,3,FALSE)</f>
        <v>624</v>
      </c>
      <c r="K191" s="438">
        <f>VLOOKUP(H191,'Full Trial Balance'!$A$4:$G$2306,4,FALSE)</f>
        <v>0</v>
      </c>
      <c r="L191" s="438">
        <f>VLOOKUP(H191,'Full Trial Balance'!$A$4:$G$2306,5,FALSE)</f>
        <v>0</v>
      </c>
      <c r="M191" s="438">
        <f>VLOOKUP(H191,'Full Trial Balance'!$A$4:$G$2306,6,FALSE)</f>
        <v>0</v>
      </c>
      <c r="N191" s="438">
        <f>VLOOKUP(H191,'Full Trial Balance'!$A$4:$G$2306,7,FALSE)</f>
        <v>0</v>
      </c>
      <c r="O191" s="485">
        <f t="shared" si="22"/>
        <v>0</v>
      </c>
    </row>
    <row r="192" spans="1:15" x14ac:dyDescent="0.25">
      <c r="A192" s="241" t="str">
        <f t="shared" si="17"/>
        <v>03-01</v>
      </c>
      <c r="B192" s="241" t="str">
        <f t="shared" si="18"/>
        <v>03</v>
      </c>
      <c r="C192" s="241" t="str">
        <f t="shared" si="19"/>
        <v>01</v>
      </c>
      <c r="D192" s="235" t="str">
        <f t="shared" si="20"/>
        <v>03-</v>
      </c>
      <c r="E192" s="241" t="s">
        <v>1250</v>
      </c>
      <c r="F192" s="241" t="str">
        <f t="shared" si="21"/>
        <v>-045-000</v>
      </c>
      <c r="G192" s="235" t="s">
        <v>1428</v>
      </c>
      <c r="H192" s="241" t="s">
        <v>753</v>
      </c>
      <c r="I192" s="435" t="s">
        <v>34</v>
      </c>
      <c r="J192" s="438">
        <f>VLOOKUP(H192,'Full Trial Balance'!$A$4:$G$2306,3,FALSE)</f>
        <v>520</v>
      </c>
      <c r="K192" s="438">
        <f>VLOOKUP(H192,'Full Trial Balance'!$A$4:$G$2306,4,FALSE)</f>
        <v>0</v>
      </c>
      <c r="L192" s="438">
        <f>VLOOKUP(H192,'Full Trial Balance'!$A$4:$G$2306,5,FALSE)</f>
        <v>61.57</v>
      </c>
      <c r="M192" s="438">
        <f>VLOOKUP(H192,'Full Trial Balance'!$A$4:$G$2306,6,FALSE)</f>
        <v>0</v>
      </c>
      <c r="N192" s="438">
        <f>VLOOKUP(H192,'Full Trial Balance'!$A$4:$G$2306,7,FALSE)</f>
        <v>61.57</v>
      </c>
      <c r="O192" s="485">
        <f t="shared" si="22"/>
        <v>0</v>
      </c>
    </row>
    <row r="193" spans="1:15" x14ac:dyDescent="0.25">
      <c r="A193" s="241" t="str">
        <f t="shared" si="17"/>
        <v>03-01</v>
      </c>
      <c r="B193" s="241" t="str">
        <f t="shared" si="18"/>
        <v>03</v>
      </c>
      <c r="C193" s="241" t="str">
        <f t="shared" si="19"/>
        <v>01</v>
      </c>
      <c r="D193" s="235" t="str">
        <f t="shared" si="20"/>
        <v>03-</v>
      </c>
      <c r="E193" s="241" t="s">
        <v>1250</v>
      </c>
      <c r="F193" s="241" t="str">
        <f t="shared" si="21"/>
        <v>-045-008</v>
      </c>
      <c r="G193" s="235" t="s">
        <v>1428</v>
      </c>
      <c r="H193" s="241" t="s">
        <v>726</v>
      </c>
      <c r="I193" s="435" t="s">
        <v>612</v>
      </c>
      <c r="J193" s="438">
        <f>VLOOKUP(H193,'Full Trial Balance'!$A$4:$G$2306,3,FALSE)</f>
        <v>130425</v>
      </c>
      <c r="K193" s="438">
        <f>VLOOKUP(H193,'Full Trial Balance'!$A$4:$G$2306,4,FALSE)</f>
        <v>0</v>
      </c>
      <c r="L193" s="438">
        <f>VLOOKUP(H193,'Full Trial Balance'!$A$4:$G$2306,5,FALSE)</f>
        <v>65212.5</v>
      </c>
      <c r="M193" s="438">
        <f>VLOOKUP(H193,'Full Trial Balance'!$A$4:$G$2306,6,FALSE)</f>
        <v>10869</v>
      </c>
      <c r="N193" s="438">
        <f>VLOOKUP(H193,'Full Trial Balance'!$A$4:$G$2306,7,FALSE)</f>
        <v>54343.5</v>
      </c>
      <c r="O193" s="485">
        <f t="shared" si="22"/>
        <v>0</v>
      </c>
    </row>
    <row r="194" spans="1:15" x14ac:dyDescent="0.25">
      <c r="A194" s="241" t="str">
        <f t="shared" si="17"/>
        <v>03-01</v>
      </c>
      <c r="B194" s="241" t="str">
        <f t="shared" si="18"/>
        <v>03</v>
      </c>
      <c r="C194" s="241" t="str">
        <f t="shared" si="19"/>
        <v>01</v>
      </c>
      <c r="D194" s="235" t="str">
        <f t="shared" si="20"/>
        <v>03-</v>
      </c>
      <c r="E194" s="241" t="s">
        <v>1250</v>
      </c>
      <c r="F194" s="241" t="str">
        <f t="shared" si="21"/>
        <v>-045-020</v>
      </c>
      <c r="G194" s="235" t="s">
        <v>1428</v>
      </c>
      <c r="H194" s="241" t="s">
        <v>752</v>
      </c>
      <c r="I194" s="435" t="s">
        <v>173</v>
      </c>
      <c r="J194" s="438">
        <f>VLOOKUP(H194,'Full Trial Balance'!$A$4:$G$2306,3,FALSE)</f>
        <v>2800</v>
      </c>
      <c r="K194" s="438">
        <f>VLOOKUP(H194,'Full Trial Balance'!$A$4:$G$2306,4,FALSE)</f>
        <v>0</v>
      </c>
      <c r="L194" s="438">
        <f>VLOOKUP(H194,'Full Trial Balance'!$A$4:$G$2306,5,FALSE)</f>
        <v>85.61</v>
      </c>
      <c r="M194" s="438">
        <f>VLOOKUP(H194,'Full Trial Balance'!$A$4:$G$2306,6,FALSE)</f>
        <v>0</v>
      </c>
      <c r="N194" s="438">
        <f>VLOOKUP(H194,'Full Trial Balance'!$A$4:$G$2306,7,FALSE)</f>
        <v>85.61</v>
      </c>
      <c r="O194" s="485">
        <f t="shared" si="22"/>
        <v>0</v>
      </c>
    </row>
    <row r="195" spans="1:15" x14ac:dyDescent="0.25">
      <c r="A195" s="241" t="str">
        <f t="shared" ref="A195:A258" si="24">LEFT(H195,5)</f>
        <v>03-01</v>
      </c>
      <c r="B195" s="241" t="str">
        <f t="shared" ref="B195:B258" si="25">LEFT(H195,2)</f>
        <v>03</v>
      </c>
      <c r="C195" s="241" t="str">
        <f t="shared" ref="C195:C258" si="26">RIGHT(A195,2)</f>
        <v>01</v>
      </c>
      <c r="D195" s="235" t="str">
        <f t="shared" ref="D195:D258" si="27">LEFT(A195,3)</f>
        <v>03-</v>
      </c>
      <c r="E195" s="241" t="s">
        <v>1250</v>
      </c>
      <c r="F195" s="241" t="str">
        <f t="shared" ref="F195:F258" si="28">RIGHT(H195,8)</f>
        <v>-045-025</v>
      </c>
      <c r="G195" s="235" t="s">
        <v>1428</v>
      </c>
      <c r="H195" s="241" t="s">
        <v>725</v>
      </c>
      <c r="I195" s="435" t="s">
        <v>1075</v>
      </c>
      <c r="J195" s="438">
        <f>VLOOKUP(H195,'Full Trial Balance'!$A$4:$G$2306,3,FALSE)</f>
        <v>890457</v>
      </c>
      <c r="K195" s="438">
        <f>VLOOKUP(H195,'Full Trial Balance'!$A$4:$G$2306,4,FALSE)</f>
        <v>0</v>
      </c>
      <c r="L195" s="438">
        <f>VLOOKUP(H195,'Full Trial Balance'!$A$4:$G$2306,5,FALSE)</f>
        <v>445228.27</v>
      </c>
      <c r="M195" s="438">
        <f>VLOOKUP(H195,'Full Trial Balance'!$A$4:$G$2306,6,FALSE)</f>
        <v>75255</v>
      </c>
      <c r="N195" s="438">
        <f>VLOOKUP(H195,'Full Trial Balance'!$A$4:$G$2306,7,FALSE)</f>
        <v>369973.27</v>
      </c>
      <c r="O195" s="485">
        <f t="shared" ref="O195:O258" si="29">N195-L195+M195</f>
        <v>0</v>
      </c>
    </row>
    <row r="196" spans="1:15" x14ac:dyDescent="0.25">
      <c r="A196" s="241" t="str">
        <f t="shared" si="24"/>
        <v>03-01</v>
      </c>
      <c r="B196" s="241" t="str">
        <f t="shared" si="25"/>
        <v>03</v>
      </c>
      <c r="C196" s="241" t="str">
        <f t="shared" si="26"/>
        <v>01</v>
      </c>
      <c r="D196" s="235" t="str">
        <f t="shared" si="27"/>
        <v>03-</v>
      </c>
      <c r="E196" s="241" t="s">
        <v>1250</v>
      </c>
      <c r="F196" s="241" t="str">
        <f t="shared" si="28"/>
        <v>-045-030</v>
      </c>
      <c r="G196" s="235" t="s">
        <v>1428</v>
      </c>
      <c r="H196" s="241" t="s">
        <v>756</v>
      </c>
      <c r="I196" s="435" t="s">
        <v>174</v>
      </c>
      <c r="J196" s="438">
        <f>VLOOKUP(H196,'Full Trial Balance'!$A$4:$G$2306,3,FALSE)</f>
        <v>0</v>
      </c>
      <c r="K196" s="438">
        <f>VLOOKUP(H196,'Full Trial Balance'!$A$4:$G$2306,4,FALSE)</f>
        <v>0</v>
      </c>
      <c r="L196" s="438">
        <f>VLOOKUP(H196,'Full Trial Balance'!$A$4:$G$2306,5,FALSE)</f>
        <v>0</v>
      </c>
      <c r="M196" s="438">
        <f>VLOOKUP(H196,'Full Trial Balance'!$A$4:$G$2306,6,FALSE)</f>
        <v>0</v>
      </c>
      <c r="N196" s="438">
        <f>VLOOKUP(H196,'Full Trial Balance'!$A$4:$G$2306,7,FALSE)</f>
        <v>0</v>
      </c>
      <c r="O196" s="485">
        <f t="shared" si="29"/>
        <v>0</v>
      </c>
    </row>
    <row r="197" spans="1:15" x14ac:dyDescent="0.25">
      <c r="A197" s="241" t="str">
        <f t="shared" si="24"/>
        <v>03-01</v>
      </c>
      <c r="B197" s="241" t="str">
        <f t="shared" si="25"/>
        <v>03</v>
      </c>
      <c r="C197" s="241" t="str">
        <f t="shared" si="26"/>
        <v>01</v>
      </c>
      <c r="D197" s="235" t="str">
        <f t="shared" si="27"/>
        <v>03-</v>
      </c>
      <c r="E197" s="241" t="s">
        <v>1250</v>
      </c>
      <c r="F197" s="241" t="str">
        <f t="shared" si="28"/>
        <v>-045-035</v>
      </c>
      <c r="G197" s="235" t="s">
        <v>1428</v>
      </c>
      <c r="H197" s="241" t="s">
        <v>755</v>
      </c>
      <c r="I197" s="435" t="s">
        <v>185</v>
      </c>
      <c r="J197" s="438">
        <f>VLOOKUP(H197,'Full Trial Balance'!$A$4:$G$2306,3,FALSE)</f>
        <v>22000</v>
      </c>
      <c r="K197" s="438">
        <f>VLOOKUP(H197,'Full Trial Balance'!$A$4:$G$2306,4,FALSE)</f>
        <v>0</v>
      </c>
      <c r="L197" s="438">
        <f>VLOOKUP(H197,'Full Trial Balance'!$A$4:$G$2306,5,FALSE)</f>
        <v>11250.82</v>
      </c>
      <c r="M197" s="438">
        <f>VLOOKUP(H197,'Full Trial Balance'!$A$4:$G$2306,6,FALSE)</f>
        <v>0</v>
      </c>
      <c r="N197" s="438">
        <f>VLOOKUP(H197,'Full Trial Balance'!$A$4:$G$2306,7,FALSE)</f>
        <v>11250.82</v>
      </c>
      <c r="O197" s="485">
        <f t="shared" si="29"/>
        <v>0</v>
      </c>
    </row>
    <row r="198" spans="1:15" x14ac:dyDescent="0.25">
      <c r="A198" s="241" t="str">
        <f t="shared" si="24"/>
        <v>03-01</v>
      </c>
      <c r="B198" s="241" t="str">
        <f t="shared" si="25"/>
        <v>03</v>
      </c>
      <c r="C198" s="241" t="str">
        <f t="shared" si="26"/>
        <v>01</v>
      </c>
      <c r="D198" s="235" t="str">
        <f t="shared" si="27"/>
        <v>03-</v>
      </c>
      <c r="E198" s="241" t="s">
        <v>1250</v>
      </c>
      <c r="F198" s="241" t="str">
        <f t="shared" si="28"/>
        <v>-075-000</v>
      </c>
      <c r="G198" s="235" t="str">
        <f t="shared" ref="G198:G222" si="30">CONCATENATE(D198,E198,F198)</f>
        <v>03-0x-075-000</v>
      </c>
      <c r="H198" s="241" t="s">
        <v>1090</v>
      </c>
      <c r="I198" s="435" t="s">
        <v>1088</v>
      </c>
      <c r="J198" s="438">
        <f>VLOOKUP(H198,'Full Trial Balance'!$A$4:$G$2306,3,FALSE)</f>
        <v>0</v>
      </c>
      <c r="K198" s="438">
        <f>VLOOKUP(H198,'Full Trial Balance'!$A$4:$G$2306,4,FALSE)</f>
        <v>0</v>
      </c>
      <c r="L198" s="438">
        <f>VLOOKUP(H198,'Full Trial Balance'!$A$4:$G$2306,5,FALSE)</f>
        <v>0</v>
      </c>
      <c r="M198" s="438">
        <f>VLOOKUP(H198,'Full Trial Balance'!$A$4:$G$2306,6,FALSE)</f>
        <v>0</v>
      </c>
      <c r="N198" s="438">
        <f>VLOOKUP(H198,'Full Trial Balance'!$A$4:$G$2306,7,FALSE)</f>
        <v>0</v>
      </c>
      <c r="O198" s="485">
        <f t="shared" si="29"/>
        <v>0</v>
      </c>
    </row>
    <row r="199" spans="1:15" x14ac:dyDescent="0.25">
      <c r="A199" s="241" t="str">
        <f t="shared" si="24"/>
        <v>03-01</v>
      </c>
      <c r="B199" s="241" t="str">
        <f t="shared" si="25"/>
        <v>03</v>
      </c>
      <c r="C199" s="241" t="str">
        <f t="shared" si="26"/>
        <v>01</v>
      </c>
      <c r="D199" s="235" t="str">
        <f t="shared" si="27"/>
        <v>03-</v>
      </c>
      <c r="E199" s="241" t="s">
        <v>1250</v>
      </c>
      <c r="F199" s="241" t="str">
        <f t="shared" si="28"/>
        <v>-080-025</v>
      </c>
      <c r="G199" s="235" t="str">
        <f t="shared" si="30"/>
        <v>03-0x-080-025</v>
      </c>
      <c r="H199" s="241" t="s">
        <v>754</v>
      </c>
      <c r="I199" s="435" t="s">
        <v>186</v>
      </c>
      <c r="J199" s="438">
        <f>VLOOKUP(H199,'Full Trial Balance'!$A$4:$G$2306,3,FALSE)</f>
        <v>9360</v>
      </c>
      <c r="K199" s="438">
        <f>VLOOKUP(H199,'Full Trial Balance'!$A$4:$G$2306,4,FALSE)</f>
        <v>0</v>
      </c>
      <c r="L199" s="438">
        <f>VLOOKUP(H199,'Full Trial Balance'!$A$4:$G$2306,5,FALSE)</f>
        <v>0</v>
      </c>
      <c r="M199" s="438">
        <f>VLOOKUP(H199,'Full Trial Balance'!$A$4:$G$2306,6,FALSE)</f>
        <v>0</v>
      </c>
      <c r="N199" s="438">
        <f>VLOOKUP(H199,'Full Trial Balance'!$A$4:$G$2306,7,FALSE)</f>
        <v>0</v>
      </c>
      <c r="O199" s="485">
        <f t="shared" si="29"/>
        <v>0</v>
      </c>
    </row>
    <row r="200" spans="1:15" x14ac:dyDescent="0.25">
      <c r="A200" s="241" t="str">
        <f t="shared" si="24"/>
        <v>03-01</v>
      </c>
      <c r="B200" s="241" t="str">
        <f t="shared" si="25"/>
        <v>03</v>
      </c>
      <c r="C200" s="241" t="str">
        <f t="shared" si="26"/>
        <v>01</v>
      </c>
      <c r="D200" s="235" t="str">
        <f t="shared" si="27"/>
        <v>03-</v>
      </c>
      <c r="E200" s="241" t="s">
        <v>1250</v>
      </c>
      <c r="F200" s="241" t="str">
        <f t="shared" si="28"/>
        <v>-090-001</v>
      </c>
      <c r="G200" s="235" t="str">
        <f t="shared" si="30"/>
        <v>03-0x-090-001</v>
      </c>
      <c r="H200" s="241" t="s">
        <v>1188</v>
      </c>
      <c r="I200" s="435" t="s">
        <v>1154</v>
      </c>
      <c r="J200" s="438">
        <f>VLOOKUP(H200,'Full Trial Balance'!$A$4:$G$2306,3,FALSE)</f>
        <v>0</v>
      </c>
      <c r="K200" s="438">
        <f>VLOOKUP(H200,'Full Trial Balance'!$A$4:$G$2306,4,FALSE)</f>
        <v>0</v>
      </c>
      <c r="L200" s="438">
        <f>VLOOKUP(H200,'Full Trial Balance'!$A$4:$G$2306,5,FALSE)</f>
        <v>0</v>
      </c>
      <c r="M200" s="438">
        <f>VLOOKUP(H200,'Full Trial Balance'!$A$4:$G$2306,6,FALSE)</f>
        <v>0</v>
      </c>
      <c r="N200" s="438">
        <f>VLOOKUP(H200,'Full Trial Balance'!$A$4:$G$2306,7,FALSE)</f>
        <v>0</v>
      </c>
      <c r="O200" s="485">
        <f t="shared" si="29"/>
        <v>0</v>
      </c>
    </row>
    <row r="201" spans="1:15" x14ac:dyDescent="0.25">
      <c r="A201" s="241" t="str">
        <f t="shared" si="24"/>
        <v>03-01</v>
      </c>
      <c r="B201" s="241" t="str">
        <f t="shared" si="25"/>
        <v>03</v>
      </c>
      <c r="C201" s="241" t="str">
        <f t="shared" si="26"/>
        <v>01</v>
      </c>
      <c r="D201" s="235" t="str">
        <f t="shared" si="27"/>
        <v>03-</v>
      </c>
      <c r="E201" s="241" t="s">
        <v>1250</v>
      </c>
      <c r="F201" s="241" t="str">
        <f t="shared" si="28"/>
        <v>-090-002</v>
      </c>
      <c r="G201" s="235" t="str">
        <f t="shared" si="30"/>
        <v>03-0x-090-002</v>
      </c>
      <c r="H201" s="241" t="s">
        <v>1189</v>
      </c>
      <c r="I201" s="435" t="s">
        <v>1156</v>
      </c>
      <c r="J201" s="438">
        <f>VLOOKUP(H201,'Full Trial Balance'!$A$4:$G$2306,3,FALSE)</f>
        <v>0</v>
      </c>
      <c r="K201" s="438">
        <f>VLOOKUP(H201,'Full Trial Balance'!$A$4:$G$2306,4,FALSE)</f>
        <v>0</v>
      </c>
      <c r="L201" s="438">
        <f>VLOOKUP(H201,'Full Trial Balance'!$A$4:$G$2306,5,FALSE)</f>
        <v>0</v>
      </c>
      <c r="M201" s="438">
        <f>VLOOKUP(H201,'Full Trial Balance'!$A$4:$G$2306,6,FALSE)</f>
        <v>0</v>
      </c>
      <c r="N201" s="438">
        <f>VLOOKUP(H201,'Full Trial Balance'!$A$4:$G$2306,7,FALSE)</f>
        <v>0</v>
      </c>
      <c r="O201" s="485">
        <f t="shared" si="29"/>
        <v>0</v>
      </c>
    </row>
    <row r="202" spans="1:15" x14ac:dyDescent="0.25">
      <c r="A202" s="241" t="str">
        <f t="shared" si="24"/>
        <v>03-01</v>
      </c>
      <c r="B202" s="241" t="str">
        <f t="shared" si="25"/>
        <v>03</v>
      </c>
      <c r="C202" s="241" t="str">
        <f t="shared" si="26"/>
        <v>01</v>
      </c>
      <c r="D202" s="235" t="str">
        <f t="shared" si="27"/>
        <v>03-</v>
      </c>
      <c r="E202" s="241" t="s">
        <v>1250</v>
      </c>
      <c r="F202" s="241" t="str">
        <f t="shared" si="28"/>
        <v>-090-010</v>
      </c>
      <c r="G202" s="256" t="str">
        <f t="shared" si="30"/>
        <v>03-0x-090-010</v>
      </c>
      <c r="H202" s="241" t="s">
        <v>1190</v>
      </c>
      <c r="I202" s="435" t="s">
        <v>1158</v>
      </c>
      <c r="J202" s="438">
        <f>VLOOKUP(H202,'Full Trial Balance'!$A$4:$G$2306,3,FALSE)</f>
        <v>0</v>
      </c>
      <c r="K202" s="438">
        <f>VLOOKUP(H202,'Full Trial Balance'!$A$4:$G$2306,4,FALSE)</f>
        <v>0</v>
      </c>
      <c r="L202" s="438">
        <f>VLOOKUP(H202,'Full Trial Balance'!$A$4:$G$2306,5,FALSE)</f>
        <v>0</v>
      </c>
      <c r="M202" s="438">
        <f>VLOOKUP(H202,'Full Trial Balance'!$A$4:$G$2306,6,FALSE)</f>
        <v>0</v>
      </c>
      <c r="N202" s="438">
        <f>VLOOKUP(H202,'Full Trial Balance'!$A$4:$G$2306,7,FALSE)</f>
        <v>0</v>
      </c>
      <c r="O202" s="485">
        <f t="shared" si="29"/>
        <v>0</v>
      </c>
    </row>
    <row r="203" spans="1:15" x14ac:dyDescent="0.25">
      <c r="A203" s="241" t="str">
        <f t="shared" si="24"/>
        <v>03-01</v>
      </c>
      <c r="B203" s="241" t="str">
        <f t="shared" si="25"/>
        <v>03</v>
      </c>
      <c r="C203" s="241" t="str">
        <f t="shared" si="26"/>
        <v>01</v>
      </c>
      <c r="D203" s="235" t="str">
        <f t="shared" si="27"/>
        <v>03-</v>
      </c>
      <c r="E203" s="241" t="s">
        <v>1250</v>
      </c>
      <c r="F203" s="241" t="str">
        <f t="shared" si="28"/>
        <v>-090-020</v>
      </c>
      <c r="G203" s="235" t="str">
        <f t="shared" si="30"/>
        <v>03-0x-090-020</v>
      </c>
      <c r="H203" s="241" t="s">
        <v>1191</v>
      </c>
      <c r="I203" s="435" t="s">
        <v>1160</v>
      </c>
      <c r="J203" s="438">
        <f>VLOOKUP(H203,'Full Trial Balance'!$A$4:$G$2306,3,FALSE)</f>
        <v>0</v>
      </c>
      <c r="K203" s="438">
        <f>VLOOKUP(H203,'Full Trial Balance'!$A$4:$G$2306,4,FALSE)</f>
        <v>0</v>
      </c>
      <c r="L203" s="438">
        <f>VLOOKUP(H203,'Full Trial Balance'!$A$4:$G$2306,5,FALSE)</f>
        <v>0</v>
      </c>
      <c r="M203" s="438">
        <f>VLOOKUP(H203,'Full Trial Balance'!$A$4:$G$2306,6,FALSE)</f>
        <v>0</v>
      </c>
      <c r="N203" s="438">
        <f>VLOOKUP(H203,'Full Trial Balance'!$A$4:$G$2306,7,FALSE)</f>
        <v>0</v>
      </c>
      <c r="O203" s="485">
        <f t="shared" si="29"/>
        <v>0</v>
      </c>
    </row>
    <row r="204" spans="1:15" x14ac:dyDescent="0.25">
      <c r="A204" s="241" t="str">
        <f t="shared" si="24"/>
        <v>03-01</v>
      </c>
      <c r="B204" s="241" t="str">
        <f t="shared" si="25"/>
        <v>03</v>
      </c>
      <c r="C204" s="241" t="str">
        <f t="shared" si="26"/>
        <v>01</v>
      </c>
      <c r="D204" s="235" t="str">
        <f t="shared" si="27"/>
        <v>03-</v>
      </c>
      <c r="E204" s="241" t="s">
        <v>1250</v>
      </c>
      <c r="F204" s="241" t="str">
        <f t="shared" si="28"/>
        <v>-091-003</v>
      </c>
      <c r="G204" s="235" t="str">
        <f t="shared" si="30"/>
        <v>03-0x-091-003</v>
      </c>
      <c r="H204" s="241" t="s">
        <v>749</v>
      </c>
      <c r="I204" s="435" t="s">
        <v>175</v>
      </c>
      <c r="J204" s="438">
        <f>VLOOKUP(H204,'Full Trial Balance'!$A$4:$G$2306,3,FALSE)</f>
        <v>270000</v>
      </c>
      <c r="K204" s="438">
        <f>VLOOKUP(H204,'Full Trial Balance'!$A$4:$G$2306,4,FALSE)</f>
        <v>0</v>
      </c>
      <c r="L204" s="438">
        <f>VLOOKUP(H204,'Full Trial Balance'!$A$4:$G$2306,5,FALSE)</f>
        <v>138650.09</v>
      </c>
      <c r="M204" s="438">
        <f>VLOOKUP(H204,'Full Trial Balance'!$A$4:$G$2306,6,FALSE)</f>
        <v>0</v>
      </c>
      <c r="N204" s="438">
        <f>VLOOKUP(H204,'Full Trial Balance'!$A$4:$G$2306,7,FALSE)</f>
        <v>138650.09</v>
      </c>
      <c r="O204" s="485">
        <f t="shared" si="29"/>
        <v>0</v>
      </c>
    </row>
    <row r="205" spans="1:15" x14ac:dyDescent="0.25">
      <c r="A205" s="241" t="str">
        <f t="shared" si="24"/>
        <v>03-01</v>
      </c>
      <c r="B205" s="241" t="str">
        <f t="shared" si="25"/>
        <v>03</v>
      </c>
      <c r="C205" s="241" t="str">
        <f t="shared" si="26"/>
        <v>01</v>
      </c>
      <c r="D205" s="235" t="str">
        <f t="shared" si="27"/>
        <v>03-</v>
      </c>
      <c r="E205" s="241" t="s">
        <v>1250</v>
      </c>
      <c r="F205" s="241" t="str">
        <f t="shared" si="28"/>
        <v>-091-004</v>
      </c>
      <c r="G205" s="489" t="str">
        <f t="shared" si="30"/>
        <v>03-0x-091-004</v>
      </c>
      <c r="H205" s="241" t="s">
        <v>748</v>
      </c>
      <c r="I205" s="435" t="s">
        <v>1192</v>
      </c>
      <c r="J205" s="438">
        <f>VLOOKUP(H205,'Full Trial Balance'!$A$4:$G$2306,3,FALSE)</f>
        <v>25000</v>
      </c>
      <c r="K205" s="438">
        <f>VLOOKUP(H205,'Full Trial Balance'!$A$4:$G$2306,4,FALSE)</f>
        <v>0</v>
      </c>
      <c r="L205" s="438">
        <f>VLOOKUP(H205,'Full Trial Balance'!$A$4:$G$2306,5,FALSE)</f>
        <v>25000</v>
      </c>
      <c r="M205" s="438">
        <f>VLOOKUP(H205,'Full Trial Balance'!$A$4:$G$2306,6,FALSE)</f>
        <v>0</v>
      </c>
      <c r="N205" s="438">
        <f>VLOOKUP(H205,'Full Trial Balance'!$A$4:$G$2306,7,FALSE)</f>
        <v>25000</v>
      </c>
      <c r="O205" s="485">
        <f t="shared" si="29"/>
        <v>0</v>
      </c>
    </row>
    <row r="206" spans="1:15" x14ac:dyDescent="0.25">
      <c r="A206" s="241" t="str">
        <f t="shared" si="24"/>
        <v>03-01</v>
      </c>
      <c r="B206" s="241" t="str">
        <f t="shared" si="25"/>
        <v>03</v>
      </c>
      <c r="C206" s="241" t="str">
        <f t="shared" si="26"/>
        <v>01</v>
      </c>
      <c r="D206" s="235" t="str">
        <f t="shared" si="27"/>
        <v>03-</v>
      </c>
      <c r="E206" s="241" t="s">
        <v>1250</v>
      </c>
      <c r="F206" s="241" t="str">
        <f t="shared" si="28"/>
        <v>-091-006</v>
      </c>
      <c r="G206" s="235" t="str">
        <f t="shared" si="30"/>
        <v>03-0x-091-006</v>
      </c>
      <c r="H206" s="241" t="s">
        <v>763</v>
      </c>
      <c r="I206" s="435" t="s">
        <v>1193</v>
      </c>
      <c r="J206" s="438">
        <f>VLOOKUP(H206,'Full Trial Balance'!$A$4:$G$2306,3,FALSE)</f>
        <v>37000</v>
      </c>
      <c r="K206" s="438">
        <f>VLOOKUP(H206,'Full Trial Balance'!$A$4:$G$2306,4,FALSE)</f>
        <v>0</v>
      </c>
      <c r="L206" s="438">
        <f>VLOOKUP(H206,'Full Trial Balance'!$A$4:$G$2306,5,FALSE)</f>
        <v>37000</v>
      </c>
      <c r="M206" s="438">
        <f>VLOOKUP(H206,'Full Trial Balance'!$A$4:$G$2306,6,FALSE)</f>
        <v>0</v>
      </c>
      <c r="N206" s="438">
        <f>VLOOKUP(H206,'Full Trial Balance'!$A$4:$G$2306,7,FALSE)</f>
        <v>37000</v>
      </c>
      <c r="O206" s="485">
        <f t="shared" si="29"/>
        <v>0</v>
      </c>
    </row>
    <row r="207" spans="1:15" x14ac:dyDescent="0.25">
      <c r="A207" s="241" t="str">
        <f t="shared" si="24"/>
        <v>03-01</v>
      </c>
      <c r="B207" s="241" t="str">
        <f t="shared" si="25"/>
        <v>03</v>
      </c>
      <c r="C207" s="241" t="str">
        <f t="shared" si="26"/>
        <v>01</v>
      </c>
      <c r="D207" s="235" t="str">
        <f t="shared" si="27"/>
        <v>03-</v>
      </c>
      <c r="E207" s="241" t="s">
        <v>1250</v>
      </c>
      <c r="F207" s="241" t="str">
        <f t="shared" si="28"/>
        <v>-095-000</v>
      </c>
      <c r="G207" s="235" t="str">
        <f t="shared" si="30"/>
        <v>03-0x-095-000</v>
      </c>
      <c r="H207" s="241" t="s">
        <v>731</v>
      </c>
      <c r="I207" s="435" t="s">
        <v>178</v>
      </c>
      <c r="J207" s="438">
        <f>VLOOKUP(H207,'Full Trial Balance'!$A$4:$G$2306,3,FALSE)</f>
        <v>520</v>
      </c>
      <c r="K207" s="438">
        <f>VLOOKUP(H207,'Full Trial Balance'!$A$4:$G$2306,4,FALSE)</f>
        <v>0</v>
      </c>
      <c r="L207" s="438">
        <f>VLOOKUP(H207,'Full Trial Balance'!$A$4:$G$2306,5,FALSE)</f>
        <v>0</v>
      </c>
      <c r="M207" s="438">
        <f>VLOOKUP(H207,'Full Trial Balance'!$A$4:$G$2306,6,FALSE)</f>
        <v>0</v>
      </c>
      <c r="N207" s="438">
        <f>VLOOKUP(H207,'Full Trial Balance'!$A$4:$G$2306,7,FALSE)</f>
        <v>0</v>
      </c>
      <c r="O207" s="485">
        <f t="shared" si="29"/>
        <v>0</v>
      </c>
    </row>
    <row r="208" spans="1:15" x14ac:dyDescent="0.25">
      <c r="A208" s="241" t="str">
        <f t="shared" si="24"/>
        <v>04-01</v>
      </c>
      <c r="B208" s="241" t="str">
        <f t="shared" si="25"/>
        <v>04</v>
      </c>
      <c r="C208" s="241" t="str">
        <f t="shared" si="26"/>
        <v>01</v>
      </c>
      <c r="D208" s="235" t="str">
        <f t="shared" si="27"/>
        <v>04-</v>
      </c>
      <c r="E208" s="241" t="s">
        <v>1250</v>
      </c>
      <c r="F208" s="241" t="str">
        <f t="shared" si="28"/>
        <v>-010-000</v>
      </c>
      <c r="G208" s="235" t="str">
        <f t="shared" si="30"/>
        <v>04-0x-010-000</v>
      </c>
      <c r="H208" s="241" t="s">
        <v>838</v>
      </c>
      <c r="I208" s="435" t="s">
        <v>665</v>
      </c>
      <c r="J208" s="438">
        <f>VLOOKUP(H208,'Full Trial Balance'!$A$4:$G$2306,3,FALSE)</f>
        <v>114664</v>
      </c>
      <c r="K208" s="438">
        <f>VLOOKUP(H208,'Full Trial Balance'!$A$4:$G$2306,4,FALSE)</f>
        <v>0</v>
      </c>
      <c r="L208" s="438">
        <f>VLOOKUP(H208,'Full Trial Balance'!$A$4:$G$2306,5,FALSE)</f>
        <v>54506.59</v>
      </c>
      <c r="M208" s="438">
        <f>VLOOKUP(H208,'Full Trial Balance'!$A$4:$G$2306,6,FALSE)</f>
        <v>4160.1499999999996</v>
      </c>
      <c r="N208" s="438">
        <f>VLOOKUP(H208,'Full Trial Balance'!$A$4:$G$2306,7,FALSE)</f>
        <v>50346.44</v>
      </c>
      <c r="O208" s="485">
        <f t="shared" si="29"/>
        <v>0</v>
      </c>
    </row>
    <row r="209" spans="1:15" x14ac:dyDescent="0.25">
      <c r="A209" s="241" t="str">
        <f t="shared" si="24"/>
        <v>04-01</v>
      </c>
      <c r="B209" s="241" t="str">
        <f t="shared" si="25"/>
        <v>04</v>
      </c>
      <c r="C209" s="241" t="str">
        <f t="shared" si="26"/>
        <v>01</v>
      </c>
      <c r="D209" s="235" t="str">
        <f t="shared" si="27"/>
        <v>04-</v>
      </c>
      <c r="E209" s="241" t="s">
        <v>1250</v>
      </c>
      <c r="F209" s="241" t="str">
        <f t="shared" si="28"/>
        <v>-010-005</v>
      </c>
      <c r="G209" s="235" t="str">
        <f t="shared" si="30"/>
        <v>04-0x-010-005</v>
      </c>
      <c r="H209" s="241" t="s">
        <v>839</v>
      </c>
      <c r="I209" s="435" t="s">
        <v>667</v>
      </c>
      <c r="J209" s="438">
        <f>VLOOKUP(H209,'Full Trial Balance'!$A$4:$G$2306,3,FALSE)</f>
        <v>0</v>
      </c>
      <c r="K209" s="438">
        <f>VLOOKUP(H209,'Full Trial Balance'!$A$4:$G$2306,4,FALSE)</f>
        <v>0</v>
      </c>
      <c r="L209" s="438">
        <f>VLOOKUP(H209,'Full Trial Balance'!$A$4:$G$2306,5,FALSE)</f>
        <v>0</v>
      </c>
      <c r="M209" s="438">
        <f>VLOOKUP(H209,'Full Trial Balance'!$A$4:$G$2306,6,FALSE)</f>
        <v>0</v>
      </c>
      <c r="N209" s="438">
        <f>VLOOKUP(H209,'Full Trial Balance'!$A$4:$G$2306,7,FALSE)</f>
        <v>0</v>
      </c>
      <c r="O209" s="485">
        <f t="shared" si="29"/>
        <v>0</v>
      </c>
    </row>
    <row r="210" spans="1:15" x14ac:dyDescent="0.25">
      <c r="A210" s="241" t="str">
        <f t="shared" si="24"/>
        <v>04-01</v>
      </c>
      <c r="B210" s="241" t="str">
        <f t="shared" si="25"/>
        <v>04</v>
      </c>
      <c r="C210" s="241" t="str">
        <f t="shared" si="26"/>
        <v>01</v>
      </c>
      <c r="D210" s="235" t="str">
        <f t="shared" si="27"/>
        <v>04-</v>
      </c>
      <c r="E210" s="241" t="s">
        <v>1250</v>
      </c>
      <c r="F210" s="241" t="str">
        <f t="shared" si="28"/>
        <v>-015-000</v>
      </c>
      <c r="G210" s="235" t="str">
        <f t="shared" si="30"/>
        <v>04-0x-015-000</v>
      </c>
      <c r="H210" s="241" t="s">
        <v>825</v>
      </c>
      <c r="I210" s="435" t="s">
        <v>37</v>
      </c>
      <c r="J210" s="438">
        <f>VLOOKUP(H210,'Full Trial Balance'!$A$4:$G$2306,3,FALSE)</f>
        <v>2021.36</v>
      </c>
      <c r="K210" s="438">
        <f>VLOOKUP(H210,'Full Trial Balance'!$A$4:$G$2306,4,FALSE)</f>
        <v>0</v>
      </c>
      <c r="L210" s="438">
        <f>VLOOKUP(H210,'Full Trial Balance'!$A$4:$G$2306,5,FALSE)</f>
        <v>1326.01</v>
      </c>
      <c r="M210" s="438">
        <f>VLOOKUP(H210,'Full Trial Balance'!$A$4:$G$2306,6,FALSE)</f>
        <v>37.69</v>
      </c>
      <c r="N210" s="438">
        <f>VLOOKUP(H210,'Full Trial Balance'!$A$4:$G$2306,7,FALSE)</f>
        <v>1288.32</v>
      </c>
      <c r="O210" s="485">
        <f t="shared" si="29"/>
        <v>-5.6843418860808015E-14</v>
      </c>
    </row>
    <row r="211" spans="1:15" x14ac:dyDescent="0.25">
      <c r="A211" s="241" t="str">
        <f t="shared" si="24"/>
        <v>04-01</v>
      </c>
      <c r="B211" s="241" t="str">
        <f t="shared" si="25"/>
        <v>04</v>
      </c>
      <c r="C211" s="241" t="str">
        <f t="shared" si="26"/>
        <v>01</v>
      </c>
      <c r="D211" s="235" t="str">
        <f t="shared" si="27"/>
        <v>04-</v>
      </c>
      <c r="E211" s="241" t="s">
        <v>1250</v>
      </c>
      <c r="F211" s="241" t="str">
        <f t="shared" si="28"/>
        <v>-016-000</v>
      </c>
      <c r="G211" s="489" t="str">
        <f t="shared" si="30"/>
        <v>04-0x-016-000</v>
      </c>
      <c r="H211" s="241" t="s">
        <v>833</v>
      </c>
      <c r="I211" s="435" t="s">
        <v>1076</v>
      </c>
      <c r="J211" s="438">
        <f>VLOOKUP(H211,'Full Trial Balance'!$A$4:$G$2306,3,FALSE)</f>
        <v>0</v>
      </c>
      <c r="K211" s="438">
        <f>VLOOKUP(H211,'Full Trial Balance'!$A$4:$G$2306,4,FALSE)</f>
        <v>0</v>
      </c>
      <c r="L211" s="438">
        <f>VLOOKUP(H211,'Full Trial Balance'!$A$4:$G$2306,5,FALSE)</f>
        <v>0</v>
      </c>
      <c r="M211" s="438">
        <f>VLOOKUP(H211,'Full Trial Balance'!$A$4:$G$2306,6,FALSE)</f>
        <v>0</v>
      </c>
      <c r="N211" s="438">
        <f>VLOOKUP(H211,'Full Trial Balance'!$A$4:$G$2306,7,FALSE)</f>
        <v>0</v>
      </c>
      <c r="O211" s="485">
        <f t="shared" si="29"/>
        <v>0</v>
      </c>
    </row>
    <row r="212" spans="1:15" x14ac:dyDescent="0.25">
      <c r="A212" s="241" t="str">
        <f t="shared" si="24"/>
        <v>04-01</v>
      </c>
      <c r="B212" s="241" t="str">
        <f t="shared" si="25"/>
        <v>04</v>
      </c>
      <c r="C212" s="241" t="str">
        <f t="shared" si="26"/>
        <v>01</v>
      </c>
      <c r="D212" s="235" t="str">
        <f t="shared" si="27"/>
        <v>04-</v>
      </c>
      <c r="E212" s="241" t="s">
        <v>1250</v>
      </c>
      <c r="F212" s="241" t="str">
        <f t="shared" si="28"/>
        <v>-020-202</v>
      </c>
      <c r="G212" s="235" t="str">
        <f t="shared" si="30"/>
        <v>04-0x-020-202</v>
      </c>
      <c r="H212" s="241" t="s">
        <v>806</v>
      </c>
      <c r="I212" s="435" t="s">
        <v>153</v>
      </c>
      <c r="J212" s="438">
        <f>VLOOKUP(H212,'Full Trial Balance'!$A$4:$G$2306,3,FALSE)</f>
        <v>6630</v>
      </c>
      <c r="K212" s="438">
        <f>VLOOKUP(H212,'Full Trial Balance'!$A$4:$G$2306,4,FALSE)</f>
        <v>0</v>
      </c>
      <c r="L212" s="438">
        <f>VLOOKUP(H212,'Full Trial Balance'!$A$4:$G$2306,5,FALSE)</f>
        <v>2818.38</v>
      </c>
      <c r="M212" s="438">
        <f>VLOOKUP(H212,'Full Trial Balance'!$A$4:$G$2306,6,FALSE)</f>
        <v>247.42</v>
      </c>
      <c r="N212" s="438">
        <f>VLOOKUP(H212,'Full Trial Balance'!$A$4:$G$2306,7,FALSE)</f>
        <v>2570.96</v>
      </c>
      <c r="O212" s="485">
        <f t="shared" si="29"/>
        <v>0</v>
      </c>
    </row>
    <row r="213" spans="1:15" x14ac:dyDescent="0.25">
      <c r="A213" s="241" t="str">
        <f t="shared" si="24"/>
        <v>04-01</v>
      </c>
      <c r="B213" s="241" t="str">
        <f t="shared" si="25"/>
        <v>04</v>
      </c>
      <c r="C213" s="241" t="str">
        <f t="shared" si="26"/>
        <v>01</v>
      </c>
      <c r="D213" s="235" t="str">
        <f t="shared" si="27"/>
        <v>04-</v>
      </c>
      <c r="E213" s="241" t="s">
        <v>1250</v>
      </c>
      <c r="F213" s="241" t="str">
        <f t="shared" si="28"/>
        <v>-020-203</v>
      </c>
      <c r="G213" s="235" t="str">
        <f t="shared" si="30"/>
        <v>04-0x-020-203</v>
      </c>
      <c r="H213" s="241" t="s">
        <v>819</v>
      </c>
      <c r="I213" s="435" t="s">
        <v>154</v>
      </c>
      <c r="J213" s="438">
        <f>VLOOKUP(H213,'Full Trial Balance'!$A$4:$G$2306,3,FALSE)</f>
        <v>1692</v>
      </c>
      <c r="K213" s="438">
        <f>VLOOKUP(H213,'Full Trial Balance'!$A$4:$G$2306,4,FALSE)</f>
        <v>0</v>
      </c>
      <c r="L213" s="438">
        <f>VLOOKUP(H213,'Full Trial Balance'!$A$4:$G$2306,5,FALSE)</f>
        <v>791.58</v>
      </c>
      <c r="M213" s="438">
        <f>VLOOKUP(H213,'Full Trial Balance'!$A$4:$G$2306,6,FALSE)</f>
        <v>57.89</v>
      </c>
      <c r="N213" s="438">
        <f>VLOOKUP(H213,'Full Trial Balance'!$A$4:$G$2306,7,FALSE)</f>
        <v>733.69</v>
      </c>
      <c r="O213" s="485">
        <f t="shared" si="29"/>
        <v>0</v>
      </c>
    </row>
    <row r="214" spans="1:15" x14ac:dyDescent="0.25">
      <c r="A214" s="241" t="str">
        <f t="shared" si="24"/>
        <v>04-01</v>
      </c>
      <c r="B214" s="241" t="str">
        <f t="shared" si="25"/>
        <v>04</v>
      </c>
      <c r="C214" s="241" t="str">
        <f t="shared" si="26"/>
        <v>01</v>
      </c>
      <c r="D214" s="235" t="str">
        <f t="shared" si="27"/>
        <v>04-</v>
      </c>
      <c r="E214" s="241" t="s">
        <v>1250</v>
      </c>
      <c r="F214" s="241" t="str">
        <f t="shared" si="28"/>
        <v>-020-204</v>
      </c>
      <c r="G214" s="235" t="str">
        <f t="shared" si="30"/>
        <v>04-0x-020-204</v>
      </c>
      <c r="H214" s="241" t="s">
        <v>820</v>
      </c>
      <c r="I214" s="435" t="s">
        <v>38</v>
      </c>
      <c r="J214" s="438">
        <f>VLOOKUP(H214,'Full Trial Balance'!$A$4:$G$2306,3,FALSE)</f>
        <v>21831</v>
      </c>
      <c r="K214" s="438">
        <f>VLOOKUP(H214,'Full Trial Balance'!$A$4:$G$2306,4,FALSE)</f>
        <v>0</v>
      </c>
      <c r="L214" s="438">
        <f>VLOOKUP(H214,'Full Trial Balance'!$A$4:$G$2306,5,FALSE)</f>
        <v>9212.93</v>
      </c>
      <c r="M214" s="438">
        <f>VLOOKUP(H214,'Full Trial Balance'!$A$4:$G$2306,6,FALSE)</f>
        <v>92.6</v>
      </c>
      <c r="N214" s="438">
        <f>VLOOKUP(H214,'Full Trial Balance'!$A$4:$G$2306,7,FALSE)</f>
        <v>9120.33</v>
      </c>
      <c r="O214" s="485">
        <f t="shared" si="29"/>
        <v>-3.694822225952521E-13</v>
      </c>
    </row>
    <row r="215" spans="1:15" x14ac:dyDescent="0.25">
      <c r="A215" s="241" t="str">
        <f t="shared" si="24"/>
        <v>04-01</v>
      </c>
      <c r="B215" s="241" t="str">
        <f t="shared" si="25"/>
        <v>04</v>
      </c>
      <c r="C215" s="241" t="str">
        <f t="shared" si="26"/>
        <v>01</v>
      </c>
      <c r="D215" s="235" t="str">
        <f t="shared" si="27"/>
        <v>04-</v>
      </c>
      <c r="E215" s="241" t="s">
        <v>1250</v>
      </c>
      <c r="F215" s="241" t="str">
        <f t="shared" si="28"/>
        <v>-020-205</v>
      </c>
      <c r="G215" s="235" t="str">
        <f t="shared" si="30"/>
        <v>04-0x-020-205</v>
      </c>
      <c r="H215" s="241" t="s">
        <v>802</v>
      </c>
      <c r="I215" s="435" t="s">
        <v>77</v>
      </c>
      <c r="J215" s="438">
        <f>VLOOKUP(H215,'Full Trial Balance'!$A$4:$G$2306,3,FALSE)</f>
        <v>1346</v>
      </c>
      <c r="K215" s="438">
        <f>VLOOKUP(H215,'Full Trial Balance'!$A$4:$G$2306,4,FALSE)</f>
        <v>0</v>
      </c>
      <c r="L215" s="438">
        <f>VLOOKUP(H215,'Full Trial Balance'!$A$4:$G$2306,5,FALSE)</f>
        <v>486.84</v>
      </c>
      <c r="M215" s="438">
        <f>VLOOKUP(H215,'Full Trial Balance'!$A$4:$G$2306,6,FALSE)</f>
        <v>10.74</v>
      </c>
      <c r="N215" s="438">
        <f>VLOOKUP(H215,'Full Trial Balance'!$A$4:$G$2306,7,FALSE)</f>
        <v>476.1</v>
      </c>
      <c r="O215" s="485">
        <f t="shared" si="29"/>
        <v>4.7961634663806763E-14</v>
      </c>
    </row>
    <row r="216" spans="1:15" x14ac:dyDescent="0.25">
      <c r="A216" s="241" t="str">
        <f t="shared" si="24"/>
        <v>04-01</v>
      </c>
      <c r="B216" s="241" t="str">
        <f t="shared" si="25"/>
        <v>04</v>
      </c>
      <c r="C216" s="241" t="str">
        <f t="shared" si="26"/>
        <v>01</v>
      </c>
      <c r="D216" s="235" t="str">
        <f t="shared" si="27"/>
        <v>04-</v>
      </c>
      <c r="E216" s="241" t="s">
        <v>1250</v>
      </c>
      <c r="F216" s="241" t="str">
        <f t="shared" si="28"/>
        <v>-020-206</v>
      </c>
      <c r="G216" s="235" t="str">
        <f t="shared" si="30"/>
        <v>04-0x-020-206</v>
      </c>
      <c r="H216" s="241" t="s">
        <v>837</v>
      </c>
      <c r="I216" s="435" t="s">
        <v>78</v>
      </c>
      <c r="J216" s="438">
        <f>VLOOKUP(H216,'Full Trial Balance'!$A$4:$G$2306,3,FALSE)</f>
        <v>250</v>
      </c>
      <c r="K216" s="438">
        <f>VLOOKUP(H216,'Full Trial Balance'!$A$4:$G$2306,4,FALSE)</f>
        <v>0</v>
      </c>
      <c r="L216" s="438">
        <f>VLOOKUP(H216,'Full Trial Balance'!$A$4:$G$2306,5,FALSE)</f>
        <v>132.24</v>
      </c>
      <c r="M216" s="438">
        <f>VLOOKUP(H216,'Full Trial Balance'!$A$4:$G$2306,6,FALSE)</f>
        <v>0</v>
      </c>
      <c r="N216" s="438">
        <f>VLOOKUP(H216,'Full Trial Balance'!$A$4:$G$2306,7,FALSE)</f>
        <v>132.24</v>
      </c>
      <c r="O216" s="485">
        <f t="shared" si="29"/>
        <v>0</v>
      </c>
    </row>
    <row r="217" spans="1:15" x14ac:dyDescent="0.25">
      <c r="A217" s="241" t="str">
        <f t="shared" si="24"/>
        <v>04-01</v>
      </c>
      <c r="B217" s="241" t="str">
        <f t="shared" si="25"/>
        <v>04</v>
      </c>
      <c r="C217" s="241" t="str">
        <f t="shared" si="26"/>
        <v>01</v>
      </c>
      <c r="D217" s="235" t="str">
        <f t="shared" si="27"/>
        <v>04-</v>
      </c>
      <c r="E217" s="241" t="s">
        <v>1250</v>
      </c>
      <c r="F217" s="241" t="str">
        <f t="shared" si="28"/>
        <v>-020-208</v>
      </c>
      <c r="G217" s="235" t="str">
        <f t="shared" si="30"/>
        <v>04-0x-020-208</v>
      </c>
      <c r="H217" s="241" t="s">
        <v>840</v>
      </c>
      <c r="I217" s="435" t="s">
        <v>893</v>
      </c>
      <c r="J217" s="438">
        <f>VLOOKUP(H217,'Full Trial Balance'!$A$4:$G$2306,3,FALSE)</f>
        <v>1201</v>
      </c>
      <c r="K217" s="438">
        <f>VLOOKUP(H217,'Full Trial Balance'!$A$4:$G$2306,4,FALSE)</f>
        <v>0</v>
      </c>
      <c r="L217" s="438">
        <f>VLOOKUP(H217,'Full Trial Balance'!$A$4:$G$2306,5,FALSE)</f>
        <v>461.38</v>
      </c>
      <c r="M217" s="438">
        <f>VLOOKUP(H217,'Full Trial Balance'!$A$4:$G$2306,6,FALSE)</f>
        <v>27.07</v>
      </c>
      <c r="N217" s="438">
        <f>VLOOKUP(H217,'Full Trial Balance'!$A$4:$G$2306,7,FALSE)</f>
        <v>434.31</v>
      </c>
      <c r="O217" s="485">
        <f t="shared" si="29"/>
        <v>0</v>
      </c>
    </row>
    <row r="218" spans="1:15" x14ac:dyDescent="0.25">
      <c r="A218" s="241" t="str">
        <f t="shared" si="24"/>
        <v>04-01</v>
      </c>
      <c r="B218" s="241" t="str">
        <f t="shared" si="25"/>
        <v>04</v>
      </c>
      <c r="C218" s="241" t="str">
        <f t="shared" si="26"/>
        <v>01</v>
      </c>
      <c r="D218" s="235" t="str">
        <f t="shared" si="27"/>
        <v>04-</v>
      </c>
      <c r="E218" s="241" t="s">
        <v>1250</v>
      </c>
      <c r="F218" s="241" t="str">
        <f t="shared" si="28"/>
        <v>-020-209</v>
      </c>
      <c r="G218" s="235" t="str">
        <f t="shared" si="30"/>
        <v>04-0x-020-209</v>
      </c>
      <c r="H218" s="241" t="s">
        <v>817</v>
      </c>
      <c r="I218" s="435" t="s">
        <v>39</v>
      </c>
      <c r="J218" s="438">
        <f>VLOOKUP(H218,'Full Trial Balance'!$A$4:$G$2306,3,FALSE)</f>
        <v>425</v>
      </c>
      <c r="K218" s="438">
        <f>VLOOKUP(H218,'Full Trial Balance'!$A$4:$G$2306,4,FALSE)</f>
        <v>0</v>
      </c>
      <c r="L218" s="438">
        <f>VLOOKUP(H218,'Full Trial Balance'!$A$4:$G$2306,5,FALSE)</f>
        <v>253.63</v>
      </c>
      <c r="M218" s="438">
        <f>VLOOKUP(H218,'Full Trial Balance'!$A$4:$G$2306,6,FALSE)</f>
        <v>71.540000000000006</v>
      </c>
      <c r="N218" s="438">
        <f>VLOOKUP(H218,'Full Trial Balance'!$A$4:$G$2306,7,FALSE)</f>
        <v>182.09</v>
      </c>
      <c r="O218" s="485">
        <f t="shared" si="29"/>
        <v>0</v>
      </c>
    </row>
    <row r="219" spans="1:15" x14ac:dyDescent="0.25">
      <c r="A219" s="241" t="str">
        <f t="shared" si="24"/>
        <v>04-01</v>
      </c>
      <c r="B219" s="241" t="str">
        <f t="shared" si="25"/>
        <v>04</v>
      </c>
      <c r="C219" s="241" t="str">
        <f t="shared" si="26"/>
        <v>01</v>
      </c>
      <c r="D219" s="235" t="str">
        <f t="shared" si="27"/>
        <v>04-</v>
      </c>
      <c r="E219" s="241" t="s">
        <v>1250</v>
      </c>
      <c r="F219" s="241" t="str">
        <f t="shared" si="28"/>
        <v>-020-212</v>
      </c>
      <c r="G219" s="235" t="str">
        <f t="shared" si="30"/>
        <v>04-0x-020-212</v>
      </c>
      <c r="H219" s="241" t="s">
        <v>834</v>
      </c>
      <c r="I219" s="435" t="s">
        <v>40</v>
      </c>
      <c r="J219" s="438">
        <f>VLOOKUP(H219,'Full Trial Balance'!$A$4:$G$2306,3,FALSE)</f>
        <v>416</v>
      </c>
      <c r="K219" s="438">
        <f>VLOOKUP(H219,'Full Trial Balance'!$A$4:$G$2306,4,FALSE)</f>
        <v>0</v>
      </c>
      <c r="L219" s="438">
        <f>VLOOKUP(H219,'Full Trial Balance'!$A$4:$G$2306,5,FALSE)</f>
        <v>16.75</v>
      </c>
      <c r="M219" s="438">
        <f>VLOOKUP(H219,'Full Trial Balance'!$A$4:$G$2306,6,FALSE)</f>
        <v>9.3800000000000008</v>
      </c>
      <c r="N219" s="438">
        <f>VLOOKUP(H219,'Full Trial Balance'!$A$4:$G$2306,7,FALSE)</f>
        <v>7.37</v>
      </c>
      <c r="O219" s="485">
        <f t="shared" si="29"/>
        <v>0</v>
      </c>
    </row>
    <row r="220" spans="1:15" x14ac:dyDescent="0.25">
      <c r="A220" s="241" t="str">
        <f t="shared" si="24"/>
        <v>04-01</v>
      </c>
      <c r="B220" s="241" t="str">
        <f t="shared" si="25"/>
        <v>04</v>
      </c>
      <c r="C220" s="241" t="str">
        <f t="shared" si="26"/>
        <v>01</v>
      </c>
      <c r="D220" s="235" t="str">
        <f t="shared" si="27"/>
        <v>04-</v>
      </c>
      <c r="E220" s="241" t="s">
        <v>1250</v>
      </c>
      <c r="F220" s="241" t="str">
        <f t="shared" si="28"/>
        <v>-020-213</v>
      </c>
      <c r="G220" s="235" t="str">
        <f t="shared" si="30"/>
        <v>04-0x-020-213</v>
      </c>
      <c r="H220" s="241" t="s">
        <v>805</v>
      </c>
      <c r="I220" s="435" t="s">
        <v>41</v>
      </c>
      <c r="J220" s="438">
        <f>VLOOKUP(H220,'Full Trial Balance'!$A$4:$G$2306,3,FALSE)</f>
        <v>9</v>
      </c>
      <c r="K220" s="438">
        <f>VLOOKUP(H220,'Full Trial Balance'!$A$4:$G$2306,4,FALSE)</f>
        <v>0</v>
      </c>
      <c r="L220" s="438">
        <f>VLOOKUP(H220,'Full Trial Balance'!$A$4:$G$2306,5,FALSE)</f>
        <v>0.35</v>
      </c>
      <c r="M220" s="438">
        <f>VLOOKUP(H220,'Full Trial Balance'!$A$4:$G$2306,6,FALSE)</f>
        <v>0.26</v>
      </c>
      <c r="N220" s="438">
        <f>VLOOKUP(H220,'Full Trial Balance'!$A$4:$G$2306,7,FALSE)</f>
        <v>0.09</v>
      </c>
      <c r="O220" s="485">
        <f t="shared" si="29"/>
        <v>0</v>
      </c>
    </row>
    <row r="221" spans="1:15" x14ac:dyDescent="0.25">
      <c r="A221" s="241" t="str">
        <f t="shared" si="24"/>
        <v>04-01</v>
      </c>
      <c r="B221" s="241" t="str">
        <f t="shared" si="25"/>
        <v>04</v>
      </c>
      <c r="C221" s="241" t="str">
        <f t="shared" si="26"/>
        <v>01</v>
      </c>
      <c r="D221" s="235" t="str">
        <f t="shared" si="27"/>
        <v>04-</v>
      </c>
      <c r="E221" s="241" t="s">
        <v>1250</v>
      </c>
      <c r="F221" s="241" t="str">
        <f t="shared" si="28"/>
        <v>-020-214</v>
      </c>
      <c r="G221" s="235" t="str">
        <f t="shared" si="30"/>
        <v>04-0x-020-214</v>
      </c>
      <c r="H221" s="241" t="s">
        <v>797</v>
      </c>
      <c r="I221" s="435" t="s">
        <v>155</v>
      </c>
      <c r="J221" s="438">
        <f>VLOOKUP(H221,'Full Trial Balance'!$A$4:$G$2306,3,FALSE)</f>
        <v>792</v>
      </c>
      <c r="K221" s="438">
        <f>VLOOKUP(H221,'Full Trial Balance'!$A$4:$G$2306,4,FALSE)</f>
        <v>0</v>
      </c>
      <c r="L221" s="438">
        <f>VLOOKUP(H221,'Full Trial Balance'!$A$4:$G$2306,5,FALSE)</f>
        <v>330</v>
      </c>
      <c r="M221" s="438">
        <f>VLOOKUP(H221,'Full Trial Balance'!$A$4:$G$2306,6,FALSE)</f>
        <v>55</v>
      </c>
      <c r="N221" s="438">
        <f>VLOOKUP(H221,'Full Trial Balance'!$A$4:$G$2306,7,FALSE)</f>
        <v>275</v>
      </c>
      <c r="O221" s="485">
        <f t="shared" si="29"/>
        <v>0</v>
      </c>
    </row>
    <row r="222" spans="1:15" x14ac:dyDescent="0.25">
      <c r="A222" s="241" t="str">
        <f t="shared" si="24"/>
        <v>04-01</v>
      </c>
      <c r="B222" s="241" t="str">
        <f t="shared" si="25"/>
        <v>04</v>
      </c>
      <c r="C222" s="241" t="str">
        <f t="shared" si="26"/>
        <v>01</v>
      </c>
      <c r="D222" s="235" t="str">
        <f t="shared" si="27"/>
        <v>04-</v>
      </c>
      <c r="E222" s="241" t="s">
        <v>1250</v>
      </c>
      <c r="F222" s="241" t="str">
        <f t="shared" si="28"/>
        <v>-020-215</v>
      </c>
      <c r="G222" s="235" t="str">
        <f t="shared" si="30"/>
        <v>04-0x-020-215</v>
      </c>
      <c r="H222" s="241" t="s">
        <v>803</v>
      </c>
      <c r="I222" s="435" t="s">
        <v>42</v>
      </c>
      <c r="J222" s="438">
        <f>VLOOKUP(H222,'Full Trial Balance'!$A$4:$G$2306,3,FALSE)</f>
        <v>368.06</v>
      </c>
      <c r="K222" s="438">
        <f>VLOOKUP(H222,'Full Trial Balance'!$A$4:$G$2306,4,FALSE)</f>
        <v>0</v>
      </c>
      <c r="L222" s="438">
        <f>VLOOKUP(H222,'Full Trial Balance'!$A$4:$G$2306,5,FALSE)</f>
        <v>134.59</v>
      </c>
      <c r="M222" s="438">
        <f>VLOOKUP(H222,'Full Trial Balance'!$A$4:$G$2306,6,FALSE)</f>
        <v>7.25</v>
      </c>
      <c r="N222" s="438">
        <f>VLOOKUP(H222,'Full Trial Balance'!$A$4:$G$2306,7,FALSE)</f>
        <v>127.34</v>
      </c>
      <c r="O222" s="485">
        <f t="shared" si="29"/>
        <v>0</v>
      </c>
    </row>
    <row r="223" spans="1:15" x14ac:dyDescent="0.25">
      <c r="A223" s="241" t="str">
        <f t="shared" si="24"/>
        <v>04-01</v>
      </c>
      <c r="B223" s="241" t="str">
        <f t="shared" si="25"/>
        <v>04</v>
      </c>
      <c r="C223" s="241" t="str">
        <f t="shared" si="26"/>
        <v>01</v>
      </c>
      <c r="D223" s="235" t="str">
        <f t="shared" si="27"/>
        <v>04-</v>
      </c>
      <c r="E223" s="241" t="s">
        <v>1250</v>
      </c>
      <c r="F223" s="241" t="str">
        <f t="shared" si="28"/>
        <v>-020-217</v>
      </c>
      <c r="G223" s="489" t="s">
        <v>3439</v>
      </c>
      <c r="H223" s="241" t="s">
        <v>795</v>
      </c>
      <c r="I223" s="435" t="s">
        <v>43</v>
      </c>
      <c r="J223" s="438">
        <f>VLOOKUP(H223,'Full Trial Balance'!$A$4:$G$2306,3,FALSE)</f>
        <v>10137</v>
      </c>
      <c r="K223" s="438">
        <f>VLOOKUP(H223,'Full Trial Balance'!$A$4:$G$2306,4,FALSE)</f>
        <v>0</v>
      </c>
      <c r="L223" s="438">
        <f>VLOOKUP(H223,'Full Trial Balance'!$A$4:$G$2306,5,FALSE)</f>
        <v>4241.8599999999997</v>
      </c>
      <c r="M223" s="438">
        <f>VLOOKUP(H223,'Full Trial Balance'!$A$4:$G$2306,6,FALSE)</f>
        <v>331.64</v>
      </c>
      <c r="N223" s="438">
        <f>VLOOKUP(H223,'Full Trial Balance'!$A$4:$G$2306,7,FALSE)</f>
        <v>3910.22</v>
      </c>
      <c r="O223" s="485">
        <f t="shared" si="29"/>
        <v>0</v>
      </c>
    </row>
    <row r="224" spans="1:15" x14ac:dyDescent="0.25">
      <c r="A224" s="241" t="str">
        <f t="shared" si="24"/>
        <v>04-01</v>
      </c>
      <c r="B224" s="241" t="str">
        <f t="shared" si="25"/>
        <v>04</v>
      </c>
      <c r="C224" s="241" t="str">
        <f t="shared" si="26"/>
        <v>01</v>
      </c>
      <c r="D224" s="235" t="str">
        <f t="shared" si="27"/>
        <v>04-</v>
      </c>
      <c r="E224" s="241" t="s">
        <v>1250</v>
      </c>
      <c r="F224" s="241" t="str">
        <f t="shared" si="28"/>
        <v>-020-218</v>
      </c>
      <c r="G224" s="489" t="s">
        <v>3440</v>
      </c>
      <c r="H224" s="241" t="s">
        <v>796</v>
      </c>
      <c r="I224" s="435" t="s">
        <v>44</v>
      </c>
      <c r="J224" s="438">
        <f>VLOOKUP(H224,'Full Trial Balance'!$A$4:$G$2306,3,FALSE)</f>
        <v>8374</v>
      </c>
      <c r="K224" s="438">
        <f>VLOOKUP(H224,'Full Trial Balance'!$A$4:$G$2306,4,FALSE)</f>
        <v>0</v>
      </c>
      <c r="L224" s="438">
        <f>VLOOKUP(H224,'Full Trial Balance'!$A$4:$G$2306,5,FALSE)</f>
        <v>3519.5</v>
      </c>
      <c r="M224" s="438">
        <f>VLOOKUP(H224,'Full Trial Balance'!$A$4:$G$2306,6,FALSE)</f>
        <v>273.61</v>
      </c>
      <c r="N224" s="438">
        <f>VLOOKUP(H224,'Full Trial Balance'!$A$4:$G$2306,7,FALSE)</f>
        <v>3245.89</v>
      </c>
      <c r="O224" s="485">
        <f t="shared" si="29"/>
        <v>0</v>
      </c>
    </row>
    <row r="225" spans="1:15" x14ac:dyDescent="0.25">
      <c r="A225" s="241" t="str">
        <f t="shared" si="24"/>
        <v>04-01</v>
      </c>
      <c r="B225" s="241" t="str">
        <f t="shared" si="25"/>
        <v>04</v>
      </c>
      <c r="C225" s="241" t="str">
        <f t="shared" si="26"/>
        <v>01</v>
      </c>
      <c r="D225" s="235" t="str">
        <f t="shared" si="27"/>
        <v>04-</v>
      </c>
      <c r="E225" s="241" t="s">
        <v>1250</v>
      </c>
      <c r="F225" s="241" t="str">
        <f t="shared" si="28"/>
        <v>-020-220</v>
      </c>
      <c r="G225" s="235" t="str">
        <f>CONCATENATE(D225,E225,F225)</f>
        <v>04-0x-020-220</v>
      </c>
      <c r="H225" s="241" t="s">
        <v>824</v>
      </c>
      <c r="I225" s="435" t="s">
        <v>183</v>
      </c>
      <c r="J225" s="438">
        <f>VLOOKUP(H225,'Full Trial Balance'!$A$4:$G$2306,3,FALSE)</f>
        <v>5830</v>
      </c>
      <c r="K225" s="438">
        <f>VLOOKUP(H225,'Full Trial Balance'!$A$4:$G$2306,4,FALSE)</f>
        <v>0</v>
      </c>
      <c r="L225" s="438">
        <f>VLOOKUP(H225,'Full Trial Balance'!$A$4:$G$2306,5,FALSE)</f>
        <v>0</v>
      </c>
      <c r="M225" s="438">
        <f>VLOOKUP(H225,'Full Trial Balance'!$A$4:$G$2306,6,FALSE)</f>
        <v>0</v>
      </c>
      <c r="N225" s="438">
        <f>VLOOKUP(H225,'Full Trial Balance'!$A$4:$G$2306,7,FALSE)</f>
        <v>0</v>
      </c>
      <c r="O225" s="485">
        <f t="shared" si="29"/>
        <v>0</v>
      </c>
    </row>
    <row r="226" spans="1:15" x14ac:dyDescent="0.25">
      <c r="A226" s="241" t="str">
        <f t="shared" si="24"/>
        <v>04-01</v>
      </c>
      <c r="B226" s="241" t="str">
        <f t="shared" si="25"/>
        <v>04</v>
      </c>
      <c r="C226" s="241" t="str">
        <f t="shared" si="26"/>
        <v>01</v>
      </c>
      <c r="D226" s="235" t="str">
        <f t="shared" si="27"/>
        <v>04-</v>
      </c>
      <c r="E226" s="241" t="s">
        <v>1250</v>
      </c>
      <c r="F226" s="241" t="str">
        <f t="shared" si="28"/>
        <v>-020-222</v>
      </c>
      <c r="G226" s="489" t="s">
        <v>3439</v>
      </c>
      <c r="H226" s="241" t="s">
        <v>2950</v>
      </c>
      <c r="I226" s="435" t="s">
        <v>2254</v>
      </c>
      <c r="J226" s="438">
        <f>VLOOKUP(H226,'Full Trial Balance'!$A$4:$G$2306,3,FALSE)</f>
        <v>0</v>
      </c>
      <c r="K226" s="438">
        <f>VLOOKUP(H226,'Full Trial Balance'!$A$4:$G$2306,4,FALSE)</f>
        <v>0</v>
      </c>
      <c r="L226" s="438">
        <f>VLOOKUP(H226,'Full Trial Balance'!$A$4:$G$2306,5,FALSE)</f>
        <v>139.87</v>
      </c>
      <c r="M226" s="438">
        <f>VLOOKUP(H226,'Full Trial Balance'!$A$4:$G$2306,6,FALSE)</f>
        <v>10.58</v>
      </c>
      <c r="N226" s="438">
        <f>VLOOKUP(H226,'Full Trial Balance'!$A$4:$G$2306,7,FALSE)</f>
        <v>129.29</v>
      </c>
      <c r="O226" s="485">
        <f t="shared" si="29"/>
        <v>0</v>
      </c>
    </row>
    <row r="227" spans="1:15" x14ac:dyDescent="0.25">
      <c r="A227" s="241" t="str">
        <f t="shared" si="24"/>
        <v>04-01</v>
      </c>
      <c r="B227" s="241" t="str">
        <f t="shared" si="25"/>
        <v>04</v>
      </c>
      <c r="C227" s="241" t="str">
        <f t="shared" si="26"/>
        <v>01</v>
      </c>
      <c r="D227" s="235" t="str">
        <f t="shared" si="27"/>
        <v>04-</v>
      </c>
      <c r="E227" s="241" t="s">
        <v>1250</v>
      </c>
      <c r="F227" s="241" t="str">
        <f t="shared" si="28"/>
        <v>-020-223</v>
      </c>
      <c r="G227" s="489" t="s">
        <v>3440</v>
      </c>
      <c r="H227" s="241" t="s">
        <v>2951</v>
      </c>
      <c r="I227" s="435" t="s">
        <v>2256</v>
      </c>
      <c r="J227" s="438">
        <f>VLOOKUP(H227,'Full Trial Balance'!$A$4:$G$2306,3,FALSE)</f>
        <v>0</v>
      </c>
      <c r="K227" s="438">
        <f>VLOOKUP(H227,'Full Trial Balance'!$A$4:$G$2306,4,FALSE)</f>
        <v>0</v>
      </c>
      <c r="L227" s="438">
        <f>VLOOKUP(H227,'Full Trial Balance'!$A$4:$G$2306,5,FALSE)</f>
        <v>177.97</v>
      </c>
      <c r="M227" s="438">
        <f>VLOOKUP(H227,'Full Trial Balance'!$A$4:$G$2306,6,FALSE)</f>
        <v>13.46</v>
      </c>
      <c r="N227" s="438">
        <f>VLOOKUP(H227,'Full Trial Balance'!$A$4:$G$2306,7,FALSE)</f>
        <v>164.51</v>
      </c>
      <c r="O227" s="485">
        <f t="shared" si="29"/>
        <v>0</v>
      </c>
    </row>
    <row r="228" spans="1:15" x14ac:dyDescent="0.25">
      <c r="A228" s="241" t="str">
        <f t="shared" si="24"/>
        <v>04-01</v>
      </c>
      <c r="B228" s="241" t="str">
        <f t="shared" si="25"/>
        <v>04</v>
      </c>
      <c r="C228" s="241" t="str">
        <f t="shared" si="26"/>
        <v>01</v>
      </c>
      <c r="D228" s="235" t="str">
        <f t="shared" si="27"/>
        <v>04-</v>
      </c>
      <c r="E228" s="241" t="s">
        <v>1250</v>
      </c>
      <c r="F228" s="241" t="str">
        <f t="shared" si="28"/>
        <v>-020-225</v>
      </c>
      <c r="G228" s="256" t="str">
        <f>CONCATENATE(D228,E228,F228)</f>
        <v>04-0x-020-225</v>
      </c>
      <c r="H228" s="241" t="s">
        <v>1084</v>
      </c>
      <c r="I228" s="435" t="s">
        <v>1079</v>
      </c>
      <c r="J228" s="438">
        <f>VLOOKUP(H228,'Full Trial Balance'!$A$4:$G$2306,3,FALSE)</f>
        <v>14500.64</v>
      </c>
      <c r="K228" s="438">
        <f>VLOOKUP(H228,'Full Trial Balance'!$A$4:$G$2306,4,FALSE)</f>
        <v>0</v>
      </c>
      <c r="L228" s="438">
        <f>VLOOKUP(H228,'Full Trial Balance'!$A$4:$G$2306,5,FALSE)</f>
        <v>14199.33</v>
      </c>
      <c r="M228" s="438">
        <f>VLOOKUP(H228,'Full Trial Balance'!$A$4:$G$2306,6,FALSE)</f>
        <v>0</v>
      </c>
      <c r="N228" s="438">
        <f>VLOOKUP(H228,'Full Trial Balance'!$A$4:$G$2306,7,FALSE)</f>
        <v>14199.33</v>
      </c>
      <c r="O228" s="485">
        <f t="shared" si="29"/>
        <v>0</v>
      </c>
    </row>
    <row r="229" spans="1:15" x14ac:dyDescent="0.25">
      <c r="A229" s="241" t="str">
        <f t="shared" si="24"/>
        <v>04-01</v>
      </c>
      <c r="B229" s="241" t="str">
        <f t="shared" si="25"/>
        <v>04</v>
      </c>
      <c r="C229" s="241" t="str">
        <f t="shared" si="26"/>
        <v>01</v>
      </c>
      <c r="D229" s="235" t="str">
        <f t="shared" si="27"/>
        <v>04-</v>
      </c>
      <c r="E229" s="241" t="s">
        <v>1250</v>
      </c>
      <c r="F229" s="241" t="str">
        <f t="shared" si="28"/>
        <v>-030-006</v>
      </c>
      <c r="G229" s="235" t="s">
        <v>1440</v>
      </c>
      <c r="H229" s="241" t="s">
        <v>816</v>
      </c>
      <c r="I229" s="435" t="s">
        <v>156</v>
      </c>
      <c r="J229" s="438">
        <f>VLOOKUP(H229,'Full Trial Balance'!$A$4:$G$2306,3,FALSE)</f>
        <v>10450</v>
      </c>
      <c r="K229" s="438">
        <f>VLOOKUP(H229,'Full Trial Balance'!$A$4:$G$2306,4,FALSE)</f>
        <v>0</v>
      </c>
      <c r="L229" s="438">
        <f>VLOOKUP(H229,'Full Trial Balance'!$A$4:$G$2306,5,FALSE)</f>
        <v>5477.94</v>
      </c>
      <c r="M229" s="438">
        <f>VLOOKUP(H229,'Full Trial Balance'!$A$4:$G$2306,6,FALSE)</f>
        <v>0</v>
      </c>
      <c r="N229" s="438">
        <f>VLOOKUP(H229,'Full Trial Balance'!$A$4:$G$2306,7,FALSE)</f>
        <v>5477.94</v>
      </c>
      <c r="O229" s="485">
        <f t="shared" si="29"/>
        <v>0</v>
      </c>
    </row>
    <row r="230" spans="1:15" x14ac:dyDescent="0.25">
      <c r="A230" s="241" t="str">
        <f t="shared" si="24"/>
        <v>04-01</v>
      </c>
      <c r="B230" s="241" t="str">
        <f t="shared" si="25"/>
        <v>04</v>
      </c>
      <c r="C230" s="241" t="str">
        <f t="shared" si="26"/>
        <v>01</v>
      </c>
      <c r="D230" s="235" t="str">
        <f t="shared" si="27"/>
        <v>04-</v>
      </c>
      <c r="E230" s="241" t="s">
        <v>1250</v>
      </c>
      <c r="F230" s="241" t="str">
        <f t="shared" si="28"/>
        <v>-030-011</v>
      </c>
      <c r="G230" s="235" t="s">
        <v>1440</v>
      </c>
      <c r="H230" s="241" t="s">
        <v>830</v>
      </c>
      <c r="I230" s="435" t="s">
        <v>157</v>
      </c>
      <c r="J230" s="438">
        <f>VLOOKUP(H230,'Full Trial Balance'!$A$4:$G$2306,3,FALSE)</f>
        <v>2750</v>
      </c>
      <c r="K230" s="438">
        <f>VLOOKUP(H230,'Full Trial Balance'!$A$4:$G$2306,4,FALSE)</f>
        <v>0</v>
      </c>
      <c r="L230" s="438">
        <f>VLOOKUP(H230,'Full Trial Balance'!$A$4:$G$2306,5,FALSE)</f>
        <v>1476.36</v>
      </c>
      <c r="M230" s="438">
        <f>VLOOKUP(H230,'Full Trial Balance'!$A$4:$G$2306,6,FALSE)</f>
        <v>0</v>
      </c>
      <c r="N230" s="438">
        <f>VLOOKUP(H230,'Full Trial Balance'!$A$4:$G$2306,7,FALSE)</f>
        <v>1476.36</v>
      </c>
      <c r="O230" s="485">
        <f t="shared" si="29"/>
        <v>0</v>
      </c>
    </row>
    <row r="231" spans="1:15" x14ac:dyDescent="0.25">
      <c r="A231" s="241" t="str">
        <f t="shared" si="24"/>
        <v>04-01</v>
      </c>
      <c r="B231" s="241" t="str">
        <f t="shared" si="25"/>
        <v>04</v>
      </c>
      <c r="C231" s="241" t="str">
        <f t="shared" si="26"/>
        <v>01</v>
      </c>
      <c r="D231" s="235" t="str">
        <f t="shared" si="27"/>
        <v>04-</v>
      </c>
      <c r="E231" s="241" t="s">
        <v>1250</v>
      </c>
      <c r="F231" s="241" t="str">
        <f t="shared" si="28"/>
        <v>-030-012</v>
      </c>
      <c r="G231" s="256" t="s">
        <v>1440</v>
      </c>
      <c r="H231" s="241" t="s">
        <v>789</v>
      </c>
      <c r="I231" s="435" t="s">
        <v>158</v>
      </c>
      <c r="J231" s="438">
        <f>VLOOKUP(H231,'Full Trial Balance'!$A$4:$G$2306,3,FALSE)</f>
        <v>660</v>
      </c>
      <c r="K231" s="438">
        <f>VLOOKUP(H231,'Full Trial Balance'!$A$4:$G$2306,4,FALSE)</f>
        <v>0</v>
      </c>
      <c r="L231" s="438">
        <f>VLOOKUP(H231,'Full Trial Balance'!$A$4:$G$2306,5,FALSE)</f>
        <v>318.89999999999998</v>
      </c>
      <c r="M231" s="438">
        <f>VLOOKUP(H231,'Full Trial Balance'!$A$4:$G$2306,6,FALSE)</f>
        <v>0</v>
      </c>
      <c r="N231" s="438">
        <f>VLOOKUP(H231,'Full Trial Balance'!$A$4:$G$2306,7,FALSE)</f>
        <v>318.89999999999998</v>
      </c>
      <c r="O231" s="485">
        <f t="shared" si="29"/>
        <v>0</v>
      </c>
    </row>
    <row r="232" spans="1:15" x14ac:dyDescent="0.25">
      <c r="A232" s="241" t="str">
        <f t="shared" si="24"/>
        <v>04-01</v>
      </c>
      <c r="B232" s="241" t="str">
        <f t="shared" si="25"/>
        <v>04</v>
      </c>
      <c r="C232" s="241" t="str">
        <f t="shared" si="26"/>
        <v>01</v>
      </c>
      <c r="D232" s="235" t="str">
        <f t="shared" si="27"/>
        <v>04-</v>
      </c>
      <c r="E232" s="241" t="s">
        <v>1250</v>
      </c>
      <c r="F232" s="241" t="str">
        <f t="shared" si="28"/>
        <v>-030-015</v>
      </c>
      <c r="G232" s="256" t="str">
        <f>CONCATENATE(D232,E232,F232)</f>
        <v>04-0x-030-015</v>
      </c>
      <c r="H232" s="241" t="s">
        <v>1085</v>
      </c>
      <c r="I232" s="435" t="s">
        <v>846</v>
      </c>
      <c r="J232" s="438">
        <f>VLOOKUP(H232,'Full Trial Balance'!$A$4:$G$2306,3,FALSE)</f>
        <v>0</v>
      </c>
      <c r="K232" s="438">
        <f>VLOOKUP(H232,'Full Trial Balance'!$A$4:$G$2306,4,FALSE)</f>
        <v>0</v>
      </c>
      <c r="L232" s="438">
        <f>VLOOKUP(H232,'Full Trial Balance'!$A$4:$G$2306,5,FALSE)</f>
        <v>0</v>
      </c>
      <c r="M232" s="438">
        <f>VLOOKUP(H232,'Full Trial Balance'!$A$4:$G$2306,6,FALSE)</f>
        <v>0</v>
      </c>
      <c r="N232" s="438">
        <f>VLOOKUP(H232,'Full Trial Balance'!$A$4:$G$2306,7,FALSE)</f>
        <v>0</v>
      </c>
      <c r="O232" s="485">
        <f t="shared" si="29"/>
        <v>0</v>
      </c>
    </row>
    <row r="233" spans="1:15" x14ac:dyDescent="0.25">
      <c r="A233" s="241" t="str">
        <f t="shared" si="24"/>
        <v>04-01</v>
      </c>
      <c r="B233" s="241" t="str">
        <f t="shared" si="25"/>
        <v>04</v>
      </c>
      <c r="C233" s="241" t="str">
        <f t="shared" si="26"/>
        <v>01</v>
      </c>
      <c r="D233" s="235" t="str">
        <f t="shared" si="27"/>
        <v>04-</v>
      </c>
      <c r="E233" s="241" t="s">
        <v>1250</v>
      </c>
      <c r="F233" s="241" t="str">
        <f t="shared" si="28"/>
        <v>-030-050</v>
      </c>
      <c r="G233" s="489" t="str">
        <f>CONCATENATE(D233,E233,F233)</f>
        <v>04-0x-030-050</v>
      </c>
      <c r="H233" s="241" t="s">
        <v>1070</v>
      </c>
      <c r="I233" s="435" t="s">
        <v>1073</v>
      </c>
      <c r="J233" s="438">
        <f>VLOOKUP(H233,'Full Trial Balance'!$A$4:$G$2306,3,FALSE)</f>
        <v>0</v>
      </c>
      <c r="K233" s="438">
        <f>VLOOKUP(H233,'Full Trial Balance'!$A$4:$G$2306,4,FALSE)</f>
        <v>0</v>
      </c>
      <c r="L233" s="438">
        <f>VLOOKUP(H233,'Full Trial Balance'!$A$4:$G$2306,5,FALSE)</f>
        <v>0</v>
      </c>
      <c r="M233" s="438">
        <f>VLOOKUP(H233,'Full Trial Balance'!$A$4:$G$2306,6,FALSE)</f>
        <v>0</v>
      </c>
      <c r="N233" s="438">
        <f>VLOOKUP(H233,'Full Trial Balance'!$A$4:$G$2306,7,FALSE)</f>
        <v>0</v>
      </c>
      <c r="O233" s="485">
        <f t="shared" si="29"/>
        <v>0</v>
      </c>
    </row>
    <row r="234" spans="1:15" x14ac:dyDescent="0.25">
      <c r="A234" s="241" t="str">
        <f t="shared" si="24"/>
        <v>04-01</v>
      </c>
      <c r="B234" s="241" t="str">
        <f t="shared" si="25"/>
        <v>04</v>
      </c>
      <c r="C234" s="241" t="str">
        <f t="shared" si="26"/>
        <v>01</v>
      </c>
      <c r="D234" s="235" t="str">
        <f t="shared" si="27"/>
        <v>04-</v>
      </c>
      <c r="E234" s="241" t="s">
        <v>1250</v>
      </c>
      <c r="F234" s="241" t="str">
        <f t="shared" si="28"/>
        <v>-031-123</v>
      </c>
      <c r="G234" s="489" t="s">
        <v>1257</v>
      </c>
      <c r="H234" s="241" t="s">
        <v>822</v>
      </c>
      <c r="I234" s="435" t="s">
        <v>159</v>
      </c>
      <c r="J234" s="438">
        <f>VLOOKUP(H234,'Full Trial Balance'!$A$4:$G$2306,3,FALSE)</f>
        <v>1650</v>
      </c>
      <c r="K234" s="438">
        <f>VLOOKUP(H234,'Full Trial Balance'!$A$4:$G$2306,4,FALSE)</f>
        <v>0</v>
      </c>
      <c r="L234" s="438">
        <f>VLOOKUP(H234,'Full Trial Balance'!$A$4:$G$2306,5,FALSE)</f>
        <v>683.96</v>
      </c>
      <c r="M234" s="438">
        <f>VLOOKUP(H234,'Full Trial Balance'!$A$4:$G$2306,6,FALSE)</f>
        <v>0</v>
      </c>
      <c r="N234" s="438">
        <f>VLOOKUP(H234,'Full Trial Balance'!$A$4:$G$2306,7,FALSE)</f>
        <v>683.96</v>
      </c>
      <c r="O234" s="485">
        <f t="shared" si="29"/>
        <v>0</v>
      </c>
    </row>
    <row r="235" spans="1:15" x14ac:dyDescent="0.25">
      <c r="A235" s="241" t="str">
        <f t="shared" si="24"/>
        <v>04-01</v>
      </c>
      <c r="B235" s="241" t="str">
        <f t="shared" si="25"/>
        <v>04</v>
      </c>
      <c r="C235" s="241" t="str">
        <f t="shared" si="26"/>
        <v>01</v>
      </c>
      <c r="D235" s="235" t="str">
        <f t="shared" si="27"/>
        <v>04-</v>
      </c>
      <c r="E235" s="241" t="s">
        <v>1250</v>
      </c>
      <c r="F235" s="241" t="str">
        <f t="shared" si="28"/>
        <v>-031-124</v>
      </c>
      <c r="G235" s="235" t="s">
        <v>1449</v>
      </c>
      <c r="H235" s="241" t="s">
        <v>794</v>
      </c>
      <c r="I235" s="435" t="s">
        <v>160</v>
      </c>
      <c r="J235" s="438">
        <f>VLOOKUP(H235,'Full Trial Balance'!$A$4:$G$2306,3,FALSE)</f>
        <v>495</v>
      </c>
      <c r="K235" s="438">
        <f>VLOOKUP(H235,'Full Trial Balance'!$A$4:$G$2306,4,FALSE)</f>
        <v>0</v>
      </c>
      <c r="L235" s="438">
        <f>VLOOKUP(H235,'Full Trial Balance'!$A$4:$G$2306,5,FALSE)</f>
        <v>1781.77</v>
      </c>
      <c r="M235" s="438">
        <f>VLOOKUP(H235,'Full Trial Balance'!$A$4:$G$2306,6,FALSE)</f>
        <v>0</v>
      </c>
      <c r="N235" s="438">
        <f>VLOOKUP(H235,'Full Trial Balance'!$A$4:$G$2306,7,FALSE)</f>
        <v>1781.77</v>
      </c>
      <c r="O235" s="485">
        <f t="shared" si="29"/>
        <v>0</v>
      </c>
    </row>
    <row r="236" spans="1:15" x14ac:dyDescent="0.25">
      <c r="A236" s="241" t="str">
        <f t="shared" si="24"/>
        <v>04-01</v>
      </c>
      <c r="B236" s="241" t="str">
        <f t="shared" si="25"/>
        <v>04</v>
      </c>
      <c r="C236" s="241" t="str">
        <f t="shared" si="26"/>
        <v>01</v>
      </c>
      <c r="D236" s="235" t="str">
        <f t="shared" si="27"/>
        <v>04-</v>
      </c>
      <c r="E236" s="241" t="s">
        <v>1250</v>
      </c>
      <c r="F236" s="241" t="str">
        <f t="shared" si="28"/>
        <v>-031-125</v>
      </c>
      <c r="G236" s="235" t="s">
        <v>1449</v>
      </c>
      <c r="H236" s="241" t="s">
        <v>835</v>
      </c>
      <c r="I236" s="435" t="s">
        <v>161</v>
      </c>
      <c r="J236" s="438">
        <f>VLOOKUP(H236,'Full Trial Balance'!$A$4:$G$2306,3,FALSE)</f>
        <v>704</v>
      </c>
      <c r="K236" s="438">
        <f>VLOOKUP(H236,'Full Trial Balance'!$A$4:$G$2306,4,FALSE)</f>
        <v>0</v>
      </c>
      <c r="L236" s="438">
        <f>VLOOKUP(H236,'Full Trial Balance'!$A$4:$G$2306,5,FALSE)</f>
        <v>348</v>
      </c>
      <c r="M236" s="438">
        <f>VLOOKUP(H236,'Full Trial Balance'!$A$4:$G$2306,6,FALSE)</f>
        <v>0</v>
      </c>
      <c r="N236" s="438">
        <f>VLOOKUP(H236,'Full Trial Balance'!$A$4:$G$2306,7,FALSE)</f>
        <v>348</v>
      </c>
      <c r="O236" s="485">
        <f t="shared" si="29"/>
        <v>0</v>
      </c>
    </row>
    <row r="237" spans="1:15" x14ac:dyDescent="0.25">
      <c r="A237" s="241" t="str">
        <f t="shared" si="24"/>
        <v>04-01</v>
      </c>
      <c r="B237" s="241" t="str">
        <f t="shared" si="25"/>
        <v>04</v>
      </c>
      <c r="C237" s="241" t="str">
        <f t="shared" si="26"/>
        <v>01</v>
      </c>
      <c r="D237" s="235" t="str">
        <f t="shared" si="27"/>
        <v>04-</v>
      </c>
      <c r="E237" s="241" t="s">
        <v>1250</v>
      </c>
      <c r="F237" s="241" t="str">
        <f t="shared" si="28"/>
        <v>-031-126</v>
      </c>
      <c r="G237" s="429" t="s">
        <v>1445</v>
      </c>
      <c r="H237" s="241" t="s">
        <v>788</v>
      </c>
      <c r="I237" s="435" t="s">
        <v>162</v>
      </c>
      <c r="J237" s="438">
        <f>VLOOKUP(H237,'Full Trial Balance'!$A$4:$G$2306,3,FALSE)</f>
        <v>275</v>
      </c>
      <c r="K237" s="438">
        <f>VLOOKUP(H237,'Full Trial Balance'!$A$4:$G$2306,4,FALSE)</f>
        <v>0</v>
      </c>
      <c r="L237" s="438">
        <f>VLOOKUP(H237,'Full Trial Balance'!$A$4:$G$2306,5,FALSE)</f>
        <v>129.74</v>
      </c>
      <c r="M237" s="438">
        <f>VLOOKUP(H237,'Full Trial Balance'!$A$4:$G$2306,6,FALSE)</f>
        <v>16.98</v>
      </c>
      <c r="N237" s="438">
        <f>VLOOKUP(H237,'Full Trial Balance'!$A$4:$G$2306,7,FALSE)</f>
        <v>112.76</v>
      </c>
      <c r="O237" s="485">
        <f t="shared" si="29"/>
        <v>0</v>
      </c>
    </row>
    <row r="238" spans="1:15" x14ac:dyDescent="0.25">
      <c r="A238" s="241" t="str">
        <f t="shared" si="24"/>
        <v>04-01</v>
      </c>
      <c r="B238" s="241" t="str">
        <f t="shared" si="25"/>
        <v>04</v>
      </c>
      <c r="C238" s="241" t="str">
        <f t="shared" si="26"/>
        <v>01</v>
      </c>
      <c r="D238" s="235" t="str">
        <f t="shared" si="27"/>
        <v>04-</v>
      </c>
      <c r="E238" s="241" t="s">
        <v>1250</v>
      </c>
      <c r="F238" s="241" t="str">
        <f t="shared" si="28"/>
        <v>-031-127</v>
      </c>
      <c r="G238" s="429" t="s">
        <v>1445</v>
      </c>
      <c r="H238" s="241" t="s">
        <v>827</v>
      </c>
      <c r="I238" s="435" t="s">
        <v>83</v>
      </c>
      <c r="J238" s="438">
        <f>VLOOKUP(H238,'Full Trial Balance'!$A$4:$G$2306,3,FALSE)</f>
        <v>4950</v>
      </c>
      <c r="K238" s="438">
        <f>VLOOKUP(H238,'Full Trial Balance'!$A$4:$G$2306,4,FALSE)</f>
        <v>0</v>
      </c>
      <c r="L238" s="438">
        <f>VLOOKUP(H238,'Full Trial Balance'!$A$4:$G$2306,5,FALSE)</f>
        <v>2182.9899999999998</v>
      </c>
      <c r="M238" s="438">
        <f>VLOOKUP(H238,'Full Trial Balance'!$A$4:$G$2306,6,FALSE)</f>
        <v>24.74</v>
      </c>
      <c r="N238" s="438">
        <f>VLOOKUP(H238,'Full Trial Balance'!$A$4:$G$2306,7,FALSE)</f>
        <v>2158.25</v>
      </c>
      <c r="O238" s="485">
        <f t="shared" si="29"/>
        <v>2.1671553440683056E-13</v>
      </c>
    </row>
    <row r="239" spans="1:15" x14ac:dyDescent="0.25">
      <c r="A239" s="241" t="str">
        <f t="shared" si="24"/>
        <v>04-01</v>
      </c>
      <c r="B239" s="241" t="str">
        <f t="shared" si="25"/>
        <v>04</v>
      </c>
      <c r="C239" s="241" t="str">
        <f t="shared" si="26"/>
        <v>01</v>
      </c>
      <c r="D239" s="235" t="str">
        <f t="shared" si="27"/>
        <v>04-</v>
      </c>
      <c r="E239" s="241" t="s">
        <v>1250</v>
      </c>
      <c r="F239" s="241" t="str">
        <f t="shared" si="28"/>
        <v>-031-128</v>
      </c>
      <c r="G239" s="256" t="str">
        <f>CONCATENATE(D239,E239,F239)</f>
        <v>04-0x-031-128</v>
      </c>
      <c r="H239" s="241" t="s">
        <v>831</v>
      </c>
      <c r="I239" s="435" t="s">
        <v>163</v>
      </c>
      <c r="J239" s="438">
        <f>VLOOKUP(H239,'Full Trial Balance'!$A$4:$G$2306,3,FALSE)</f>
        <v>2860</v>
      </c>
      <c r="K239" s="438">
        <f>VLOOKUP(H239,'Full Trial Balance'!$A$4:$G$2306,4,FALSE)</f>
        <v>0</v>
      </c>
      <c r="L239" s="438">
        <f>VLOOKUP(H239,'Full Trial Balance'!$A$4:$G$2306,5,FALSE)</f>
        <v>1482.95</v>
      </c>
      <c r="M239" s="438">
        <f>VLOOKUP(H239,'Full Trial Balance'!$A$4:$G$2306,6,FALSE)</f>
        <v>0</v>
      </c>
      <c r="N239" s="438">
        <f>VLOOKUP(H239,'Full Trial Balance'!$A$4:$G$2306,7,FALSE)</f>
        <v>1482.95</v>
      </c>
      <c r="O239" s="485">
        <f t="shared" si="29"/>
        <v>0</v>
      </c>
    </row>
    <row r="240" spans="1:15" x14ac:dyDescent="0.25">
      <c r="A240" s="241" t="str">
        <f t="shared" si="24"/>
        <v>04-01</v>
      </c>
      <c r="B240" s="241" t="str">
        <f t="shared" si="25"/>
        <v>04</v>
      </c>
      <c r="C240" s="241" t="str">
        <f t="shared" si="26"/>
        <v>01</v>
      </c>
      <c r="D240" s="235" t="str">
        <f t="shared" si="27"/>
        <v>04-</v>
      </c>
      <c r="E240" s="241" t="s">
        <v>1250</v>
      </c>
      <c r="F240" s="241" t="str">
        <f t="shared" si="28"/>
        <v>-035-001</v>
      </c>
      <c r="G240" s="489" t="str">
        <f>CONCATENATE(D240,E240,F240)</f>
        <v>04-0x-035-001</v>
      </c>
      <c r="H240" s="241" t="s">
        <v>828</v>
      </c>
      <c r="I240" s="435" t="s">
        <v>70</v>
      </c>
      <c r="J240" s="438">
        <f>VLOOKUP(H240,'Full Trial Balance'!$A$4:$G$2306,3,FALSE)</f>
        <v>6380</v>
      </c>
      <c r="K240" s="438">
        <f>VLOOKUP(H240,'Full Trial Balance'!$A$4:$G$2306,4,FALSE)</f>
        <v>0</v>
      </c>
      <c r="L240" s="438">
        <f>VLOOKUP(H240,'Full Trial Balance'!$A$4:$G$2306,5,FALSE)</f>
        <v>4924.68</v>
      </c>
      <c r="M240" s="438">
        <f>VLOOKUP(H240,'Full Trial Balance'!$A$4:$G$2306,6,FALSE)</f>
        <v>16.95</v>
      </c>
      <c r="N240" s="438">
        <f>VLOOKUP(H240,'Full Trial Balance'!$A$4:$G$2306,7,FALSE)</f>
        <v>4907.7299999999996</v>
      </c>
      <c r="O240" s="485">
        <f t="shared" si="29"/>
        <v>-7.2830630415410269E-13</v>
      </c>
    </row>
    <row r="241" spans="1:15" x14ac:dyDescent="0.25">
      <c r="A241" s="241" t="str">
        <f t="shared" si="24"/>
        <v>04-01</v>
      </c>
      <c r="B241" s="241" t="str">
        <f t="shared" si="25"/>
        <v>04</v>
      </c>
      <c r="C241" s="241" t="str">
        <f t="shared" si="26"/>
        <v>01</v>
      </c>
      <c r="D241" s="235" t="str">
        <f t="shared" si="27"/>
        <v>04-</v>
      </c>
      <c r="E241" s="241" t="s">
        <v>1250</v>
      </c>
      <c r="F241" s="241" t="str">
        <f t="shared" si="28"/>
        <v>-035-002</v>
      </c>
      <c r="G241" s="489" t="str">
        <f>CONCATENATE(D241,E241,F241)</f>
        <v>04-0x-035-002</v>
      </c>
      <c r="H241" s="241" t="s">
        <v>829</v>
      </c>
      <c r="I241" s="435" t="s">
        <v>47</v>
      </c>
      <c r="J241" s="438">
        <f>VLOOKUP(H241,'Full Trial Balance'!$A$4:$G$2306,3,FALSE)</f>
        <v>550</v>
      </c>
      <c r="K241" s="438">
        <f>VLOOKUP(H241,'Full Trial Balance'!$A$4:$G$2306,4,FALSE)</f>
        <v>0</v>
      </c>
      <c r="L241" s="438">
        <f>VLOOKUP(H241,'Full Trial Balance'!$A$4:$G$2306,5,FALSE)</f>
        <v>776</v>
      </c>
      <c r="M241" s="438">
        <f>VLOOKUP(H241,'Full Trial Balance'!$A$4:$G$2306,6,FALSE)</f>
        <v>170</v>
      </c>
      <c r="N241" s="438">
        <f>VLOOKUP(H241,'Full Trial Balance'!$A$4:$G$2306,7,FALSE)</f>
        <v>606</v>
      </c>
      <c r="O241" s="485">
        <f t="shared" si="29"/>
        <v>0</v>
      </c>
    </row>
    <row r="242" spans="1:15" x14ac:dyDescent="0.25">
      <c r="A242" s="241" t="str">
        <f t="shared" si="24"/>
        <v>04-01</v>
      </c>
      <c r="B242" s="241" t="str">
        <f t="shared" si="25"/>
        <v>04</v>
      </c>
      <c r="C242" s="241" t="str">
        <f t="shared" si="26"/>
        <v>01</v>
      </c>
      <c r="D242" s="235" t="str">
        <f t="shared" si="27"/>
        <v>04-</v>
      </c>
      <c r="E242" s="241" t="s">
        <v>1250</v>
      </c>
      <c r="F242" s="241" t="str">
        <f t="shared" si="28"/>
        <v>-035-003</v>
      </c>
      <c r="G242" s="489" t="s">
        <v>1456</v>
      </c>
      <c r="H242" s="241" t="s">
        <v>823</v>
      </c>
      <c r="I242" s="435" t="s">
        <v>48</v>
      </c>
      <c r="J242" s="438">
        <f>VLOOKUP(H242,'Full Trial Balance'!$A$4:$G$2306,3,FALSE)</f>
        <v>825</v>
      </c>
      <c r="K242" s="438">
        <f>VLOOKUP(H242,'Full Trial Balance'!$A$4:$G$2306,4,FALSE)</f>
        <v>0</v>
      </c>
      <c r="L242" s="438">
        <f>VLOOKUP(H242,'Full Trial Balance'!$A$4:$G$2306,5,FALSE)</f>
        <v>308.35000000000002</v>
      </c>
      <c r="M242" s="438">
        <f>VLOOKUP(H242,'Full Trial Balance'!$A$4:$G$2306,6,FALSE)</f>
        <v>180</v>
      </c>
      <c r="N242" s="438">
        <f>VLOOKUP(H242,'Full Trial Balance'!$A$4:$G$2306,7,FALSE)</f>
        <v>128.35</v>
      </c>
      <c r="O242" s="485">
        <f t="shared" si="29"/>
        <v>0</v>
      </c>
    </row>
    <row r="243" spans="1:15" x14ac:dyDescent="0.25">
      <c r="A243" s="241" t="str">
        <f t="shared" si="24"/>
        <v>04-01</v>
      </c>
      <c r="B243" s="241" t="str">
        <f t="shared" si="25"/>
        <v>04</v>
      </c>
      <c r="C243" s="241" t="str">
        <f t="shared" si="26"/>
        <v>01</v>
      </c>
      <c r="D243" s="235" t="str">
        <f t="shared" si="27"/>
        <v>04-</v>
      </c>
      <c r="E243" s="241" t="s">
        <v>1250</v>
      </c>
      <c r="F243" s="241" t="str">
        <f t="shared" si="28"/>
        <v>-035-004</v>
      </c>
      <c r="G243" s="489" t="s">
        <v>1456</v>
      </c>
      <c r="H243" s="241" t="s">
        <v>808</v>
      </c>
      <c r="I243" s="435" t="s">
        <v>49</v>
      </c>
      <c r="J243" s="438">
        <f>VLOOKUP(H243,'Full Trial Balance'!$A$4:$G$2306,3,FALSE)</f>
        <v>2200</v>
      </c>
      <c r="K243" s="438">
        <f>VLOOKUP(H243,'Full Trial Balance'!$A$4:$G$2306,4,FALSE)</f>
        <v>0</v>
      </c>
      <c r="L243" s="438">
        <f>VLOOKUP(H243,'Full Trial Balance'!$A$4:$G$2306,5,FALSE)</f>
        <v>540.30999999999995</v>
      </c>
      <c r="M243" s="438">
        <f>VLOOKUP(H243,'Full Trial Balance'!$A$4:$G$2306,6,FALSE)</f>
        <v>0</v>
      </c>
      <c r="N243" s="438">
        <f>VLOOKUP(H243,'Full Trial Balance'!$A$4:$G$2306,7,FALSE)</f>
        <v>540.30999999999995</v>
      </c>
      <c r="O243" s="485">
        <f t="shared" si="29"/>
        <v>0</v>
      </c>
    </row>
    <row r="244" spans="1:15" x14ac:dyDescent="0.25">
      <c r="A244" s="241" t="str">
        <f t="shared" si="24"/>
        <v>04-01</v>
      </c>
      <c r="B244" s="241" t="str">
        <f t="shared" si="25"/>
        <v>04</v>
      </c>
      <c r="C244" s="241" t="str">
        <f t="shared" si="26"/>
        <v>01</v>
      </c>
      <c r="D244" s="235" t="str">
        <f t="shared" si="27"/>
        <v>04-</v>
      </c>
      <c r="E244" s="241" t="s">
        <v>1250</v>
      </c>
      <c r="F244" s="241" t="str">
        <f t="shared" si="28"/>
        <v>-035-005</v>
      </c>
      <c r="G244" s="235" t="s">
        <v>1461</v>
      </c>
      <c r="H244" s="241" t="s">
        <v>798</v>
      </c>
      <c r="I244" s="435" t="s">
        <v>50</v>
      </c>
      <c r="J244" s="438">
        <f>VLOOKUP(H244,'Full Trial Balance'!$A$4:$G$2306,3,FALSE)</f>
        <v>3080</v>
      </c>
      <c r="K244" s="438">
        <f>VLOOKUP(H244,'Full Trial Balance'!$A$4:$G$2306,4,FALSE)</f>
        <v>0</v>
      </c>
      <c r="L244" s="438">
        <f>VLOOKUP(H244,'Full Trial Balance'!$A$4:$G$2306,5,FALSE)</f>
        <v>951.57</v>
      </c>
      <c r="M244" s="438">
        <f>VLOOKUP(H244,'Full Trial Balance'!$A$4:$G$2306,6,FALSE)</f>
        <v>0</v>
      </c>
      <c r="N244" s="438">
        <f>VLOOKUP(H244,'Full Trial Balance'!$A$4:$G$2306,7,FALSE)</f>
        <v>951.57</v>
      </c>
      <c r="O244" s="485">
        <f t="shared" si="29"/>
        <v>0</v>
      </c>
    </row>
    <row r="245" spans="1:15" x14ac:dyDescent="0.25">
      <c r="A245" s="241" t="str">
        <f t="shared" si="24"/>
        <v>04-01</v>
      </c>
      <c r="B245" s="241" t="str">
        <f t="shared" si="25"/>
        <v>04</v>
      </c>
      <c r="C245" s="241" t="str">
        <f t="shared" si="26"/>
        <v>01</v>
      </c>
      <c r="D245" s="235" t="str">
        <f t="shared" si="27"/>
        <v>04-</v>
      </c>
      <c r="E245" s="241" t="s">
        <v>1250</v>
      </c>
      <c r="F245" s="241" t="str">
        <f t="shared" si="28"/>
        <v>-035-006</v>
      </c>
      <c r="G245" s="235" t="s">
        <v>1461</v>
      </c>
      <c r="H245" s="241" t="s">
        <v>1071</v>
      </c>
      <c r="I245" s="435" t="s">
        <v>1061</v>
      </c>
      <c r="J245" s="438">
        <f>VLOOKUP(H245,'Full Trial Balance'!$A$4:$G$2306,3,FALSE)</f>
        <v>3300</v>
      </c>
      <c r="K245" s="438">
        <f>VLOOKUP(H245,'Full Trial Balance'!$A$4:$G$2306,4,FALSE)</f>
        <v>0</v>
      </c>
      <c r="L245" s="438">
        <f>VLOOKUP(H245,'Full Trial Balance'!$A$4:$G$2306,5,FALSE)</f>
        <v>3869.58</v>
      </c>
      <c r="M245" s="438">
        <f>VLOOKUP(H245,'Full Trial Balance'!$A$4:$G$2306,6,FALSE)</f>
        <v>0</v>
      </c>
      <c r="N245" s="438">
        <f>VLOOKUP(H245,'Full Trial Balance'!$A$4:$G$2306,7,FALSE)</f>
        <v>3869.58</v>
      </c>
      <c r="O245" s="485">
        <f t="shared" si="29"/>
        <v>0</v>
      </c>
    </row>
    <row r="246" spans="1:15" x14ac:dyDescent="0.25">
      <c r="A246" s="241" t="str">
        <f t="shared" si="24"/>
        <v>04-01</v>
      </c>
      <c r="B246" s="241" t="str">
        <f t="shared" si="25"/>
        <v>04</v>
      </c>
      <c r="C246" s="241" t="str">
        <f t="shared" si="26"/>
        <v>01</v>
      </c>
      <c r="D246" s="235" t="str">
        <f t="shared" si="27"/>
        <v>04-</v>
      </c>
      <c r="E246" s="241" t="s">
        <v>1250</v>
      </c>
      <c r="F246" s="241" t="str">
        <f t="shared" si="28"/>
        <v>-035-007</v>
      </c>
      <c r="G246" s="235" t="str">
        <f t="shared" ref="G246:G252" si="31">CONCATENATE(D246,E246,F246)</f>
        <v>04-0x-035-007</v>
      </c>
      <c r="H246" s="241" t="s">
        <v>787</v>
      </c>
      <c r="I246" s="435" t="s">
        <v>51</v>
      </c>
      <c r="J246" s="438">
        <f>VLOOKUP(H246,'Full Trial Balance'!$A$4:$G$2306,3,FALSE)</f>
        <v>1320</v>
      </c>
      <c r="K246" s="438">
        <f>VLOOKUP(H246,'Full Trial Balance'!$A$4:$G$2306,4,FALSE)</f>
        <v>0</v>
      </c>
      <c r="L246" s="438">
        <f>VLOOKUP(H246,'Full Trial Balance'!$A$4:$G$2306,5,FALSE)</f>
        <v>415.46</v>
      </c>
      <c r="M246" s="438">
        <f>VLOOKUP(H246,'Full Trial Balance'!$A$4:$G$2306,6,FALSE)</f>
        <v>0</v>
      </c>
      <c r="N246" s="438">
        <f>VLOOKUP(H246,'Full Trial Balance'!$A$4:$G$2306,7,FALSE)</f>
        <v>415.46</v>
      </c>
      <c r="O246" s="485">
        <f t="shared" si="29"/>
        <v>0</v>
      </c>
    </row>
    <row r="247" spans="1:15" x14ac:dyDescent="0.25">
      <c r="A247" s="241" t="str">
        <f t="shared" si="24"/>
        <v>04-01</v>
      </c>
      <c r="B247" s="241" t="str">
        <f t="shared" si="25"/>
        <v>04</v>
      </c>
      <c r="C247" s="241" t="str">
        <f t="shared" si="26"/>
        <v>01</v>
      </c>
      <c r="D247" s="235" t="str">
        <f t="shared" si="27"/>
        <v>04-</v>
      </c>
      <c r="E247" s="241" t="s">
        <v>1250</v>
      </c>
      <c r="F247" s="241" t="str">
        <f t="shared" si="28"/>
        <v>-035-008</v>
      </c>
      <c r="G247" s="235" t="str">
        <f t="shared" si="31"/>
        <v>04-0x-035-008</v>
      </c>
      <c r="H247" s="241" t="s">
        <v>818</v>
      </c>
      <c r="I247" s="435" t="s">
        <v>164</v>
      </c>
      <c r="J247" s="438">
        <f>VLOOKUP(H247,'Full Trial Balance'!$A$4:$G$2306,3,FALSE)</f>
        <v>6600</v>
      </c>
      <c r="K247" s="438">
        <f>VLOOKUP(H247,'Full Trial Balance'!$A$4:$G$2306,4,FALSE)</f>
        <v>0</v>
      </c>
      <c r="L247" s="438">
        <f>VLOOKUP(H247,'Full Trial Balance'!$A$4:$G$2306,5,FALSE)</f>
        <v>6518.79</v>
      </c>
      <c r="M247" s="438">
        <f>VLOOKUP(H247,'Full Trial Balance'!$A$4:$G$2306,6,FALSE)</f>
        <v>0</v>
      </c>
      <c r="N247" s="438">
        <f>VLOOKUP(H247,'Full Trial Balance'!$A$4:$G$2306,7,FALSE)</f>
        <v>6518.79</v>
      </c>
      <c r="O247" s="485">
        <f t="shared" si="29"/>
        <v>0</v>
      </c>
    </row>
    <row r="248" spans="1:15" x14ac:dyDescent="0.25">
      <c r="A248" s="241" t="str">
        <f t="shared" si="24"/>
        <v>04-01</v>
      </c>
      <c r="B248" s="241" t="str">
        <f t="shared" si="25"/>
        <v>04</v>
      </c>
      <c r="C248" s="241" t="str">
        <f t="shared" si="26"/>
        <v>01</v>
      </c>
      <c r="D248" s="235" t="str">
        <f t="shared" si="27"/>
        <v>04-</v>
      </c>
      <c r="E248" s="241" t="s">
        <v>1250</v>
      </c>
      <c r="F248" s="241" t="str">
        <f t="shared" si="28"/>
        <v>-035-009</v>
      </c>
      <c r="G248" s="235" t="str">
        <f t="shared" si="31"/>
        <v>04-0x-035-009</v>
      </c>
      <c r="H248" s="241" t="s">
        <v>809</v>
      </c>
      <c r="I248" s="435" t="s">
        <v>165</v>
      </c>
      <c r="J248" s="438">
        <f>VLOOKUP(H248,'Full Trial Balance'!$A$4:$G$2306,3,FALSE)</f>
        <v>660</v>
      </c>
      <c r="K248" s="438">
        <f>VLOOKUP(H248,'Full Trial Balance'!$A$4:$G$2306,4,FALSE)</f>
        <v>0</v>
      </c>
      <c r="L248" s="438">
        <f>VLOOKUP(H248,'Full Trial Balance'!$A$4:$G$2306,5,FALSE)</f>
        <v>207.38</v>
      </c>
      <c r="M248" s="438">
        <f>VLOOKUP(H248,'Full Trial Balance'!$A$4:$G$2306,6,FALSE)</f>
        <v>9.19</v>
      </c>
      <c r="N248" s="438">
        <f>VLOOKUP(H248,'Full Trial Balance'!$A$4:$G$2306,7,FALSE)</f>
        <v>198.19</v>
      </c>
      <c r="O248" s="485">
        <f t="shared" si="29"/>
        <v>0</v>
      </c>
    </row>
    <row r="249" spans="1:15" x14ac:dyDescent="0.25">
      <c r="A249" s="241" t="str">
        <f t="shared" si="24"/>
        <v>04-01</v>
      </c>
      <c r="B249" s="241" t="str">
        <f t="shared" si="25"/>
        <v>04</v>
      </c>
      <c r="C249" s="241" t="str">
        <f t="shared" si="26"/>
        <v>01</v>
      </c>
      <c r="D249" s="235" t="str">
        <f t="shared" si="27"/>
        <v>04-</v>
      </c>
      <c r="E249" s="241" t="s">
        <v>1250</v>
      </c>
      <c r="F249" s="241" t="str">
        <f t="shared" si="28"/>
        <v>-035-010</v>
      </c>
      <c r="G249" s="256" t="str">
        <f t="shared" si="31"/>
        <v>04-0x-035-010</v>
      </c>
      <c r="H249" s="241" t="s">
        <v>1072</v>
      </c>
      <c r="I249" s="435" t="s">
        <v>1063</v>
      </c>
      <c r="J249" s="438">
        <f>VLOOKUP(H249,'Full Trial Balance'!$A$4:$G$2306,3,FALSE)</f>
        <v>1045</v>
      </c>
      <c r="K249" s="438">
        <f>VLOOKUP(H249,'Full Trial Balance'!$A$4:$G$2306,4,FALSE)</f>
        <v>0</v>
      </c>
      <c r="L249" s="438">
        <f>VLOOKUP(H249,'Full Trial Balance'!$A$4:$G$2306,5,FALSE)</f>
        <v>394.9</v>
      </c>
      <c r="M249" s="438">
        <f>VLOOKUP(H249,'Full Trial Balance'!$A$4:$G$2306,6,FALSE)</f>
        <v>0</v>
      </c>
      <c r="N249" s="438">
        <f>VLOOKUP(H249,'Full Trial Balance'!$A$4:$G$2306,7,FALSE)</f>
        <v>394.9</v>
      </c>
      <c r="O249" s="485">
        <f t="shared" si="29"/>
        <v>0</v>
      </c>
    </row>
    <row r="250" spans="1:15" x14ac:dyDescent="0.25">
      <c r="A250" s="241" t="str">
        <f t="shared" si="24"/>
        <v>04-01</v>
      </c>
      <c r="B250" s="241" t="str">
        <f t="shared" si="25"/>
        <v>04</v>
      </c>
      <c r="C250" s="241" t="str">
        <f t="shared" si="26"/>
        <v>01</v>
      </c>
      <c r="D250" s="235" t="str">
        <f t="shared" si="27"/>
        <v>04-</v>
      </c>
      <c r="E250" s="241" t="s">
        <v>1250</v>
      </c>
      <c r="F250" s="241" t="str">
        <f t="shared" si="28"/>
        <v>-038-110</v>
      </c>
      <c r="G250" s="256" t="str">
        <f t="shared" si="31"/>
        <v>04-0x-038-110</v>
      </c>
      <c r="H250" s="241" t="s">
        <v>786</v>
      </c>
      <c r="I250" s="435" t="s">
        <v>166</v>
      </c>
      <c r="J250" s="438">
        <f>VLOOKUP(H250,'Full Trial Balance'!$A$4:$G$2306,3,FALSE)</f>
        <v>3850</v>
      </c>
      <c r="K250" s="438">
        <f>VLOOKUP(H250,'Full Trial Balance'!$A$4:$G$2306,4,FALSE)</f>
        <v>0</v>
      </c>
      <c r="L250" s="438">
        <f>VLOOKUP(H250,'Full Trial Balance'!$A$4:$G$2306,5,FALSE)</f>
        <v>2818.93</v>
      </c>
      <c r="M250" s="438">
        <f>VLOOKUP(H250,'Full Trial Balance'!$A$4:$G$2306,6,FALSE)</f>
        <v>0</v>
      </c>
      <c r="N250" s="438">
        <f>VLOOKUP(H250,'Full Trial Balance'!$A$4:$G$2306,7,FALSE)</f>
        <v>2818.93</v>
      </c>
      <c r="O250" s="485">
        <f t="shared" si="29"/>
        <v>0</v>
      </c>
    </row>
    <row r="251" spans="1:15" x14ac:dyDescent="0.25">
      <c r="A251" s="241" t="str">
        <f t="shared" si="24"/>
        <v>04-01</v>
      </c>
      <c r="B251" s="241" t="str">
        <f t="shared" si="25"/>
        <v>04</v>
      </c>
      <c r="C251" s="241" t="str">
        <f t="shared" si="26"/>
        <v>01</v>
      </c>
      <c r="D251" s="235" t="str">
        <f t="shared" si="27"/>
        <v>04-</v>
      </c>
      <c r="E251" s="241" t="s">
        <v>1250</v>
      </c>
      <c r="F251" s="241" t="str">
        <f t="shared" si="28"/>
        <v>-038-111</v>
      </c>
      <c r="G251" s="256" t="str">
        <f t="shared" si="31"/>
        <v>04-0x-038-111</v>
      </c>
      <c r="H251" s="241" t="s">
        <v>801</v>
      </c>
      <c r="I251" s="435" t="s">
        <v>52</v>
      </c>
      <c r="J251" s="438">
        <f>VLOOKUP(H251,'Full Trial Balance'!$A$4:$G$2306,3,FALSE)</f>
        <v>20240</v>
      </c>
      <c r="K251" s="438">
        <f>VLOOKUP(H251,'Full Trial Balance'!$A$4:$G$2306,4,FALSE)</f>
        <v>0</v>
      </c>
      <c r="L251" s="438">
        <f>VLOOKUP(H251,'Full Trial Balance'!$A$4:$G$2306,5,FALSE)</f>
        <v>14198.54</v>
      </c>
      <c r="M251" s="438">
        <f>VLOOKUP(H251,'Full Trial Balance'!$A$4:$G$2306,6,FALSE)</f>
        <v>420.75</v>
      </c>
      <c r="N251" s="438">
        <f>VLOOKUP(H251,'Full Trial Balance'!$A$4:$G$2306,7,FALSE)</f>
        <v>13777.79</v>
      </c>
      <c r="O251" s="485">
        <f t="shared" si="29"/>
        <v>0</v>
      </c>
    </row>
    <row r="252" spans="1:15" x14ac:dyDescent="0.25">
      <c r="A252" s="241" t="str">
        <f t="shared" si="24"/>
        <v>04-01</v>
      </c>
      <c r="B252" s="241" t="str">
        <f t="shared" si="25"/>
        <v>04</v>
      </c>
      <c r="C252" s="241" t="str">
        <f t="shared" si="26"/>
        <v>01</v>
      </c>
      <c r="D252" s="235" t="str">
        <f t="shared" si="27"/>
        <v>04-</v>
      </c>
      <c r="E252" s="241" t="s">
        <v>1250</v>
      </c>
      <c r="F252" s="241" t="str">
        <f t="shared" si="28"/>
        <v>-038-113</v>
      </c>
      <c r="G252" s="235" t="str">
        <f t="shared" si="31"/>
        <v>04-0x-038-113</v>
      </c>
      <c r="H252" s="241" t="s">
        <v>815</v>
      </c>
      <c r="I252" s="435" t="s">
        <v>167</v>
      </c>
      <c r="J252" s="438">
        <f>VLOOKUP(H252,'Full Trial Balance'!$A$4:$G$2306,3,FALSE)</f>
        <v>25080</v>
      </c>
      <c r="K252" s="438">
        <f>VLOOKUP(H252,'Full Trial Balance'!$A$4:$G$2306,4,FALSE)</f>
        <v>0</v>
      </c>
      <c r="L252" s="438">
        <f>VLOOKUP(H252,'Full Trial Balance'!$A$4:$G$2306,5,FALSE)</f>
        <v>18725.150000000001</v>
      </c>
      <c r="M252" s="438">
        <f>VLOOKUP(H252,'Full Trial Balance'!$A$4:$G$2306,6,FALSE)</f>
        <v>2284.84</v>
      </c>
      <c r="N252" s="438">
        <f>VLOOKUP(H252,'Full Trial Balance'!$A$4:$G$2306,7,FALSE)</f>
        <v>16440.310000000001</v>
      </c>
      <c r="O252" s="485">
        <f t="shared" si="29"/>
        <v>0</v>
      </c>
    </row>
    <row r="253" spans="1:15" x14ac:dyDescent="0.25">
      <c r="A253" s="241" t="str">
        <f t="shared" si="24"/>
        <v>04-01</v>
      </c>
      <c r="B253" s="241" t="str">
        <f t="shared" si="25"/>
        <v>04</v>
      </c>
      <c r="C253" s="241" t="str">
        <f t="shared" si="26"/>
        <v>01</v>
      </c>
      <c r="D253" s="235" t="str">
        <f t="shared" si="27"/>
        <v>04-</v>
      </c>
      <c r="E253" s="241" t="s">
        <v>1250</v>
      </c>
      <c r="F253" s="241" t="str">
        <f t="shared" si="28"/>
        <v>-040-018</v>
      </c>
      <c r="G253" s="235" t="s">
        <v>1466</v>
      </c>
      <c r="H253" s="241" t="s">
        <v>800</v>
      </c>
      <c r="I253" s="435" t="s">
        <v>1151</v>
      </c>
      <c r="J253" s="438">
        <f>VLOOKUP(H253,'Full Trial Balance'!$A$4:$G$2306,3,FALSE)</f>
        <v>800</v>
      </c>
      <c r="K253" s="438">
        <f>VLOOKUP(H253,'Full Trial Balance'!$A$4:$G$2306,4,FALSE)</f>
        <v>0</v>
      </c>
      <c r="L253" s="438">
        <f>VLOOKUP(H253,'Full Trial Balance'!$A$4:$G$2306,5,FALSE)</f>
        <v>0</v>
      </c>
      <c r="M253" s="438">
        <f>VLOOKUP(H253,'Full Trial Balance'!$A$4:$G$2306,6,FALSE)</f>
        <v>0</v>
      </c>
      <c r="N253" s="438">
        <f>VLOOKUP(H253,'Full Trial Balance'!$A$4:$G$2306,7,FALSE)</f>
        <v>0</v>
      </c>
      <c r="O253" s="485">
        <f t="shared" si="29"/>
        <v>0</v>
      </c>
    </row>
    <row r="254" spans="1:15" x14ac:dyDescent="0.25">
      <c r="A254" s="241" t="str">
        <f t="shared" si="24"/>
        <v>04-01</v>
      </c>
      <c r="B254" s="241" t="str">
        <f t="shared" si="25"/>
        <v>04</v>
      </c>
      <c r="C254" s="241" t="str">
        <f t="shared" si="26"/>
        <v>01</v>
      </c>
      <c r="D254" s="235" t="str">
        <f t="shared" si="27"/>
        <v>04-</v>
      </c>
      <c r="E254" s="241" t="s">
        <v>1250</v>
      </c>
      <c r="F254" s="241" t="str">
        <f t="shared" si="28"/>
        <v>-040-019</v>
      </c>
      <c r="G254" s="235" t="s">
        <v>1466</v>
      </c>
      <c r="H254" s="241" t="s">
        <v>799</v>
      </c>
      <c r="I254" s="435" t="s">
        <v>180</v>
      </c>
      <c r="J254" s="438">
        <f>VLOOKUP(H254,'Full Trial Balance'!$A$4:$G$2306,3,FALSE)</f>
        <v>330</v>
      </c>
      <c r="K254" s="438">
        <f>VLOOKUP(H254,'Full Trial Balance'!$A$4:$G$2306,4,FALSE)</f>
        <v>0</v>
      </c>
      <c r="L254" s="438">
        <f>VLOOKUP(H254,'Full Trial Balance'!$A$4:$G$2306,5,FALSE)</f>
        <v>94.6</v>
      </c>
      <c r="M254" s="438">
        <f>VLOOKUP(H254,'Full Trial Balance'!$A$4:$G$2306,6,FALSE)</f>
        <v>0</v>
      </c>
      <c r="N254" s="438">
        <f>VLOOKUP(H254,'Full Trial Balance'!$A$4:$G$2306,7,FALSE)</f>
        <v>94.6</v>
      </c>
      <c r="O254" s="485">
        <f t="shared" si="29"/>
        <v>0</v>
      </c>
    </row>
    <row r="255" spans="1:15" x14ac:dyDescent="0.25">
      <c r="A255" s="241" t="str">
        <f t="shared" si="24"/>
        <v>04-01</v>
      </c>
      <c r="B255" s="241" t="str">
        <f t="shared" si="25"/>
        <v>04</v>
      </c>
      <c r="C255" s="241" t="str">
        <f t="shared" si="26"/>
        <v>01</v>
      </c>
      <c r="D255" s="235" t="str">
        <f t="shared" si="27"/>
        <v>04-</v>
      </c>
      <c r="E255" s="241" t="s">
        <v>1250</v>
      </c>
      <c r="F255" s="241" t="str">
        <f t="shared" si="28"/>
        <v>-040-020</v>
      </c>
      <c r="G255" s="235" t="s">
        <v>1466</v>
      </c>
      <c r="H255" s="241" t="s">
        <v>804</v>
      </c>
      <c r="I255" s="435" t="s">
        <v>1152</v>
      </c>
      <c r="J255" s="438">
        <f>VLOOKUP(H255,'Full Trial Balance'!$A$4:$G$2306,3,FALSE)</f>
        <v>4600</v>
      </c>
      <c r="K255" s="438">
        <f>VLOOKUP(H255,'Full Trial Balance'!$A$4:$G$2306,4,FALSE)</f>
        <v>0</v>
      </c>
      <c r="L255" s="438">
        <f>VLOOKUP(H255,'Full Trial Balance'!$A$4:$G$2306,5,FALSE)</f>
        <v>625.71</v>
      </c>
      <c r="M255" s="438">
        <f>VLOOKUP(H255,'Full Trial Balance'!$A$4:$G$2306,6,FALSE)</f>
        <v>0</v>
      </c>
      <c r="N255" s="438">
        <f>VLOOKUP(H255,'Full Trial Balance'!$A$4:$G$2306,7,FALSE)</f>
        <v>625.71</v>
      </c>
      <c r="O255" s="485">
        <f t="shared" si="29"/>
        <v>0</v>
      </c>
    </row>
    <row r="256" spans="1:15" x14ac:dyDescent="0.25">
      <c r="A256" s="241" t="str">
        <f t="shared" si="24"/>
        <v>04-01</v>
      </c>
      <c r="B256" s="241" t="str">
        <f t="shared" si="25"/>
        <v>04</v>
      </c>
      <c r="C256" s="241" t="str">
        <f t="shared" si="26"/>
        <v>01</v>
      </c>
      <c r="D256" s="235" t="str">
        <f t="shared" si="27"/>
        <v>04-</v>
      </c>
      <c r="E256" s="241" t="s">
        <v>1250</v>
      </c>
      <c r="F256" s="241" t="str">
        <f t="shared" si="28"/>
        <v>-040-022</v>
      </c>
      <c r="G256" s="256" t="str">
        <f>CONCATENATE(D256,E256,F256)</f>
        <v>04-0x-040-022</v>
      </c>
      <c r="H256" s="241" t="s">
        <v>836</v>
      </c>
      <c r="I256" s="435" t="s">
        <v>53</v>
      </c>
      <c r="J256" s="438">
        <f>VLOOKUP(H256,'Full Trial Balance'!$A$4:$G$2306,3,FALSE)</f>
        <v>1450</v>
      </c>
      <c r="K256" s="438">
        <f>VLOOKUP(H256,'Full Trial Balance'!$A$4:$G$2306,4,FALSE)</f>
        <v>0</v>
      </c>
      <c r="L256" s="438">
        <f>VLOOKUP(H256,'Full Trial Balance'!$A$4:$G$2306,5,FALSE)</f>
        <v>101.98</v>
      </c>
      <c r="M256" s="438">
        <f>VLOOKUP(H256,'Full Trial Balance'!$A$4:$G$2306,6,FALSE)</f>
        <v>0</v>
      </c>
      <c r="N256" s="438">
        <f>VLOOKUP(H256,'Full Trial Balance'!$A$4:$G$2306,7,FALSE)</f>
        <v>101.98</v>
      </c>
      <c r="O256" s="485">
        <f t="shared" si="29"/>
        <v>0</v>
      </c>
    </row>
    <row r="257" spans="1:15" x14ac:dyDescent="0.25">
      <c r="A257" s="241" t="str">
        <f t="shared" si="24"/>
        <v>04-01</v>
      </c>
      <c r="B257" s="241" t="str">
        <f t="shared" si="25"/>
        <v>04</v>
      </c>
      <c r="C257" s="241" t="str">
        <f t="shared" si="26"/>
        <v>01</v>
      </c>
      <c r="D257" s="235" t="str">
        <f t="shared" si="27"/>
        <v>04-</v>
      </c>
      <c r="E257" s="241" t="s">
        <v>1250</v>
      </c>
      <c r="F257" s="241" t="str">
        <f t="shared" si="28"/>
        <v>-040-024</v>
      </c>
      <c r="G257" s="256" t="str">
        <f>CONCATENATE(D257,E257,F257)</f>
        <v>04-0x-040-024</v>
      </c>
      <c r="H257" s="241" t="s">
        <v>832</v>
      </c>
      <c r="I257" s="435" t="s">
        <v>71</v>
      </c>
      <c r="J257" s="438">
        <f>VLOOKUP(H257,'Full Trial Balance'!$A$4:$G$2306,3,FALSE)</f>
        <v>550</v>
      </c>
      <c r="K257" s="438">
        <f>VLOOKUP(H257,'Full Trial Balance'!$A$4:$G$2306,4,FALSE)</f>
        <v>0</v>
      </c>
      <c r="L257" s="438">
        <f>VLOOKUP(H257,'Full Trial Balance'!$A$4:$G$2306,5,FALSE)</f>
        <v>140.34</v>
      </c>
      <c r="M257" s="438">
        <f>VLOOKUP(H257,'Full Trial Balance'!$A$4:$G$2306,6,FALSE)</f>
        <v>0</v>
      </c>
      <c r="N257" s="438">
        <f>VLOOKUP(H257,'Full Trial Balance'!$A$4:$G$2306,7,FALSE)</f>
        <v>140.34</v>
      </c>
      <c r="O257" s="485">
        <f t="shared" si="29"/>
        <v>0</v>
      </c>
    </row>
    <row r="258" spans="1:15" x14ac:dyDescent="0.25">
      <c r="A258" s="241" t="str">
        <f t="shared" si="24"/>
        <v>04-01</v>
      </c>
      <c r="B258" s="241" t="str">
        <f t="shared" si="25"/>
        <v>04</v>
      </c>
      <c r="C258" s="241" t="str">
        <f t="shared" si="26"/>
        <v>01</v>
      </c>
      <c r="D258" s="235" t="str">
        <f t="shared" si="27"/>
        <v>04-</v>
      </c>
      <c r="E258" s="241" t="s">
        <v>1250</v>
      </c>
      <c r="F258" s="241" t="str">
        <f t="shared" si="28"/>
        <v>-040-025</v>
      </c>
      <c r="G258" s="256" t="str">
        <f>CONCATENATE(D258,E258,F258)</f>
        <v>04-0x-040-025</v>
      </c>
      <c r="H258" s="241" t="s">
        <v>821</v>
      </c>
      <c r="I258" s="435" t="s">
        <v>54</v>
      </c>
      <c r="J258" s="438">
        <f>VLOOKUP(H258,'Full Trial Balance'!$A$4:$G$2306,3,FALSE)</f>
        <v>3100</v>
      </c>
      <c r="K258" s="438">
        <f>VLOOKUP(H258,'Full Trial Balance'!$A$4:$G$2306,4,FALSE)</f>
        <v>0</v>
      </c>
      <c r="L258" s="438">
        <f>VLOOKUP(H258,'Full Trial Balance'!$A$4:$G$2306,5,FALSE)</f>
        <v>262.8</v>
      </c>
      <c r="M258" s="438">
        <f>VLOOKUP(H258,'Full Trial Balance'!$A$4:$G$2306,6,FALSE)</f>
        <v>0</v>
      </c>
      <c r="N258" s="438">
        <f>VLOOKUP(H258,'Full Trial Balance'!$A$4:$G$2306,7,FALSE)</f>
        <v>262.8</v>
      </c>
      <c r="O258" s="485">
        <f t="shared" si="29"/>
        <v>0</v>
      </c>
    </row>
    <row r="259" spans="1:15" x14ac:dyDescent="0.25">
      <c r="A259" s="241" t="str">
        <f t="shared" ref="A259:A322" si="32">LEFT(H259,5)</f>
        <v>04-01</v>
      </c>
      <c r="B259" s="241" t="str">
        <f t="shared" ref="B259:B322" si="33">LEFT(H259,2)</f>
        <v>04</v>
      </c>
      <c r="C259" s="241" t="str">
        <f t="shared" ref="C259:C322" si="34">RIGHT(A259,2)</f>
        <v>01</v>
      </c>
      <c r="D259" s="235" t="str">
        <f t="shared" ref="D259:D322" si="35">LEFT(A259,3)</f>
        <v>04-</v>
      </c>
      <c r="E259" s="241" t="s">
        <v>1250</v>
      </c>
      <c r="F259" s="241" t="str">
        <f t="shared" ref="F259:F322" si="36">RIGHT(H259,8)</f>
        <v>-040-026</v>
      </c>
      <c r="G259" s="256" t="str">
        <f>CONCATENATE(D259,E259,F259)</f>
        <v>04-0x-040-026</v>
      </c>
      <c r="H259" s="241" t="s">
        <v>826</v>
      </c>
      <c r="I259" s="435" t="s">
        <v>170</v>
      </c>
      <c r="J259" s="438">
        <f>VLOOKUP(H259,'Full Trial Balance'!$A$4:$G$2306,3,FALSE)</f>
        <v>6160</v>
      </c>
      <c r="K259" s="438">
        <f>VLOOKUP(H259,'Full Trial Balance'!$A$4:$G$2306,4,FALSE)</f>
        <v>0</v>
      </c>
      <c r="L259" s="438">
        <f>VLOOKUP(H259,'Full Trial Balance'!$A$4:$G$2306,5,FALSE)</f>
        <v>8502.0499999999993</v>
      </c>
      <c r="M259" s="438">
        <f>VLOOKUP(H259,'Full Trial Balance'!$A$4:$G$2306,6,FALSE)</f>
        <v>0</v>
      </c>
      <c r="N259" s="438">
        <f>VLOOKUP(H259,'Full Trial Balance'!$A$4:$G$2306,7,FALSE)</f>
        <v>8502.0499999999993</v>
      </c>
      <c r="O259" s="485">
        <f t="shared" ref="O259:O322" si="37">N259-L259+M259</f>
        <v>0</v>
      </c>
    </row>
    <row r="260" spans="1:15" x14ac:dyDescent="0.25">
      <c r="A260" s="241" t="str">
        <f t="shared" si="32"/>
        <v>04-01</v>
      </c>
      <c r="B260" s="241" t="str">
        <f t="shared" si="33"/>
        <v>04</v>
      </c>
      <c r="C260" s="241" t="str">
        <f t="shared" si="34"/>
        <v>01</v>
      </c>
      <c r="D260" s="235" t="str">
        <f t="shared" si="35"/>
        <v>04-</v>
      </c>
      <c r="E260" s="241" t="s">
        <v>1250</v>
      </c>
      <c r="F260" s="241" t="str">
        <f t="shared" si="36"/>
        <v>-040-027</v>
      </c>
      <c r="G260" s="256" t="s">
        <v>1435</v>
      </c>
      <c r="H260" s="241" t="s">
        <v>791</v>
      </c>
      <c r="I260" s="435" t="s">
        <v>171</v>
      </c>
      <c r="J260" s="438">
        <f>VLOOKUP(H260,'Full Trial Balance'!$A$4:$G$2306,3,FALSE)</f>
        <v>6050</v>
      </c>
      <c r="K260" s="438">
        <f>VLOOKUP(H260,'Full Trial Balance'!$A$4:$G$2306,4,FALSE)</f>
        <v>0</v>
      </c>
      <c r="L260" s="438">
        <f>VLOOKUP(H260,'Full Trial Balance'!$A$4:$G$2306,5,FALSE)</f>
        <v>3604.72</v>
      </c>
      <c r="M260" s="438">
        <f>VLOOKUP(H260,'Full Trial Balance'!$A$4:$G$2306,6,FALSE)</f>
        <v>22.92</v>
      </c>
      <c r="N260" s="438">
        <f>VLOOKUP(H260,'Full Trial Balance'!$A$4:$G$2306,7,FALSE)</f>
        <v>3581.8</v>
      </c>
      <c r="O260" s="485">
        <f t="shared" si="37"/>
        <v>3.836930773104541E-13</v>
      </c>
    </row>
    <row r="261" spans="1:15" x14ac:dyDescent="0.25">
      <c r="A261" s="241" t="str">
        <f t="shared" si="32"/>
        <v>04-01</v>
      </c>
      <c r="B261" s="241" t="str">
        <f t="shared" si="33"/>
        <v>04</v>
      </c>
      <c r="C261" s="241" t="str">
        <f t="shared" si="34"/>
        <v>01</v>
      </c>
      <c r="D261" s="235" t="str">
        <f t="shared" si="35"/>
        <v>04-</v>
      </c>
      <c r="E261" s="241" t="s">
        <v>1250</v>
      </c>
      <c r="F261" s="241" t="str">
        <f t="shared" si="36"/>
        <v>-040-030</v>
      </c>
      <c r="G261" s="256" t="s">
        <v>1435</v>
      </c>
      <c r="H261" s="241" t="s">
        <v>792</v>
      </c>
      <c r="I261" s="435" t="s">
        <v>172</v>
      </c>
      <c r="J261" s="438">
        <f>VLOOKUP(H261,'Full Trial Balance'!$A$4:$G$2306,3,FALSE)</f>
        <v>132</v>
      </c>
      <c r="K261" s="438">
        <f>VLOOKUP(H261,'Full Trial Balance'!$A$4:$G$2306,4,FALSE)</f>
        <v>0</v>
      </c>
      <c r="L261" s="438">
        <f>VLOOKUP(H261,'Full Trial Balance'!$A$4:$G$2306,5,FALSE)</f>
        <v>0</v>
      </c>
      <c r="M261" s="438">
        <f>VLOOKUP(H261,'Full Trial Balance'!$A$4:$G$2306,6,FALSE)</f>
        <v>0</v>
      </c>
      <c r="N261" s="438">
        <f>VLOOKUP(H261,'Full Trial Balance'!$A$4:$G$2306,7,FALSE)</f>
        <v>0</v>
      </c>
      <c r="O261" s="485">
        <f t="shared" si="37"/>
        <v>0</v>
      </c>
    </row>
    <row r="262" spans="1:15" x14ac:dyDescent="0.25">
      <c r="A262" s="241" t="str">
        <f t="shared" si="32"/>
        <v>04-01</v>
      </c>
      <c r="B262" s="241" t="str">
        <f t="shared" si="33"/>
        <v>04</v>
      </c>
      <c r="C262" s="241" t="str">
        <f t="shared" si="34"/>
        <v>01</v>
      </c>
      <c r="D262" s="235" t="str">
        <f t="shared" si="35"/>
        <v>04-</v>
      </c>
      <c r="E262" s="241" t="s">
        <v>1250</v>
      </c>
      <c r="F262" s="241" t="str">
        <f t="shared" si="36"/>
        <v>-040-035</v>
      </c>
      <c r="G262" s="256" t="s">
        <v>1435</v>
      </c>
      <c r="H262" s="241" t="s">
        <v>793</v>
      </c>
      <c r="I262" s="435" t="s">
        <v>621</v>
      </c>
      <c r="J262" s="438">
        <f>VLOOKUP(H262,'Full Trial Balance'!$A$4:$G$2306,3,FALSE)</f>
        <v>132</v>
      </c>
      <c r="K262" s="438">
        <f>VLOOKUP(H262,'Full Trial Balance'!$A$4:$G$2306,4,FALSE)</f>
        <v>0</v>
      </c>
      <c r="L262" s="438">
        <f>VLOOKUP(H262,'Full Trial Balance'!$A$4:$G$2306,5,FALSE)</f>
        <v>0</v>
      </c>
      <c r="M262" s="438">
        <f>VLOOKUP(H262,'Full Trial Balance'!$A$4:$G$2306,6,FALSE)</f>
        <v>0</v>
      </c>
      <c r="N262" s="438">
        <f>VLOOKUP(H262,'Full Trial Balance'!$A$4:$G$2306,7,FALSE)</f>
        <v>0</v>
      </c>
      <c r="O262" s="485">
        <f t="shared" si="37"/>
        <v>0</v>
      </c>
    </row>
    <row r="263" spans="1:15" x14ac:dyDescent="0.25">
      <c r="A263" s="241" t="str">
        <f t="shared" si="32"/>
        <v>04-01</v>
      </c>
      <c r="B263" s="241" t="str">
        <f t="shared" si="33"/>
        <v>04</v>
      </c>
      <c r="C263" s="241" t="str">
        <f t="shared" si="34"/>
        <v>01</v>
      </c>
      <c r="D263" s="235" t="str">
        <f t="shared" si="35"/>
        <v>04-</v>
      </c>
      <c r="E263" s="241" t="s">
        <v>1250</v>
      </c>
      <c r="F263" s="241" t="str">
        <f t="shared" si="36"/>
        <v>-045-000</v>
      </c>
      <c r="G263" s="256" t="s">
        <v>1429</v>
      </c>
      <c r="H263" s="241" t="s">
        <v>811</v>
      </c>
      <c r="I263" s="435" t="s">
        <v>34</v>
      </c>
      <c r="J263" s="438">
        <f>VLOOKUP(H263,'Full Trial Balance'!$A$4:$G$2306,3,FALSE)</f>
        <v>110</v>
      </c>
      <c r="K263" s="438">
        <f>VLOOKUP(H263,'Full Trial Balance'!$A$4:$G$2306,4,FALSE)</f>
        <v>0</v>
      </c>
      <c r="L263" s="438">
        <f>VLOOKUP(H263,'Full Trial Balance'!$A$4:$G$2306,5,FALSE)</f>
        <v>13.03</v>
      </c>
      <c r="M263" s="438">
        <f>VLOOKUP(H263,'Full Trial Balance'!$A$4:$G$2306,6,FALSE)</f>
        <v>0</v>
      </c>
      <c r="N263" s="438">
        <f>VLOOKUP(H263,'Full Trial Balance'!$A$4:$G$2306,7,FALSE)</f>
        <v>13.03</v>
      </c>
      <c r="O263" s="485">
        <f t="shared" si="37"/>
        <v>0</v>
      </c>
    </row>
    <row r="264" spans="1:15" x14ac:dyDescent="0.25">
      <c r="A264" s="241" t="str">
        <f t="shared" si="32"/>
        <v>04-01</v>
      </c>
      <c r="B264" s="241" t="str">
        <f t="shared" si="33"/>
        <v>04</v>
      </c>
      <c r="C264" s="241" t="str">
        <f t="shared" si="34"/>
        <v>01</v>
      </c>
      <c r="D264" s="235" t="str">
        <f t="shared" si="35"/>
        <v>04-</v>
      </c>
      <c r="E264" s="241" t="s">
        <v>1250</v>
      </c>
      <c r="F264" s="241" t="str">
        <f t="shared" si="36"/>
        <v>-045-008</v>
      </c>
      <c r="G264" s="235" t="s">
        <v>1429</v>
      </c>
      <c r="H264" s="241" t="s">
        <v>785</v>
      </c>
      <c r="I264" s="435" t="s">
        <v>612</v>
      </c>
      <c r="J264" s="438">
        <f>VLOOKUP(H264,'Full Trial Balance'!$A$4:$G$2306,3,FALSE)</f>
        <v>36519</v>
      </c>
      <c r="K264" s="438">
        <f>VLOOKUP(H264,'Full Trial Balance'!$A$4:$G$2306,4,FALSE)</f>
        <v>0</v>
      </c>
      <c r="L264" s="438">
        <f>VLOOKUP(H264,'Full Trial Balance'!$A$4:$G$2306,5,FALSE)</f>
        <v>18259.5</v>
      </c>
      <c r="M264" s="438">
        <f>VLOOKUP(H264,'Full Trial Balance'!$A$4:$G$2306,6,FALSE)</f>
        <v>3043.32</v>
      </c>
      <c r="N264" s="438">
        <f>VLOOKUP(H264,'Full Trial Balance'!$A$4:$G$2306,7,FALSE)</f>
        <v>15216.18</v>
      </c>
      <c r="O264" s="485">
        <f t="shared" si="37"/>
        <v>0</v>
      </c>
    </row>
    <row r="265" spans="1:15" x14ac:dyDescent="0.25">
      <c r="A265" s="241" t="str">
        <f t="shared" si="32"/>
        <v>04-01</v>
      </c>
      <c r="B265" s="241" t="str">
        <f t="shared" si="33"/>
        <v>04</v>
      </c>
      <c r="C265" s="241" t="str">
        <f t="shared" si="34"/>
        <v>01</v>
      </c>
      <c r="D265" s="235" t="str">
        <f t="shared" si="35"/>
        <v>04-</v>
      </c>
      <c r="E265" s="241" t="s">
        <v>1250</v>
      </c>
      <c r="F265" s="241" t="str">
        <f t="shared" si="36"/>
        <v>-045-020</v>
      </c>
      <c r="G265" s="235" t="s">
        <v>1429</v>
      </c>
      <c r="H265" s="241" t="s">
        <v>810</v>
      </c>
      <c r="I265" s="435" t="s">
        <v>173</v>
      </c>
      <c r="J265" s="438">
        <f>VLOOKUP(H265,'Full Trial Balance'!$A$4:$G$2306,3,FALSE)</f>
        <v>1600</v>
      </c>
      <c r="K265" s="438">
        <f>VLOOKUP(H265,'Full Trial Balance'!$A$4:$G$2306,4,FALSE)</f>
        <v>0</v>
      </c>
      <c r="L265" s="438">
        <f>VLOOKUP(H265,'Full Trial Balance'!$A$4:$G$2306,5,FALSE)</f>
        <v>50.35</v>
      </c>
      <c r="M265" s="438">
        <f>VLOOKUP(H265,'Full Trial Balance'!$A$4:$G$2306,6,FALSE)</f>
        <v>0</v>
      </c>
      <c r="N265" s="438">
        <f>VLOOKUP(H265,'Full Trial Balance'!$A$4:$G$2306,7,FALSE)</f>
        <v>50.35</v>
      </c>
      <c r="O265" s="485">
        <f t="shared" si="37"/>
        <v>0</v>
      </c>
    </row>
    <row r="266" spans="1:15" x14ac:dyDescent="0.25">
      <c r="A266" s="241" t="str">
        <f t="shared" si="32"/>
        <v>04-01</v>
      </c>
      <c r="B266" s="241" t="str">
        <f t="shared" si="33"/>
        <v>04</v>
      </c>
      <c r="C266" s="241" t="str">
        <f t="shared" si="34"/>
        <v>01</v>
      </c>
      <c r="D266" s="235" t="str">
        <f t="shared" si="35"/>
        <v>04-</v>
      </c>
      <c r="E266" s="241" t="s">
        <v>1250</v>
      </c>
      <c r="F266" s="241" t="str">
        <f t="shared" si="36"/>
        <v>-045-025</v>
      </c>
      <c r="G266" s="235" t="s">
        <v>1429</v>
      </c>
      <c r="H266" s="241" t="s">
        <v>784</v>
      </c>
      <c r="I266" s="435" t="s">
        <v>1075</v>
      </c>
      <c r="J266" s="438">
        <f>VLOOKUP(H266,'Full Trial Balance'!$A$4:$G$2306,3,FALSE)</f>
        <v>377994</v>
      </c>
      <c r="K266" s="438">
        <f>VLOOKUP(H266,'Full Trial Balance'!$A$4:$G$2306,4,FALSE)</f>
        <v>0</v>
      </c>
      <c r="L266" s="438">
        <f>VLOOKUP(H266,'Full Trial Balance'!$A$4:$G$2306,5,FALSE)</f>
        <v>188996.88</v>
      </c>
      <c r="M266" s="438">
        <f>VLOOKUP(H266,'Full Trial Balance'!$A$4:$G$2306,6,FALSE)</f>
        <v>32116</v>
      </c>
      <c r="N266" s="438">
        <f>VLOOKUP(H266,'Full Trial Balance'!$A$4:$G$2306,7,FALSE)</f>
        <v>156880.88</v>
      </c>
      <c r="O266" s="485">
        <f t="shared" si="37"/>
        <v>0</v>
      </c>
    </row>
    <row r="267" spans="1:15" x14ac:dyDescent="0.25">
      <c r="A267" s="241" t="str">
        <f t="shared" si="32"/>
        <v>04-01</v>
      </c>
      <c r="B267" s="241" t="str">
        <f t="shared" si="33"/>
        <v>04</v>
      </c>
      <c r="C267" s="241" t="str">
        <f t="shared" si="34"/>
        <v>01</v>
      </c>
      <c r="D267" s="235" t="str">
        <f t="shared" si="35"/>
        <v>04-</v>
      </c>
      <c r="E267" s="241" t="s">
        <v>1250</v>
      </c>
      <c r="F267" s="241" t="str">
        <f t="shared" si="36"/>
        <v>-045-030</v>
      </c>
      <c r="G267" s="235" t="s">
        <v>1429</v>
      </c>
      <c r="H267" s="241" t="s">
        <v>814</v>
      </c>
      <c r="I267" s="435" t="s">
        <v>174</v>
      </c>
      <c r="J267" s="438">
        <f>VLOOKUP(H267,'Full Trial Balance'!$A$4:$G$2306,3,FALSE)</f>
        <v>0</v>
      </c>
      <c r="K267" s="438">
        <f>VLOOKUP(H267,'Full Trial Balance'!$A$4:$G$2306,4,FALSE)</f>
        <v>0</v>
      </c>
      <c r="L267" s="438">
        <f>VLOOKUP(H267,'Full Trial Balance'!$A$4:$G$2306,5,FALSE)</f>
        <v>0</v>
      </c>
      <c r="M267" s="438">
        <f>VLOOKUP(H267,'Full Trial Balance'!$A$4:$G$2306,6,FALSE)</f>
        <v>0</v>
      </c>
      <c r="N267" s="438">
        <f>VLOOKUP(H267,'Full Trial Balance'!$A$4:$G$2306,7,FALSE)</f>
        <v>0</v>
      </c>
      <c r="O267" s="485">
        <f t="shared" si="37"/>
        <v>0</v>
      </c>
    </row>
    <row r="268" spans="1:15" x14ac:dyDescent="0.25">
      <c r="A268" s="241" t="str">
        <f t="shared" si="32"/>
        <v>04-01</v>
      </c>
      <c r="B268" s="241" t="str">
        <f t="shared" si="33"/>
        <v>04</v>
      </c>
      <c r="C268" s="241" t="str">
        <f t="shared" si="34"/>
        <v>01</v>
      </c>
      <c r="D268" s="235" t="str">
        <f t="shared" si="35"/>
        <v>04-</v>
      </c>
      <c r="E268" s="241" t="s">
        <v>1250</v>
      </c>
      <c r="F268" s="241" t="str">
        <f t="shared" si="36"/>
        <v>-045-035</v>
      </c>
      <c r="G268" s="235" t="s">
        <v>1429</v>
      </c>
      <c r="H268" s="241" t="s">
        <v>813</v>
      </c>
      <c r="I268" s="435" t="s">
        <v>185</v>
      </c>
      <c r="J268" s="438">
        <f>VLOOKUP(H268,'Full Trial Balance'!$A$4:$G$2306,3,FALSE)</f>
        <v>5200</v>
      </c>
      <c r="K268" s="438">
        <f>VLOOKUP(H268,'Full Trial Balance'!$A$4:$G$2306,4,FALSE)</f>
        <v>0</v>
      </c>
      <c r="L268" s="438">
        <f>VLOOKUP(H268,'Full Trial Balance'!$A$4:$G$2306,5,FALSE)</f>
        <v>2379.96</v>
      </c>
      <c r="M268" s="438">
        <f>VLOOKUP(H268,'Full Trial Balance'!$A$4:$G$2306,6,FALSE)</f>
        <v>0</v>
      </c>
      <c r="N268" s="438">
        <f>VLOOKUP(H268,'Full Trial Balance'!$A$4:$G$2306,7,FALSE)</f>
        <v>2379.96</v>
      </c>
      <c r="O268" s="485">
        <f t="shared" si="37"/>
        <v>0</v>
      </c>
    </row>
    <row r="269" spans="1:15" x14ac:dyDescent="0.25">
      <c r="A269" s="241" t="str">
        <f t="shared" si="32"/>
        <v>04-01</v>
      </c>
      <c r="B269" s="241" t="str">
        <f t="shared" si="33"/>
        <v>04</v>
      </c>
      <c r="C269" s="241" t="str">
        <f t="shared" si="34"/>
        <v>01</v>
      </c>
      <c r="D269" s="235" t="str">
        <f t="shared" si="35"/>
        <v>04-</v>
      </c>
      <c r="E269" s="241" t="s">
        <v>1250</v>
      </c>
      <c r="F269" s="241" t="str">
        <f t="shared" si="36"/>
        <v>-075-000</v>
      </c>
      <c r="G269" s="235" t="str">
        <f t="shared" ref="G269:G277" si="38">CONCATENATE(D269,E269,F269)</f>
        <v>04-0x-075-000</v>
      </c>
      <c r="H269" s="241" t="s">
        <v>1091</v>
      </c>
      <c r="I269" s="435" t="s">
        <v>1088</v>
      </c>
      <c r="J269" s="438">
        <f>VLOOKUP(H269,'Full Trial Balance'!$A$4:$G$2306,3,FALSE)</f>
        <v>0</v>
      </c>
      <c r="K269" s="438">
        <f>VLOOKUP(H269,'Full Trial Balance'!$A$4:$G$2306,4,FALSE)</f>
        <v>0</v>
      </c>
      <c r="L269" s="438">
        <f>VLOOKUP(H269,'Full Trial Balance'!$A$4:$G$2306,5,FALSE)</f>
        <v>0</v>
      </c>
      <c r="M269" s="438">
        <f>VLOOKUP(H269,'Full Trial Balance'!$A$4:$G$2306,6,FALSE)</f>
        <v>0</v>
      </c>
      <c r="N269" s="438">
        <f>VLOOKUP(H269,'Full Trial Balance'!$A$4:$G$2306,7,FALSE)</f>
        <v>0</v>
      </c>
      <c r="O269" s="485">
        <f t="shared" si="37"/>
        <v>0</v>
      </c>
    </row>
    <row r="270" spans="1:15" x14ac:dyDescent="0.25">
      <c r="A270" s="241" t="str">
        <f t="shared" si="32"/>
        <v>04-01</v>
      </c>
      <c r="B270" s="241" t="str">
        <f t="shared" si="33"/>
        <v>04</v>
      </c>
      <c r="C270" s="241" t="str">
        <f t="shared" si="34"/>
        <v>01</v>
      </c>
      <c r="D270" s="235" t="str">
        <f t="shared" si="35"/>
        <v>04-</v>
      </c>
      <c r="E270" s="241" t="s">
        <v>1250</v>
      </c>
      <c r="F270" s="241" t="str">
        <f t="shared" si="36"/>
        <v>-080-025</v>
      </c>
      <c r="G270" s="235" t="str">
        <f t="shared" si="38"/>
        <v>04-0x-080-025</v>
      </c>
      <c r="H270" s="241" t="s">
        <v>812</v>
      </c>
      <c r="I270" s="435" t="s">
        <v>186</v>
      </c>
      <c r="J270" s="438">
        <f>VLOOKUP(H270,'Full Trial Balance'!$A$4:$G$2306,3,FALSE)</f>
        <v>1980</v>
      </c>
      <c r="K270" s="438">
        <f>VLOOKUP(H270,'Full Trial Balance'!$A$4:$G$2306,4,FALSE)</f>
        <v>0</v>
      </c>
      <c r="L270" s="438">
        <f>VLOOKUP(H270,'Full Trial Balance'!$A$4:$G$2306,5,FALSE)</f>
        <v>0</v>
      </c>
      <c r="M270" s="438">
        <f>VLOOKUP(H270,'Full Trial Balance'!$A$4:$G$2306,6,FALSE)</f>
        <v>0</v>
      </c>
      <c r="N270" s="438">
        <f>VLOOKUP(H270,'Full Trial Balance'!$A$4:$G$2306,7,FALSE)</f>
        <v>0</v>
      </c>
      <c r="O270" s="485">
        <f t="shared" si="37"/>
        <v>0</v>
      </c>
    </row>
    <row r="271" spans="1:15" x14ac:dyDescent="0.25">
      <c r="A271" s="241" t="str">
        <f t="shared" si="32"/>
        <v>04-01</v>
      </c>
      <c r="B271" s="241" t="str">
        <f t="shared" si="33"/>
        <v>04</v>
      </c>
      <c r="C271" s="241" t="str">
        <f t="shared" si="34"/>
        <v>01</v>
      </c>
      <c r="D271" s="235" t="str">
        <f t="shared" si="35"/>
        <v>04-</v>
      </c>
      <c r="E271" s="241" t="s">
        <v>1250</v>
      </c>
      <c r="F271" s="241" t="str">
        <f t="shared" si="36"/>
        <v>-090-001</v>
      </c>
      <c r="G271" s="235" t="str">
        <f t="shared" si="38"/>
        <v>04-0x-090-001</v>
      </c>
      <c r="H271" s="241" t="s">
        <v>1196</v>
      </c>
      <c r="I271" s="435" t="s">
        <v>1154</v>
      </c>
      <c r="J271" s="438">
        <f>VLOOKUP(H271,'Full Trial Balance'!$A$4:$G$2306,3,FALSE)</f>
        <v>0</v>
      </c>
      <c r="K271" s="438">
        <f>VLOOKUP(H271,'Full Trial Balance'!$A$4:$G$2306,4,FALSE)</f>
        <v>0</v>
      </c>
      <c r="L271" s="438">
        <f>VLOOKUP(H271,'Full Trial Balance'!$A$4:$G$2306,5,FALSE)</f>
        <v>0</v>
      </c>
      <c r="M271" s="438">
        <f>VLOOKUP(H271,'Full Trial Balance'!$A$4:$G$2306,6,FALSE)</f>
        <v>0</v>
      </c>
      <c r="N271" s="438">
        <f>VLOOKUP(H271,'Full Trial Balance'!$A$4:$G$2306,7,FALSE)</f>
        <v>0</v>
      </c>
      <c r="O271" s="485">
        <f t="shared" si="37"/>
        <v>0</v>
      </c>
    </row>
    <row r="272" spans="1:15" x14ac:dyDescent="0.25">
      <c r="A272" s="241" t="str">
        <f t="shared" si="32"/>
        <v>04-01</v>
      </c>
      <c r="B272" s="241" t="str">
        <f t="shared" si="33"/>
        <v>04</v>
      </c>
      <c r="C272" s="241" t="str">
        <f t="shared" si="34"/>
        <v>01</v>
      </c>
      <c r="D272" s="235" t="str">
        <f t="shared" si="35"/>
        <v>04-</v>
      </c>
      <c r="E272" s="241" t="s">
        <v>1250</v>
      </c>
      <c r="F272" s="241" t="str">
        <f t="shared" si="36"/>
        <v>-090-002</v>
      </c>
      <c r="G272" s="235" t="str">
        <f t="shared" si="38"/>
        <v>04-0x-090-002</v>
      </c>
      <c r="H272" s="241" t="s">
        <v>1197</v>
      </c>
      <c r="I272" s="435" t="s">
        <v>1156</v>
      </c>
      <c r="J272" s="438">
        <f>VLOOKUP(H272,'Full Trial Balance'!$A$4:$G$2306,3,FALSE)</f>
        <v>0</v>
      </c>
      <c r="K272" s="438">
        <f>VLOOKUP(H272,'Full Trial Balance'!$A$4:$G$2306,4,FALSE)</f>
        <v>0</v>
      </c>
      <c r="L272" s="438">
        <f>VLOOKUP(H272,'Full Trial Balance'!$A$4:$G$2306,5,FALSE)</f>
        <v>0</v>
      </c>
      <c r="M272" s="438">
        <f>VLOOKUP(H272,'Full Trial Balance'!$A$4:$G$2306,6,FALSE)</f>
        <v>0</v>
      </c>
      <c r="N272" s="438">
        <f>VLOOKUP(H272,'Full Trial Balance'!$A$4:$G$2306,7,FALSE)</f>
        <v>0</v>
      </c>
      <c r="O272" s="485">
        <f t="shared" si="37"/>
        <v>0</v>
      </c>
    </row>
    <row r="273" spans="1:15" x14ac:dyDescent="0.25">
      <c r="A273" s="241" t="str">
        <f t="shared" si="32"/>
        <v>04-01</v>
      </c>
      <c r="B273" s="241" t="str">
        <f t="shared" si="33"/>
        <v>04</v>
      </c>
      <c r="C273" s="241" t="str">
        <f t="shared" si="34"/>
        <v>01</v>
      </c>
      <c r="D273" s="235" t="str">
        <f t="shared" si="35"/>
        <v>04-</v>
      </c>
      <c r="E273" s="241" t="s">
        <v>1250</v>
      </c>
      <c r="F273" s="241" t="str">
        <f t="shared" si="36"/>
        <v>-090-010</v>
      </c>
      <c r="G273" s="235" t="str">
        <f t="shared" si="38"/>
        <v>04-0x-090-010</v>
      </c>
      <c r="H273" s="241" t="s">
        <v>1198</v>
      </c>
      <c r="I273" s="435" t="s">
        <v>1158</v>
      </c>
      <c r="J273" s="438">
        <f>VLOOKUP(H273,'Full Trial Balance'!$A$4:$G$2306,3,FALSE)</f>
        <v>0</v>
      </c>
      <c r="K273" s="438">
        <f>VLOOKUP(H273,'Full Trial Balance'!$A$4:$G$2306,4,FALSE)</f>
        <v>0</v>
      </c>
      <c r="L273" s="438">
        <f>VLOOKUP(H273,'Full Trial Balance'!$A$4:$G$2306,5,FALSE)</f>
        <v>0</v>
      </c>
      <c r="M273" s="438">
        <f>VLOOKUP(H273,'Full Trial Balance'!$A$4:$G$2306,6,FALSE)</f>
        <v>0</v>
      </c>
      <c r="N273" s="438">
        <f>VLOOKUP(H273,'Full Trial Balance'!$A$4:$G$2306,7,FALSE)</f>
        <v>0</v>
      </c>
      <c r="O273" s="485">
        <f t="shared" si="37"/>
        <v>0</v>
      </c>
    </row>
    <row r="274" spans="1:15" x14ac:dyDescent="0.25">
      <c r="A274" s="241" t="str">
        <f t="shared" si="32"/>
        <v>04-01</v>
      </c>
      <c r="B274" s="241" t="str">
        <f t="shared" si="33"/>
        <v>04</v>
      </c>
      <c r="C274" s="241" t="str">
        <f t="shared" si="34"/>
        <v>01</v>
      </c>
      <c r="D274" s="235" t="str">
        <f t="shared" si="35"/>
        <v>04-</v>
      </c>
      <c r="E274" s="241" t="s">
        <v>1250</v>
      </c>
      <c r="F274" s="241" t="str">
        <f t="shared" si="36"/>
        <v>-090-020</v>
      </c>
      <c r="G274" s="235" t="str">
        <f t="shared" si="38"/>
        <v>04-0x-090-020</v>
      </c>
      <c r="H274" s="241" t="s">
        <v>1199</v>
      </c>
      <c r="I274" s="435" t="s">
        <v>1160</v>
      </c>
      <c r="J274" s="438">
        <f>VLOOKUP(H274,'Full Trial Balance'!$A$4:$G$2306,3,FALSE)</f>
        <v>0</v>
      </c>
      <c r="K274" s="438">
        <f>VLOOKUP(H274,'Full Trial Balance'!$A$4:$G$2306,4,FALSE)</f>
        <v>0</v>
      </c>
      <c r="L274" s="438">
        <f>VLOOKUP(H274,'Full Trial Balance'!$A$4:$G$2306,5,FALSE)</f>
        <v>0</v>
      </c>
      <c r="M274" s="438">
        <f>VLOOKUP(H274,'Full Trial Balance'!$A$4:$G$2306,6,FALSE)</f>
        <v>0</v>
      </c>
      <c r="N274" s="438">
        <f>VLOOKUP(H274,'Full Trial Balance'!$A$4:$G$2306,7,FALSE)</f>
        <v>0</v>
      </c>
      <c r="O274" s="485">
        <f t="shared" si="37"/>
        <v>0</v>
      </c>
    </row>
    <row r="275" spans="1:15" x14ac:dyDescent="0.25">
      <c r="A275" s="241" t="str">
        <f t="shared" si="32"/>
        <v>04-01</v>
      </c>
      <c r="B275" s="241" t="str">
        <f t="shared" si="33"/>
        <v>04</v>
      </c>
      <c r="C275" s="241" t="str">
        <f t="shared" si="34"/>
        <v>01</v>
      </c>
      <c r="D275" s="235" t="str">
        <f t="shared" si="35"/>
        <v>04-</v>
      </c>
      <c r="E275" s="241" t="s">
        <v>1250</v>
      </c>
      <c r="F275" s="241" t="str">
        <f t="shared" si="36"/>
        <v>-091-003</v>
      </c>
      <c r="G275" s="235" t="str">
        <f t="shared" si="38"/>
        <v>04-0x-091-003</v>
      </c>
      <c r="H275" s="241" t="s">
        <v>807</v>
      </c>
      <c r="I275" s="435" t="s">
        <v>175</v>
      </c>
      <c r="J275" s="438">
        <f>VLOOKUP(H275,'Full Trial Balance'!$A$4:$G$2306,3,FALSE)</f>
        <v>13000</v>
      </c>
      <c r="K275" s="438">
        <f>VLOOKUP(H275,'Full Trial Balance'!$A$4:$G$2306,4,FALSE)</f>
        <v>0</v>
      </c>
      <c r="L275" s="438">
        <f>VLOOKUP(H275,'Full Trial Balance'!$A$4:$G$2306,5,FALSE)</f>
        <v>7639.73</v>
      </c>
      <c r="M275" s="438">
        <f>VLOOKUP(H275,'Full Trial Balance'!$A$4:$G$2306,6,FALSE)</f>
        <v>0</v>
      </c>
      <c r="N275" s="438">
        <f>VLOOKUP(H275,'Full Trial Balance'!$A$4:$G$2306,7,FALSE)</f>
        <v>7639.73</v>
      </c>
      <c r="O275" s="485">
        <f t="shared" si="37"/>
        <v>0</v>
      </c>
    </row>
    <row r="276" spans="1:15" x14ac:dyDescent="0.25">
      <c r="A276" s="241" t="str">
        <f t="shared" si="32"/>
        <v>04-01</v>
      </c>
      <c r="B276" s="241" t="str">
        <f t="shared" si="33"/>
        <v>04</v>
      </c>
      <c r="C276" s="241" t="str">
        <f t="shared" si="34"/>
        <v>01</v>
      </c>
      <c r="D276" s="235" t="str">
        <f t="shared" si="35"/>
        <v>04-</v>
      </c>
      <c r="E276" s="241" t="s">
        <v>1250</v>
      </c>
      <c r="F276" s="241" t="str">
        <f t="shared" si="36"/>
        <v>-095-000</v>
      </c>
      <c r="G276" s="235" t="str">
        <f t="shared" si="38"/>
        <v>04-0x-095-000</v>
      </c>
      <c r="H276" s="241" t="s">
        <v>790</v>
      </c>
      <c r="I276" s="435" t="s">
        <v>178</v>
      </c>
      <c r="J276" s="438">
        <f>VLOOKUP(H276,'Full Trial Balance'!$A$4:$G$2306,3,FALSE)</f>
        <v>110</v>
      </c>
      <c r="K276" s="438">
        <f>VLOOKUP(H276,'Full Trial Balance'!$A$4:$G$2306,4,FALSE)</f>
        <v>0</v>
      </c>
      <c r="L276" s="438">
        <f>VLOOKUP(H276,'Full Trial Balance'!$A$4:$G$2306,5,FALSE)</f>
        <v>0</v>
      </c>
      <c r="M276" s="438">
        <f>VLOOKUP(H276,'Full Trial Balance'!$A$4:$G$2306,6,FALSE)</f>
        <v>0</v>
      </c>
      <c r="N276" s="438">
        <f>VLOOKUP(H276,'Full Trial Balance'!$A$4:$G$2306,7,FALSE)</f>
        <v>0</v>
      </c>
      <c r="O276" s="485">
        <f t="shared" si="37"/>
        <v>0</v>
      </c>
    </row>
    <row r="277" spans="1:15" x14ac:dyDescent="0.25">
      <c r="A277" s="241" t="str">
        <f t="shared" si="32"/>
        <v>05-01</v>
      </c>
      <c r="B277" s="241" t="str">
        <f t="shared" si="33"/>
        <v>05</v>
      </c>
      <c r="C277" s="241" t="str">
        <f t="shared" si="34"/>
        <v>01</v>
      </c>
      <c r="D277" s="235" t="str">
        <f t="shared" si="35"/>
        <v>05-</v>
      </c>
      <c r="E277" s="241" t="s">
        <v>1250</v>
      </c>
      <c r="F277" s="241" t="str">
        <f t="shared" si="36"/>
        <v>-038-113</v>
      </c>
      <c r="G277" s="235" t="str">
        <f t="shared" si="38"/>
        <v>05-0x-038-113</v>
      </c>
      <c r="H277" s="241" t="s">
        <v>842</v>
      </c>
      <c r="I277" s="435" t="s">
        <v>167</v>
      </c>
      <c r="J277" s="438">
        <f>VLOOKUP(H277,'Full Trial Balance'!$A$4:$G$2306,3,FALSE)</f>
        <v>0</v>
      </c>
      <c r="K277" s="438">
        <f>VLOOKUP(H277,'Full Trial Balance'!$A$4:$G$2306,4,FALSE)</f>
        <v>0</v>
      </c>
      <c r="L277" s="438">
        <f>VLOOKUP(H277,'Full Trial Balance'!$A$4:$G$2306,5,FALSE)</f>
        <v>0</v>
      </c>
      <c r="M277" s="438">
        <f>VLOOKUP(H277,'Full Trial Balance'!$A$4:$G$2306,6,FALSE)</f>
        <v>0</v>
      </c>
      <c r="N277" s="438">
        <f>VLOOKUP(H277,'Full Trial Balance'!$A$4:$G$2306,7,FALSE)</f>
        <v>0</v>
      </c>
      <c r="O277" s="485">
        <f t="shared" si="37"/>
        <v>0</v>
      </c>
    </row>
    <row r="278" spans="1:15" x14ac:dyDescent="0.25">
      <c r="A278" s="241" t="str">
        <f t="shared" si="32"/>
        <v>05-01</v>
      </c>
      <c r="B278" s="241" t="str">
        <f t="shared" si="33"/>
        <v>05</v>
      </c>
      <c r="C278" s="241" t="str">
        <f t="shared" si="34"/>
        <v>01</v>
      </c>
      <c r="D278" s="235" t="str">
        <f t="shared" si="35"/>
        <v>05-</v>
      </c>
      <c r="E278" s="241" t="s">
        <v>1250</v>
      </c>
      <c r="F278" s="241" t="str">
        <f t="shared" si="36"/>
        <v>-045-025</v>
      </c>
      <c r="G278" s="235" t="s">
        <v>1430</v>
      </c>
      <c r="H278" s="241" t="s">
        <v>841</v>
      </c>
      <c r="I278" s="435" t="s">
        <v>1075</v>
      </c>
      <c r="J278" s="438">
        <f>VLOOKUP(H278,'Full Trial Balance'!$A$4:$G$2306,3,FALSE)</f>
        <v>246368</v>
      </c>
      <c r="K278" s="438">
        <f>VLOOKUP(H278,'Full Trial Balance'!$A$4:$G$2306,4,FALSE)</f>
        <v>0</v>
      </c>
      <c r="L278" s="438">
        <f>VLOOKUP(H278,'Full Trial Balance'!$A$4:$G$2306,5,FALSE)</f>
        <v>123184.22</v>
      </c>
      <c r="M278" s="438">
        <f>VLOOKUP(H278,'Full Trial Balance'!$A$4:$G$2306,6,FALSE)</f>
        <v>20531</v>
      </c>
      <c r="N278" s="438">
        <f>VLOOKUP(H278,'Full Trial Balance'!$A$4:$G$2306,7,FALSE)</f>
        <v>102653.22</v>
      </c>
      <c r="O278" s="485">
        <f t="shared" si="37"/>
        <v>0</v>
      </c>
    </row>
    <row r="279" spans="1:15" x14ac:dyDescent="0.25">
      <c r="A279" s="241" t="str">
        <f t="shared" si="32"/>
        <v>05-01</v>
      </c>
      <c r="B279" s="241" t="str">
        <f t="shared" si="33"/>
        <v>05</v>
      </c>
      <c r="C279" s="241" t="str">
        <f t="shared" si="34"/>
        <v>01</v>
      </c>
      <c r="D279" s="235" t="str">
        <f t="shared" si="35"/>
        <v>05-</v>
      </c>
      <c r="E279" s="241" t="s">
        <v>1250</v>
      </c>
      <c r="F279" s="241" t="str">
        <f t="shared" si="36"/>
        <v>-090-001</v>
      </c>
      <c r="G279" s="235" t="str">
        <f t="shared" ref="G279:G299" si="39">CONCATENATE(D279,E279,F279)</f>
        <v>05-0x-090-001</v>
      </c>
      <c r="H279" s="241" t="s">
        <v>1234</v>
      </c>
      <c r="I279" s="435" t="s">
        <v>1154</v>
      </c>
      <c r="J279" s="438">
        <f>VLOOKUP(H279,'Full Trial Balance'!$A$4:$G$2306,3,FALSE)</f>
        <v>0</v>
      </c>
      <c r="K279" s="438">
        <f>VLOOKUP(H279,'Full Trial Balance'!$A$4:$G$2306,4,FALSE)</f>
        <v>0</v>
      </c>
      <c r="L279" s="438">
        <f>VLOOKUP(H279,'Full Trial Balance'!$A$4:$G$2306,5,FALSE)</f>
        <v>0</v>
      </c>
      <c r="M279" s="438">
        <f>VLOOKUP(H279,'Full Trial Balance'!$A$4:$G$2306,6,FALSE)</f>
        <v>0</v>
      </c>
      <c r="N279" s="438">
        <f>VLOOKUP(H279,'Full Trial Balance'!$A$4:$G$2306,7,FALSE)</f>
        <v>0</v>
      </c>
      <c r="O279" s="485">
        <f t="shared" si="37"/>
        <v>0</v>
      </c>
    </row>
    <row r="280" spans="1:15" x14ac:dyDescent="0.25">
      <c r="A280" s="241" t="str">
        <f t="shared" si="32"/>
        <v>05-01</v>
      </c>
      <c r="B280" s="241" t="str">
        <f t="shared" si="33"/>
        <v>05</v>
      </c>
      <c r="C280" s="241" t="str">
        <f t="shared" si="34"/>
        <v>01</v>
      </c>
      <c r="D280" s="235" t="str">
        <f t="shared" si="35"/>
        <v>05-</v>
      </c>
      <c r="E280" s="241" t="s">
        <v>1250</v>
      </c>
      <c r="F280" s="241" t="str">
        <f t="shared" si="36"/>
        <v>-090-002</v>
      </c>
      <c r="G280" s="235" t="str">
        <f t="shared" si="39"/>
        <v>05-0x-090-002</v>
      </c>
      <c r="H280" s="241" t="s">
        <v>1235</v>
      </c>
      <c r="I280" s="435" t="s">
        <v>1156</v>
      </c>
      <c r="J280" s="438">
        <f>VLOOKUP(H280,'Full Trial Balance'!$A$4:$G$2306,3,FALSE)</f>
        <v>0</v>
      </c>
      <c r="K280" s="438">
        <f>VLOOKUP(H280,'Full Trial Balance'!$A$4:$G$2306,4,FALSE)</f>
        <v>0</v>
      </c>
      <c r="L280" s="438">
        <f>VLOOKUP(H280,'Full Trial Balance'!$A$4:$G$2306,5,FALSE)</f>
        <v>0</v>
      </c>
      <c r="M280" s="438">
        <f>VLOOKUP(H280,'Full Trial Balance'!$A$4:$G$2306,6,FALSE)</f>
        <v>0</v>
      </c>
      <c r="N280" s="438">
        <f>VLOOKUP(H280,'Full Trial Balance'!$A$4:$G$2306,7,FALSE)</f>
        <v>0</v>
      </c>
      <c r="O280" s="485">
        <f t="shared" si="37"/>
        <v>0</v>
      </c>
    </row>
    <row r="281" spans="1:15" x14ac:dyDescent="0.25">
      <c r="A281" s="241" t="str">
        <f t="shared" si="32"/>
        <v>05-01</v>
      </c>
      <c r="B281" s="241" t="str">
        <f t="shared" si="33"/>
        <v>05</v>
      </c>
      <c r="C281" s="241" t="str">
        <f t="shared" si="34"/>
        <v>01</v>
      </c>
      <c r="D281" s="235" t="str">
        <f t="shared" si="35"/>
        <v>05-</v>
      </c>
      <c r="E281" s="241" t="s">
        <v>1250</v>
      </c>
      <c r="F281" s="241" t="str">
        <f t="shared" si="36"/>
        <v>-090-010</v>
      </c>
      <c r="G281" s="235" t="str">
        <f t="shared" si="39"/>
        <v>05-0x-090-010</v>
      </c>
      <c r="H281" s="241" t="s">
        <v>1236</v>
      </c>
      <c r="I281" s="435" t="s">
        <v>1158</v>
      </c>
      <c r="J281" s="438">
        <f>VLOOKUP(H281,'Full Trial Balance'!$A$4:$G$2306,3,FALSE)</f>
        <v>0</v>
      </c>
      <c r="K281" s="438">
        <f>VLOOKUP(H281,'Full Trial Balance'!$A$4:$G$2306,4,FALSE)</f>
        <v>0</v>
      </c>
      <c r="L281" s="438">
        <f>VLOOKUP(H281,'Full Trial Balance'!$A$4:$G$2306,5,FALSE)</f>
        <v>0</v>
      </c>
      <c r="M281" s="438">
        <f>VLOOKUP(H281,'Full Trial Balance'!$A$4:$G$2306,6,FALSE)</f>
        <v>0</v>
      </c>
      <c r="N281" s="438">
        <f>VLOOKUP(H281,'Full Trial Balance'!$A$4:$G$2306,7,FALSE)</f>
        <v>0</v>
      </c>
      <c r="O281" s="485">
        <f t="shared" si="37"/>
        <v>0</v>
      </c>
    </row>
    <row r="282" spans="1:15" x14ac:dyDescent="0.25">
      <c r="A282" s="241" t="str">
        <f t="shared" si="32"/>
        <v>06-01</v>
      </c>
      <c r="B282" s="241" t="str">
        <f t="shared" si="33"/>
        <v>06</v>
      </c>
      <c r="C282" s="241" t="str">
        <f t="shared" si="34"/>
        <v>01</v>
      </c>
      <c r="D282" s="235" t="str">
        <f t="shared" si="35"/>
        <v>06-</v>
      </c>
      <c r="E282" s="241" t="s">
        <v>1250</v>
      </c>
      <c r="F282" s="241" t="str">
        <f t="shared" si="36"/>
        <v>-090-001</v>
      </c>
      <c r="G282" s="235" t="str">
        <f t="shared" si="39"/>
        <v>06-0x-090-001</v>
      </c>
      <c r="H282" s="241" t="s">
        <v>1238</v>
      </c>
      <c r="I282" s="435" t="s">
        <v>1154</v>
      </c>
      <c r="J282" s="438">
        <f>VLOOKUP(H282,'Full Trial Balance'!$A$4:$G$2306,3,FALSE)</f>
        <v>0</v>
      </c>
      <c r="K282" s="438">
        <f>VLOOKUP(H282,'Full Trial Balance'!$A$4:$G$2306,4,FALSE)</f>
        <v>0</v>
      </c>
      <c r="L282" s="438">
        <f>VLOOKUP(H282,'Full Trial Balance'!$A$4:$G$2306,5,FALSE)</f>
        <v>0</v>
      </c>
      <c r="M282" s="438">
        <f>VLOOKUP(H282,'Full Trial Balance'!$A$4:$G$2306,6,FALSE)</f>
        <v>0</v>
      </c>
      <c r="N282" s="438">
        <f>VLOOKUP(H282,'Full Trial Balance'!$A$4:$G$2306,7,FALSE)</f>
        <v>0</v>
      </c>
      <c r="O282" s="485">
        <f t="shared" si="37"/>
        <v>0</v>
      </c>
    </row>
    <row r="283" spans="1:15" x14ac:dyDescent="0.25">
      <c r="A283" s="241" t="str">
        <f t="shared" si="32"/>
        <v>06-01</v>
      </c>
      <c r="B283" s="241" t="str">
        <f t="shared" si="33"/>
        <v>06</v>
      </c>
      <c r="C283" s="241" t="str">
        <f t="shared" si="34"/>
        <v>01</v>
      </c>
      <c r="D283" s="235" t="str">
        <f t="shared" si="35"/>
        <v>06-</v>
      </c>
      <c r="E283" s="241" t="s">
        <v>1250</v>
      </c>
      <c r="F283" s="241" t="str">
        <f t="shared" si="36"/>
        <v>-090-002</v>
      </c>
      <c r="G283" s="235" t="str">
        <f t="shared" si="39"/>
        <v>06-0x-090-002</v>
      </c>
      <c r="H283" s="241" t="s">
        <v>1239</v>
      </c>
      <c r="I283" s="435" t="s">
        <v>1156</v>
      </c>
      <c r="J283" s="438">
        <f>VLOOKUP(H283,'Full Trial Balance'!$A$4:$G$2306,3,FALSE)</f>
        <v>0</v>
      </c>
      <c r="K283" s="438">
        <f>VLOOKUP(H283,'Full Trial Balance'!$A$4:$G$2306,4,FALSE)</f>
        <v>0</v>
      </c>
      <c r="L283" s="438">
        <f>VLOOKUP(H283,'Full Trial Balance'!$A$4:$G$2306,5,FALSE)</f>
        <v>0</v>
      </c>
      <c r="M283" s="438">
        <f>VLOOKUP(H283,'Full Trial Balance'!$A$4:$G$2306,6,FALSE)</f>
        <v>0</v>
      </c>
      <c r="N283" s="438">
        <f>VLOOKUP(H283,'Full Trial Balance'!$A$4:$G$2306,7,FALSE)</f>
        <v>0</v>
      </c>
      <c r="O283" s="485">
        <f t="shared" si="37"/>
        <v>0</v>
      </c>
    </row>
    <row r="284" spans="1:15" x14ac:dyDescent="0.25">
      <c r="A284" s="241" t="str">
        <f t="shared" si="32"/>
        <v>01-02</v>
      </c>
      <c r="B284" s="241" t="str">
        <f t="shared" si="33"/>
        <v>01</v>
      </c>
      <c r="C284" s="241" t="str">
        <f t="shared" si="34"/>
        <v>02</v>
      </c>
      <c r="D284" s="235" t="str">
        <f t="shared" si="35"/>
        <v>01-</v>
      </c>
      <c r="E284" s="241" t="s">
        <v>1250</v>
      </c>
      <c r="F284" s="241" t="str">
        <f t="shared" si="36"/>
        <v>-010-000</v>
      </c>
      <c r="G284" s="235" t="str">
        <f t="shared" si="39"/>
        <v>01-0x-010-000</v>
      </c>
      <c r="H284" s="241" t="s">
        <v>194</v>
      </c>
      <c r="I284" s="435" t="s">
        <v>76</v>
      </c>
      <c r="J284" s="438">
        <f>VLOOKUP(H284,'Full Trial Balance'!$A$4:$G$2306,3,FALSE)</f>
        <v>375643.52</v>
      </c>
      <c r="K284" s="438">
        <f>VLOOKUP(H284,'Full Trial Balance'!$A$4:$G$2306,4,FALSE)</f>
        <v>0</v>
      </c>
      <c r="L284" s="438">
        <f>VLOOKUP(H284,'Full Trial Balance'!$A$4:$G$2306,5,FALSE)</f>
        <v>150543.19</v>
      </c>
      <c r="M284" s="438">
        <f>VLOOKUP(H284,'Full Trial Balance'!$A$4:$G$2306,6,FALSE)</f>
        <v>16861.490000000002</v>
      </c>
      <c r="N284" s="438">
        <f>VLOOKUP(H284,'Full Trial Balance'!$A$4:$G$2306,7,FALSE)</f>
        <v>133681.70000000001</v>
      </c>
      <c r="O284" s="485">
        <f t="shared" si="37"/>
        <v>0</v>
      </c>
    </row>
    <row r="285" spans="1:15" x14ac:dyDescent="0.25">
      <c r="A285" s="241" t="str">
        <f t="shared" si="32"/>
        <v>01-02</v>
      </c>
      <c r="B285" s="241" t="str">
        <f t="shared" si="33"/>
        <v>01</v>
      </c>
      <c r="C285" s="241" t="str">
        <f t="shared" si="34"/>
        <v>02</v>
      </c>
      <c r="D285" s="235" t="str">
        <f t="shared" si="35"/>
        <v>01-</v>
      </c>
      <c r="E285" s="241" t="s">
        <v>1250</v>
      </c>
      <c r="F285" s="241" t="str">
        <f t="shared" si="36"/>
        <v>-010-005</v>
      </c>
      <c r="G285" s="235" t="str">
        <f t="shared" si="39"/>
        <v>01-0x-010-005</v>
      </c>
      <c r="H285" s="241" t="s">
        <v>1101</v>
      </c>
      <c r="I285" s="435" t="s">
        <v>667</v>
      </c>
      <c r="J285" s="438">
        <f>VLOOKUP(H285,'Full Trial Balance'!$A$4:$G$2306,3,FALSE)</f>
        <v>0</v>
      </c>
      <c r="K285" s="438">
        <f>VLOOKUP(H285,'Full Trial Balance'!$A$4:$G$2306,4,FALSE)</f>
        <v>0</v>
      </c>
      <c r="L285" s="438">
        <f>VLOOKUP(H285,'Full Trial Balance'!$A$4:$G$2306,5,FALSE)</f>
        <v>0</v>
      </c>
      <c r="M285" s="438">
        <f>VLOOKUP(H285,'Full Trial Balance'!$A$4:$G$2306,6,FALSE)</f>
        <v>0</v>
      </c>
      <c r="N285" s="438">
        <f>VLOOKUP(H285,'Full Trial Balance'!$A$4:$G$2306,7,FALSE)</f>
        <v>0</v>
      </c>
      <c r="O285" s="485">
        <f t="shared" si="37"/>
        <v>0</v>
      </c>
    </row>
    <row r="286" spans="1:15" x14ac:dyDescent="0.25">
      <c r="A286" s="241" t="str">
        <f t="shared" si="32"/>
        <v>01-02</v>
      </c>
      <c r="B286" s="241" t="str">
        <f t="shared" si="33"/>
        <v>01</v>
      </c>
      <c r="C286" s="241" t="str">
        <f t="shared" si="34"/>
        <v>02</v>
      </c>
      <c r="D286" s="235" t="str">
        <f t="shared" si="35"/>
        <v>01-</v>
      </c>
      <c r="E286" s="241" t="s">
        <v>1250</v>
      </c>
      <c r="F286" s="241" t="str">
        <f t="shared" si="36"/>
        <v>-015-000</v>
      </c>
      <c r="G286" s="235" t="str">
        <f t="shared" si="39"/>
        <v>01-0x-015-000</v>
      </c>
      <c r="H286" s="241" t="s">
        <v>195</v>
      </c>
      <c r="I286" s="435" t="s">
        <v>37</v>
      </c>
      <c r="J286" s="438">
        <f>VLOOKUP(H286,'Full Trial Balance'!$A$4:$G$2306,3,FALSE)</f>
        <v>11792.64</v>
      </c>
      <c r="K286" s="438">
        <f>VLOOKUP(H286,'Full Trial Balance'!$A$4:$G$2306,4,FALSE)</f>
        <v>0</v>
      </c>
      <c r="L286" s="438">
        <f>VLOOKUP(H286,'Full Trial Balance'!$A$4:$G$2306,5,FALSE)</f>
        <v>4930.58</v>
      </c>
      <c r="M286" s="438">
        <f>VLOOKUP(H286,'Full Trial Balance'!$A$4:$G$2306,6,FALSE)</f>
        <v>0</v>
      </c>
      <c r="N286" s="438">
        <f>VLOOKUP(H286,'Full Trial Balance'!$A$4:$G$2306,7,FALSE)</f>
        <v>4930.58</v>
      </c>
      <c r="O286" s="485">
        <f t="shared" si="37"/>
        <v>0</v>
      </c>
    </row>
    <row r="287" spans="1:15" x14ac:dyDescent="0.25">
      <c r="A287" s="241" t="str">
        <f t="shared" si="32"/>
        <v>01-02</v>
      </c>
      <c r="B287" s="241" t="str">
        <f t="shared" si="33"/>
        <v>01</v>
      </c>
      <c r="C287" s="241" t="str">
        <f t="shared" si="34"/>
        <v>02</v>
      </c>
      <c r="D287" s="235" t="str">
        <f t="shared" si="35"/>
        <v>01-</v>
      </c>
      <c r="E287" s="241" t="s">
        <v>1250</v>
      </c>
      <c r="F287" s="241" t="str">
        <f t="shared" si="36"/>
        <v>-016-000</v>
      </c>
      <c r="G287" s="235" t="str">
        <f t="shared" si="39"/>
        <v>01-0x-016-000</v>
      </c>
      <c r="H287" s="241" t="s">
        <v>196</v>
      </c>
      <c r="I287" s="435" t="s">
        <v>1076</v>
      </c>
      <c r="J287" s="438">
        <f>VLOOKUP(H287,'Full Trial Balance'!$A$4:$G$2306,3,FALSE)</f>
        <v>9318.4</v>
      </c>
      <c r="K287" s="438">
        <f>VLOOKUP(H287,'Full Trial Balance'!$A$4:$G$2306,4,FALSE)</f>
        <v>0</v>
      </c>
      <c r="L287" s="438">
        <f>VLOOKUP(H287,'Full Trial Balance'!$A$4:$G$2306,5,FALSE)</f>
        <v>3640</v>
      </c>
      <c r="M287" s="438">
        <f>VLOOKUP(H287,'Full Trial Balance'!$A$4:$G$2306,6,FALSE)</f>
        <v>280</v>
      </c>
      <c r="N287" s="438">
        <f>VLOOKUP(H287,'Full Trial Balance'!$A$4:$G$2306,7,FALSE)</f>
        <v>3360</v>
      </c>
      <c r="O287" s="485">
        <f t="shared" si="37"/>
        <v>0</v>
      </c>
    </row>
    <row r="288" spans="1:15" x14ac:dyDescent="0.25">
      <c r="A288" s="241" t="str">
        <f t="shared" si="32"/>
        <v>01-02</v>
      </c>
      <c r="B288" s="241" t="str">
        <f t="shared" si="33"/>
        <v>01</v>
      </c>
      <c r="C288" s="241" t="str">
        <f t="shared" si="34"/>
        <v>02</v>
      </c>
      <c r="D288" s="235" t="str">
        <f t="shared" si="35"/>
        <v>01-</v>
      </c>
      <c r="E288" s="241" t="s">
        <v>1250</v>
      </c>
      <c r="F288" s="241" t="str">
        <f t="shared" si="36"/>
        <v>-020-202</v>
      </c>
      <c r="G288" s="235" t="str">
        <f t="shared" si="39"/>
        <v>01-0x-020-202</v>
      </c>
      <c r="H288" s="241" t="s">
        <v>197</v>
      </c>
      <c r="I288" s="435" t="s">
        <v>153</v>
      </c>
      <c r="J288" s="438">
        <f>VLOOKUP(H288,'Full Trial Balance'!$A$4:$G$2306,3,FALSE)</f>
        <v>24598.720000000001</v>
      </c>
      <c r="K288" s="438">
        <f>VLOOKUP(H288,'Full Trial Balance'!$A$4:$G$2306,4,FALSE)</f>
        <v>0</v>
      </c>
      <c r="L288" s="438">
        <f>VLOOKUP(H288,'Full Trial Balance'!$A$4:$G$2306,5,FALSE)</f>
        <v>9542.0499999999993</v>
      </c>
      <c r="M288" s="438">
        <f>VLOOKUP(H288,'Full Trial Balance'!$A$4:$G$2306,6,FALSE)</f>
        <v>1018.54</v>
      </c>
      <c r="N288" s="438">
        <f>VLOOKUP(H288,'Full Trial Balance'!$A$4:$G$2306,7,FALSE)</f>
        <v>8523.51</v>
      </c>
      <c r="O288" s="485">
        <f t="shared" si="37"/>
        <v>9.0949470177292824E-13</v>
      </c>
    </row>
    <row r="289" spans="1:15" x14ac:dyDescent="0.25">
      <c r="A289" s="241" t="str">
        <f t="shared" si="32"/>
        <v>01-02</v>
      </c>
      <c r="B289" s="241" t="str">
        <f t="shared" si="33"/>
        <v>01</v>
      </c>
      <c r="C289" s="241" t="str">
        <f t="shared" si="34"/>
        <v>02</v>
      </c>
      <c r="D289" s="235" t="str">
        <f t="shared" si="35"/>
        <v>01-</v>
      </c>
      <c r="E289" s="241" t="s">
        <v>1250</v>
      </c>
      <c r="F289" s="241" t="str">
        <f t="shared" si="36"/>
        <v>-020-203</v>
      </c>
      <c r="G289" s="235" t="str">
        <f t="shared" si="39"/>
        <v>01-0x-020-203</v>
      </c>
      <c r="H289" s="241" t="s">
        <v>198</v>
      </c>
      <c r="I289" s="435" t="s">
        <v>154</v>
      </c>
      <c r="J289" s="438">
        <f>VLOOKUP(H289,'Full Trial Balance'!$A$4:$G$2306,3,FALSE)</f>
        <v>5752.96</v>
      </c>
      <c r="K289" s="438">
        <f>VLOOKUP(H289,'Full Trial Balance'!$A$4:$G$2306,4,FALSE)</f>
        <v>0</v>
      </c>
      <c r="L289" s="438">
        <f>VLOOKUP(H289,'Full Trial Balance'!$A$4:$G$2306,5,FALSE)</f>
        <v>2283.86</v>
      </c>
      <c r="M289" s="438">
        <f>VLOOKUP(H289,'Full Trial Balance'!$A$4:$G$2306,6,FALSE)</f>
        <v>238.19</v>
      </c>
      <c r="N289" s="438">
        <f>VLOOKUP(H289,'Full Trial Balance'!$A$4:$G$2306,7,FALSE)</f>
        <v>2045.67</v>
      </c>
      <c r="O289" s="485">
        <f t="shared" si="37"/>
        <v>0</v>
      </c>
    </row>
    <row r="290" spans="1:15" x14ac:dyDescent="0.25">
      <c r="A290" s="241" t="str">
        <f t="shared" si="32"/>
        <v>01-02</v>
      </c>
      <c r="B290" s="241" t="str">
        <f t="shared" si="33"/>
        <v>01</v>
      </c>
      <c r="C290" s="241" t="str">
        <f t="shared" si="34"/>
        <v>02</v>
      </c>
      <c r="D290" s="235" t="str">
        <f t="shared" si="35"/>
        <v>01-</v>
      </c>
      <c r="E290" s="241" t="s">
        <v>1250</v>
      </c>
      <c r="F290" s="241" t="str">
        <f t="shared" si="36"/>
        <v>-020-204</v>
      </c>
      <c r="G290" s="256" t="str">
        <f t="shared" si="39"/>
        <v>01-0x-020-204</v>
      </c>
      <c r="H290" s="241" t="s">
        <v>199</v>
      </c>
      <c r="I290" s="435" t="s">
        <v>38</v>
      </c>
      <c r="J290" s="438">
        <f>VLOOKUP(H290,'Full Trial Balance'!$A$4:$G$2306,3,FALSE)</f>
        <v>109343.67999999999</v>
      </c>
      <c r="K290" s="438">
        <f>VLOOKUP(H290,'Full Trial Balance'!$A$4:$G$2306,4,FALSE)</f>
        <v>0</v>
      </c>
      <c r="L290" s="438">
        <f>VLOOKUP(H290,'Full Trial Balance'!$A$4:$G$2306,5,FALSE)</f>
        <v>37153.050000000003</v>
      </c>
      <c r="M290" s="438">
        <f>VLOOKUP(H290,'Full Trial Balance'!$A$4:$G$2306,6,FALSE)</f>
        <v>0</v>
      </c>
      <c r="N290" s="438">
        <f>VLOOKUP(H290,'Full Trial Balance'!$A$4:$G$2306,7,FALSE)</f>
        <v>37153.050000000003</v>
      </c>
      <c r="O290" s="485">
        <f t="shared" si="37"/>
        <v>0</v>
      </c>
    </row>
    <row r="291" spans="1:15" x14ac:dyDescent="0.25">
      <c r="A291" s="241" t="str">
        <f t="shared" si="32"/>
        <v>01-02</v>
      </c>
      <c r="B291" s="241" t="str">
        <f t="shared" si="33"/>
        <v>01</v>
      </c>
      <c r="C291" s="241" t="str">
        <f t="shared" si="34"/>
        <v>02</v>
      </c>
      <c r="D291" s="235" t="str">
        <f t="shared" si="35"/>
        <v>01-</v>
      </c>
      <c r="E291" s="241" t="s">
        <v>1250</v>
      </c>
      <c r="F291" s="241" t="str">
        <f t="shared" si="36"/>
        <v>-020-205</v>
      </c>
      <c r="G291" s="256" t="str">
        <f t="shared" si="39"/>
        <v>01-0x-020-205</v>
      </c>
      <c r="H291" s="241" t="s">
        <v>200</v>
      </c>
      <c r="I291" s="435" t="s">
        <v>77</v>
      </c>
      <c r="J291" s="438">
        <f>VLOOKUP(H291,'Full Trial Balance'!$A$4:$G$2306,3,FALSE)</f>
        <v>6249.6</v>
      </c>
      <c r="K291" s="438">
        <f>VLOOKUP(H291,'Full Trial Balance'!$A$4:$G$2306,4,FALSE)</f>
        <v>0</v>
      </c>
      <c r="L291" s="438">
        <f>VLOOKUP(H291,'Full Trial Balance'!$A$4:$G$2306,5,FALSE)</f>
        <v>2120.9699999999998</v>
      </c>
      <c r="M291" s="438">
        <f>VLOOKUP(H291,'Full Trial Balance'!$A$4:$G$2306,6,FALSE)</f>
        <v>0</v>
      </c>
      <c r="N291" s="438">
        <f>VLOOKUP(H291,'Full Trial Balance'!$A$4:$G$2306,7,FALSE)</f>
        <v>2120.9699999999998</v>
      </c>
      <c r="O291" s="485">
        <f t="shared" si="37"/>
        <v>0</v>
      </c>
    </row>
    <row r="292" spans="1:15" x14ac:dyDescent="0.25">
      <c r="A292" s="241" t="str">
        <f t="shared" si="32"/>
        <v>01-02</v>
      </c>
      <c r="B292" s="241" t="str">
        <f t="shared" si="33"/>
        <v>01</v>
      </c>
      <c r="C292" s="241" t="str">
        <f t="shared" si="34"/>
        <v>02</v>
      </c>
      <c r="D292" s="235" t="str">
        <f t="shared" si="35"/>
        <v>01-</v>
      </c>
      <c r="E292" s="241" t="s">
        <v>1250</v>
      </c>
      <c r="F292" s="241" t="str">
        <f t="shared" si="36"/>
        <v>-020-206</v>
      </c>
      <c r="G292" s="256" t="str">
        <f t="shared" si="39"/>
        <v>01-0x-020-206</v>
      </c>
      <c r="H292" s="241" t="s">
        <v>201</v>
      </c>
      <c r="I292" s="435" t="s">
        <v>78</v>
      </c>
      <c r="J292" s="438">
        <f>VLOOKUP(H292,'Full Trial Balance'!$A$4:$G$2306,3,FALSE)</f>
        <v>1103.68</v>
      </c>
      <c r="K292" s="438">
        <f>VLOOKUP(H292,'Full Trial Balance'!$A$4:$G$2306,4,FALSE)</f>
        <v>0</v>
      </c>
      <c r="L292" s="438">
        <f>VLOOKUP(H292,'Full Trial Balance'!$A$4:$G$2306,5,FALSE)</f>
        <v>406.2</v>
      </c>
      <c r="M292" s="438">
        <f>VLOOKUP(H292,'Full Trial Balance'!$A$4:$G$2306,6,FALSE)</f>
        <v>0</v>
      </c>
      <c r="N292" s="438">
        <f>VLOOKUP(H292,'Full Trial Balance'!$A$4:$G$2306,7,FALSE)</f>
        <v>406.2</v>
      </c>
      <c r="O292" s="485">
        <f t="shared" si="37"/>
        <v>0</v>
      </c>
    </row>
    <row r="293" spans="1:15" x14ac:dyDescent="0.25">
      <c r="A293" s="241" t="str">
        <f t="shared" si="32"/>
        <v>01-02</v>
      </c>
      <c r="B293" s="241" t="str">
        <f t="shared" si="33"/>
        <v>01</v>
      </c>
      <c r="C293" s="241" t="str">
        <f t="shared" si="34"/>
        <v>02</v>
      </c>
      <c r="D293" s="235" t="str">
        <f t="shared" si="35"/>
        <v>01-</v>
      </c>
      <c r="E293" s="241" t="s">
        <v>1250</v>
      </c>
      <c r="F293" s="241" t="str">
        <f t="shared" si="36"/>
        <v>-020-208</v>
      </c>
      <c r="G293" s="235" t="str">
        <f t="shared" si="39"/>
        <v>01-0x-020-208</v>
      </c>
      <c r="H293" s="241" t="s">
        <v>202</v>
      </c>
      <c r="I293" s="435" t="s">
        <v>893</v>
      </c>
      <c r="J293" s="438">
        <f>VLOOKUP(H293,'Full Trial Balance'!$A$4:$G$2306,3,FALSE)</f>
        <v>15318.4</v>
      </c>
      <c r="K293" s="438">
        <f>VLOOKUP(H293,'Full Trial Balance'!$A$4:$G$2306,4,FALSE)</f>
        <v>0</v>
      </c>
      <c r="L293" s="438">
        <f>VLOOKUP(H293,'Full Trial Balance'!$A$4:$G$2306,5,FALSE)</f>
        <v>6335.41</v>
      </c>
      <c r="M293" s="438">
        <f>VLOOKUP(H293,'Full Trial Balance'!$A$4:$G$2306,6,FALSE)</f>
        <v>345.92</v>
      </c>
      <c r="N293" s="438">
        <f>VLOOKUP(H293,'Full Trial Balance'!$A$4:$G$2306,7,FALSE)</f>
        <v>5989.49</v>
      </c>
      <c r="O293" s="485">
        <f t="shared" si="37"/>
        <v>0</v>
      </c>
    </row>
    <row r="294" spans="1:15" x14ac:dyDescent="0.25">
      <c r="A294" s="241" t="str">
        <f t="shared" si="32"/>
        <v>01-02</v>
      </c>
      <c r="B294" s="241" t="str">
        <f t="shared" si="33"/>
        <v>01</v>
      </c>
      <c r="C294" s="241" t="str">
        <f t="shared" si="34"/>
        <v>02</v>
      </c>
      <c r="D294" s="235" t="str">
        <f t="shared" si="35"/>
        <v>01-</v>
      </c>
      <c r="E294" s="241" t="s">
        <v>1250</v>
      </c>
      <c r="F294" s="241" t="str">
        <f t="shared" si="36"/>
        <v>-020-209</v>
      </c>
      <c r="G294" s="235" t="str">
        <f t="shared" si="39"/>
        <v>01-0x-020-209</v>
      </c>
      <c r="H294" s="241" t="s">
        <v>203</v>
      </c>
      <c r="I294" s="435" t="s">
        <v>39</v>
      </c>
      <c r="J294" s="438">
        <f>VLOOKUP(H294,'Full Trial Balance'!$A$4:$G$2306,3,FALSE)</f>
        <v>1487.68</v>
      </c>
      <c r="K294" s="438">
        <f>VLOOKUP(H294,'Full Trial Balance'!$A$4:$G$2306,4,FALSE)</f>
        <v>0</v>
      </c>
      <c r="L294" s="438">
        <f>VLOOKUP(H294,'Full Trial Balance'!$A$4:$G$2306,5,FALSE)</f>
        <v>902.58</v>
      </c>
      <c r="M294" s="438">
        <f>VLOOKUP(H294,'Full Trial Balance'!$A$4:$G$2306,6,FALSE)</f>
        <v>252.7</v>
      </c>
      <c r="N294" s="438">
        <f>VLOOKUP(H294,'Full Trial Balance'!$A$4:$G$2306,7,FALSE)</f>
        <v>649.88</v>
      </c>
      <c r="O294" s="485">
        <f t="shared" si="37"/>
        <v>0</v>
      </c>
    </row>
    <row r="295" spans="1:15" x14ac:dyDescent="0.25">
      <c r="A295" s="241" t="str">
        <f t="shared" si="32"/>
        <v>01-02</v>
      </c>
      <c r="B295" s="241" t="str">
        <f t="shared" si="33"/>
        <v>01</v>
      </c>
      <c r="C295" s="241" t="str">
        <f t="shared" si="34"/>
        <v>02</v>
      </c>
      <c r="D295" s="235" t="str">
        <f t="shared" si="35"/>
        <v>01-</v>
      </c>
      <c r="E295" s="241" t="s">
        <v>1250</v>
      </c>
      <c r="F295" s="241" t="str">
        <f t="shared" si="36"/>
        <v>-020-210</v>
      </c>
      <c r="G295" s="235" t="str">
        <f t="shared" si="39"/>
        <v>01-0x-020-210</v>
      </c>
      <c r="H295" s="241" t="s">
        <v>204</v>
      </c>
      <c r="I295" s="435" t="s">
        <v>64</v>
      </c>
      <c r="J295" s="438">
        <f>VLOOKUP(H295,'Full Trial Balance'!$A$4:$G$2306,3,FALSE)</f>
        <v>2176</v>
      </c>
      <c r="K295" s="438">
        <f>VLOOKUP(H295,'Full Trial Balance'!$A$4:$G$2306,4,FALSE)</f>
        <v>0</v>
      </c>
      <c r="L295" s="438">
        <f>VLOOKUP(H295,'Full Trial Balance'!$A$4:$G$2306,5,FALSE)</f>
        <v>954.55</v>
      </c>
      <c r="M295" s="438">
        <f>VLOOKUP(H295,'Full Trial Balance'!$A$4:$G$2306,6,FALSE)</f>
        <v>0</v>
      </c>
      <c r="N295" s="438">
        <f>VLOOKUP(H295,'Full Trial Balance'!$A$4:$G$2306,7,FALSE)</f>
        <v>954.55</v>
      </c>
      <c r="O295" s="485">
        <f t="shared" si="37"/>
        <v>0</v>
      </c>
    </row>
    <row r="296" spans="1:15" x14ac:dyDescent="0.25">
      <c r="A296" s="241" t="str">
        <f t="shared" si="32"/>
        <v>01-02</v>
      </c>
      <c r="B296" s="241" t="str">
        <f t="shared" si="33"/>
        <v>01</v>
      </c>
      <c r="C296" s="241" t="str">
        <f t="shared" si="34"/>
        <v>02</v>
      </c>
      <c r="D296" s="235" t="str">
        <f t="shared" si="35"/>
        <v>01-</v>
      </c>
      <c r="E296" s="241" t="s">
        <v>1250</v>
      </c>
      <c r="F296" s="241" t="str">
        <f t="shared" si="36"/>
        <v>-020-211</v>
      </c>
      <c r="G296" s="235" t="str">
        <f t="shared" si="39"/>
        <v>01-0x-020-211</v>
      </c>
      <c r="H296" s="241" t="s">
        <v>205</v>
      </c>
      <c r="I296" s="435" t="s">
        <v>65</v>
      </c>
      <c r="J296" s="438">
        <f>VLOOKUP(H296,'Full Trial Balance'!$A$4:$G$2306,3,FALSE)</f>
        <v>1088</v>
      </c>
      <c r="K296" s="438">
        <f>VLOOKUP(H296,'Full Trial Balance'!$A$4:$G$2306,4,FALSE)</f>
        <v>0</v>
      </c>
      <c r="L296" s="438">
        <f>VLOOKUP(H296,'Full Trial Balance'!$A$4:$G$2306,5,FALSE)</f>
        <v>252.55</v>
      </c>
      <c r="M296" s="438">
        <f>VLOOKUP(H296,'Full Trial Balance'!$A$4:$G$2306,6,FALSE)</f>
        <v>0</v>
      </c>
      <c r="N296" s="438">
        <f>VLOOKUP(H296,'Full Trial Balance'!$A$4:$G$2306,7,FALSE)</f>
        <v>252.55</v>
      </c>
      <c r="O296" s="485">
        <f t="shared" si="37"/>
        <v>0</v>
      </c>
    </row>
    <row r="297" spans="1:15" x14ac:dyDescent="0.25">
      <c r="A297" s="241" t="str">
        <f t="shared" si="32"/>
        <v>01-02</v>
      </c>
      <c r="B297" s="241" t="str">
        <f t="shared" si="33"/>
        <v>01</v>
      </c>
      <c r="C297" s="241" t="str">
        <f t="shared" si="34"/>
        <v>02</v>
      </c>
      <c r="D297" s="235" t="str">
        <f t="shared" si="35"/>
        <v>01-</v>
      </c>
      <c r="E297" s="241" t="s">
        <v>1250</v>
      </c>
      <c r="F297" s="241" t="str">
        <f t="shared" si="36"/>
        <v>-020-212</v>
      </c>
      <c r="G297" s="235" t="str">
        <f t="shared" si="39"/>
        <v>01-0x-020-212</v>
      </c>
      <c r="H297" s="241" t="s">
        <v>206</v>
      </c>
      <c r="I297" s="435" t="s">
        <v>40</v>
      </c>
      <c r="J297" s="438">
        <f>VLOOKUP(H297,'Full Trial Balance'!$A$4:$G$2306,3,FALSE)</f>
        <v>1683.52</v>
      </c>
      <c r="K297" s="438">
        <f>VLOOKUP(H297,'Full Trial Balance'!$A$4:$G$2306,4,FALSE)</f>
        <v>0</v>
      </c>
      <c r="L297" s="438">
        <f>VLOOKUP(H297,'Full Trial Balance'!$A$4:$G$2306,5,FALSE)</f>
        <v>6.95</v>
      </c>
      <c r="M297" s="438">
        <f>VLOOKUP(H297,'Full Trial Balance'!$A$4:$G$2306,6,FALSE)</f>
        <v>0</v>
      </c>
      <c r="N297" s="438">
        <f>VLOOKUP(H297,'Full Trial Balance'!$A$4:$G$2306,7,FALSE)</f>
        <v>6.95</v>
      </c>
      <c r="O297" s="485">
        <f t="shared" si="37"/>
        <v>0</v>
      </c>
    </row>
    <row r="298" spans="1:15" x14ac:dyDescent="0.25">
      <c r="A298" s="241" t="str">
        <f t="shared" si="32"/>
        <v>01-02</v>
      </c>
      <c r="B298" s="241" t="str">
        <f t="shared" si="33"/>
        <v>01</v>
      </c>
      <c r="C298" s="241" t="str">
        <f t="shared" si="34"/>
        <v>02</v>
      </c>
      <c r="D298" s="235" t="str">
        <f t="shared" si="35"/>
        <v>01-</v>
      </c>
      <c r="E298" s="241" t="s">
        <v>1250</v>
      </c>
      <c r="F298" s="241" t="str">
        <f t="shared" si="36"/>
        <v>-020-213</v>
      </c>
      <c r="G298" s="235" t="str">
        <f t="shared" si="39"/>
        <v>01-0x-020-213</v>
      </c>
      <c r="H298" s="241" t="s">
        <v>207</v>
      </c>
      <c r="I298" s="435" t="s">
        <v>41</v>
      </c>
      <c r="J298" s="438">
        <f>VLOOKUP(H298,'Full Trial Balance'!$A$4:$G$2306,3,FALSE)</f>
        <v>37.44</v>
      </c>
      <c r="K298" s="438">
        <f>VLOOKUP(H298,'Full Trial Balance'!$A$4:$G$2306,4,FALSE)</f>
        <v>0</v>
      </c>
      <c r="L298" s="438">
        <f>VLOOKUP(H298,'Full Trial Balance'!$A$4:$G$2306,5,FALSE)</f>
        <v>0</v>
      </c>
      <c r="M298" s="438">
        <f>VLOOKUP(H298,'Full Trial Balance'!$A$4:$G$2306,6,FALSE)</f>
        <v>0</v>
      </c>
      <c r="N298" s="438">
        <f>VLOOKUP(H298,'Full Trial Balance'!$A$4:$G$2306,7,FALSE)</f>
        <v>0</v>
      </c>
      <c r="O298" s="485">
        <f t="shared" si="37"/>
        <v>0</v>
      </c>
    </row>
    <row r="299" spans="1:15" x14ac:dyDescent="0.25">
      <c r="A299" s="241" t="str">
        <f t="shared" si="32"/>
        <v>01-02</v>
      </c>
      <c r="B299" s="241" t="str">
        <f t="shared" si="33"/>
        <v>01</v>
      </c>
      <c r="C299" s="241" t="str">
        <f t="shared" si="34"/>
        <v>02</v>
      </c>
      <c r="D299" s="235" t="str">
        <f t="shared" si="35"/>
        <v>01-</v>
      </c>
      <c r="E299" s="241" t="s">
        <v>1250</v>
      </c>
      <c r="F299" s="241" t="str">
        <f t="shared" si="36"/>
        <v>-020-215</v>
      </c>
      <c r="G299" s="235" t="str">
        <f t="shared" si="39"/>
        <v>01-0x-020-215</v>
      </c>
      <c r="H299" s="241" t="s">
        <v>208</v>
      </c>
      <c r="I299" s="435" t="s">
        <v>42</v>
      </c>
      <c r="J299" s="438">
        <f>VLOOKUP(H299,'Full Trial Balance'!$A$4:$G$2306,3,FALSE)</f>
        <v>1169.28</v>
      </c>
      <c r="K299" s="438">
        <f>VLOOKUP(H299,'Full Trial Balance'!$A$4:$G$2306,4,FALSE)</f>
        <v>0</v>
      </c>
      <c r="L299" s="438">
        <f>VLOOKUP(H299,'Full Trial Balance'!$A$4:$G$2306,5,FALSE)</f>
        <v>480.09</v>
      </c>
      <c r="M299" s="438">
        <f>VLOOKUP(H299,'Full Trial Balance'!$A$4:$G$2306,6,FALSE)</f>
        <v>25.76</v>
      </c>
      <c r="N299" s="438">
        <f>VLOOKUP(H299,'Full Trial Balance'!$A$4:$G$2306,7,FALSE)</f>
        <v>454.33</v>
      </c>
      <c r="O299" s="485">
        <f t="shared" si="37"/>
        <v>0</v>
      </c>
    </row>
    <row r="300" spans="1:15" x14ac:dyDescent="0.25">
      <c r="A300" s="241" t="str">
        <f t="shared" si="32"/>
        <v>01-02</v>
      </c>
      <c r="B300" s="241" t="str">
        <f t="shared" si="33"/>
        <v>01</v>
      </c>
      <c r="C300" s="241" t="str">
        <f t="shared" si="34"/>
        <v>02</v>
      </c>
      <c r="D300" s="235" t="str">
        <f t="shared" si="35"/>
        <v>01-</v>
      </c>
      <c r="E300" s="241" t="s">
        <v>1250</v>
      </c>
      <c r="F300" s="241" t="str">
        <f t="shared" si="36"/>
        <v>-020-217</v>
      </c>
      <c r="G300" s="489" t="s">
        <v>3433</v>
      </c>
      <c r="H300" s="241" t="s">
        <v>209</v>
      </c>
      <c r="I300" s="435" t="s">
        <v>43</v>
      </c>
      <c r="J300" s="438">
        <f>VLOOKUP(H300,'Full Trial Balance'!$A$4:$G$2306,3,FALSE)</f>
        <v>34058.879999999997</v>
      </c>
      <c r="K300" s="438">
        <f>VLOOKUP(H300,'Full Trial Balance'!$A$4:$G$2306,4,FALSE)</f>
        <v>0</v>
      </c>
      <c r="L300" s="438">
        <f>VLOOKUP(H300,'Full Trial Balance'!$A$4:$G$2306,5,FALSE)</f>
        <v>12918.67</v>
      </c>
      <c r="M300" s="438">
        <f>VLOOKUP(H300,'Full Trial Balance'!$A$4:$G$2306,6,FALSE)</f>
        <v>1443.85</v>
      </c>
      <c r="N300" s="438">
        <f>VLOOKUP(H300,'Full Trial Balance'!$A$4:$G$2306,7,FALSE)</f>
        <v>11474.82</v>
      </c>
      <c r="O300" s="485">
        <f t="shared" si="37"/>
        <v>0</v>
      </c>
    </row>
    <row r="301" spans="1:15" s="258" customFormat="1" x14ac:dyDescent="0.25">
      <c r="A301" s="241" t="str">
        <f t="shared" si="32"/>
        <v>01-02</v>
      </c>
      <c r="B301" s="241" t="str">
        <f t="shared" si="33"/>
        <v>01</v>
      </c>
      <c r="C301" s="241" t="str">
        <f t="shared" si="34"/>
        <v>02</v>
      </c>
      <c r="D301" s="489" t="str">
        <f t="shared" si="35"/>
        <v>01-</v>
      </c>
      <c r="E301" s="241" t="s">
        <v>1250</v>
      </c>
      <c r="F301" s="241" t="str">
        <f t="shared" si="36"/>
        <v>-020-218</v>
      </c>
      <c r="G301" s="489" t="s">
        <v>3434</v>
      </c>
      <c r="H301" s="241" t="s">
        <v>210</v>
      </c>
      <c r="I301" s="435" t="s">
        <v>44</v>
      </c>
      <c r="J301" s="438">
        <f>VLOOKUP(H301,'Full Trial Balance'!$A$4:$G$2306,3,FALSE)</f>
        <v>28135.68</v>
      </c>
      <c r="K301" s="438">
        <f>VLOOKUP(H301,'Full Trial Balance'!$A$4:$G$2306,4,FALSE)</f>
        <v>0</v>
      </c>
      <c r="L301" s="438">
        <f>VLOOKUP(H301,'Full Trial Balance'!$A$4:$G$2306,5,FALSE)</f>
        <v>10725.6</v>
      </c>
      <c r="M301" s="438">
        <f>VLOOKUP(H301,'Full Trial Balance'!$A$4:$G$2306,6,FALSE)</f>
        <v>1190.07</v>
      </c>
      <c r="N301" s="438">
        <f>VLOOKUP(H301,'Full Trial Balance'!$A$4:$G$2306,7,FALSE)</f>
        <v>9535.5300000000007</v>
      </c>
      <c r="O301" s="485">
        <f t="shared" si="37"/>
        <v>0</v>
      </c>
    </row>
    <row r="302" spans="1:15" x14ac:dyDescent="0.25">
      <c r="A302" s="241" t="str">
        <f t="shared" si="32"/>
        <v>01-02</v>
      </c>
      <c r="B302" s="241" t="str">
        <f t="shared" si="33"/>
        <v>01</v>
      </c>
      <c r="C302" s="241" t="str">
        <f t="shared" si="34"/>
        <v>02</v>
      </c>
      <c r="D302" s="235" t="str">
        <f t="shared" si="35"/>
        <v>01-</v>
      </c>
      <c r="E302" s="241" t="s">
        <v>1250</v>
      </c>
      <c r="F302" s="241" t="str">
        <f t="shared" si="36"/>
        <v>-020-220</v>
      </c>
      <c r="G302" s="235" t="str">
        <f>CONCATENATE(D302,E302,F302)</f>
        <v>01-0x-020-220</v>
      </c>
      <c r="H302" s="241" t="s">
        <v>211</v>
      </c>
      <c r="I302" s="435" t="s">
        <v>183</v>
      </c>
      <c r="J302" s="438">
        <f>VLOOKUP(H302,'Full Trial Balance'!$A$4:$G$2306,3,FALSE)</f>
        <v>14400</v>
      </c>
      <c r="K302" s="438">
        <f>VLOOKUP(H302,'Full Trial Balance'!$A$4:$G$2306,4,FALSE)</f>
        <v>0</v>
      </c>
      <c r="L302" s="438">
        <f>VLOOKUP(H302,'Full Trial Balance'!$A$4:$G$2306,5,FALSE)</f>
        <v>0</v>
      </c>
      <c r="M302" s="438">
        <f>VLOOKUP(H302,'Full Trial Balance'!$A$4:$G$2306,6,FALSE)</f>
        <v>0</v>
      </c>
      <c r="N302" s="438">
        <f>VLOOKUP(H302,'Full Trial Balance'!$A$4:$G$2306,7,FALSE)</f>
        <v>0</v>
      </c>
      <c r="O302" s="485">
        <f t="shared" si="37"/>
        <v>0</v>
      </c>
    </row>
    <row r="303" spans="1:15" x14ac:dyDescent="0.25">
      <c r="A303" s="241" t="str">
        <f t="shared" si="32"/>
        <v>01-02</v>
      </c>
      <c r="B303" s="241" t="str">
        <f t="shared" si="33"/>
        <v>01</v>
      </c>
      <c r="C303" s="241" t="str">
        <f t="shared" si="34"/>
        <v>02</v>
      </c>
      <c r="D303" s="235" t="str">
        <f t="shared" si="35"/>
        <v>01-</v>
      </c>
      <c r="E303" s="241" t="s">
        <v>1250</v>
      </c>
      <c r="F303" s="241" t="str">
        <f t="shared" si="36"/>
        <v>-033-106</v>
      </c>
      <c r="G303" s="235" t="s">
        <v>1453</v>
      </c>
      <c r="H303" s="241" t="s">
        <v>212</v>
      </c>
      <c r="I303" s="435" t="s">
        <v>1161</v>
      </c>
      <c r="J303" s="438">
        <f>VLOOKUP(H303,'Full Trial Balance'!$A$4:$G$2306,3,FALSE)</f>
        <v>493</v>
      </c>
      <c r="K303" s="438">
        <f>VLOOKUP(H303,'Full Trial Balance'!$A$4:$G$2306,4,FALSE)</f>
        <v>0</v>
      </c>
      <c r="L303" s="438">
        <f>VLOOKUP(H303,'Full Trial Balance'!$A$4:$G$2306,5,FALSE)</f>
        <v>0</v>
      </c>
      <c r="M303" s="438">
        <f>VLOOKUP(H303,'Full Trial Balance'!$A$4:$G$2306,6,FALSE)</f>
        <v>0</v>
      </c>
      <c r="N303" s="438">
        <f>VLOOKUP(H303,'Full Trial Balance'!$A$4:$G$2306,7,FALSE)</f>
        <v>0</v>
      </c>
      <c r="O303" s="485">
        <f t="shared" si="37"/>
        <v>0</v>
      </c>
    </row>
    <row r="304" spans="1:15" x14ac:dyDescent="0.25">
      <c r="A304" s="241" t="str">
        <f t="shared" si="32"/>
        <v>01-02</v>
      </c>
      <c r="B304" s="241" t="str">
        <f t="shared" si="33"/>
        <v>01</v>
      </c>
      <c r="C304" s="241" t="str">
        <f t="shared" si="34"/>
        <v>02</v>
      </c>
      <c r="D304" s="235" t="str">
        <f t="shared" si="35"/>
        <v>01-</v>
      </c>
      <c r="E304" s="241" t="s">
        <v>1250</v>
      </c>
      <c r="F304" s="241" t="str">
        <f t="shared" si="36"/>
        <v>-035-003</v>
      </c>
      <c r="G304" s="235" t="s">
        <v>1453</v>
      </c>
      <c r="H304" s="241" t="s">
        <v>213</v>
      </c>
      <c r="I304" s="435" t="s">
        <v>48</v>
      </c>
      <c r="J304" s="438">
        <f>VLOOKUP(H304,'Full Trial Balance'!$A$4:$G$2306,3,FALSE)</f>
        <v>290</v>
      </c>
      <c r="K304" s="438">
        <f>VLOOKUP(H304,'Full Trial Balance'!$A$4:$G$2306,4,FALSE)</f>
        <v>0</v>
      </c>
      <c r="L304" s="438">
        <f>VLOOKUP(H304,'Full Trial Balance'!$A$4:$G$2306,5,FALSE)</f>
        <v>6.98</v>
      </c>
      <c r="M304" s="438">
        <f>VLOOKUP(H304,'Full Trial Balance'!$A$4:$G$2306,6,FALSE)</f>
        <v>0</v>
      </c>
      <c r="N304" s="438">
        <f>VLOOKUP(H304,'Full Trial Balance'!$A$4:$G$2306,7,FALSE)</f>
        <v>6.98</v>
      </c>
      <c r="O304" s="485">
        <f t="shared" si="37"/>
        <v>0</v>
      </c>
    </row>
    <row r="305" spans="1:15" x14ac:dyDescent="0.25">
      <c r="A305" s="241" t="str">
        <f t="shared" si="32"/>
        <v>01-02</v>
      </c>
      <c r="B305" s="241" t="str">
        <f t="shared" si="33"/>
        <v>01</v>
      </c>
      <c r="C305" s="241" t="str">
        <f t="shared" si="34"/>
        <v>02</v>
      </c>
      <c r="D305" s="235" t="str">
        <f t="shared" si="35"/>
        <v>01-</v>
      </c>
      <c r="E305" s="241" t="s">
        <v>1250</v>
      </c>
      <c r="F305" s="241" t="str">
        <f t="shared" si="36"/>
        <v>-035-005</v>
      </c>
      <c r="G305" s="235" t="s">
        <v>1458</v>
      </c>
      <c r="H305" s="241" t="s">
        <v>214</v>
      </c>
      <c r="I305" s="435" t="s">
        <v>50</v>
      </c>
      <c r="J305" s="438">
        <f>VLOOKUP(H305,'Full Trial Balance'!$A$4:$G$2306,3,FALSE)</f>
        <v>0</v>
      </c>
      <c r="K305" s="438">
        <f>VLOOKUP(H305,'Full Trial Balance'!$A$4:$G$2306,4,FALSE)</f>
        <v>0</v>
      </c>
      <c r="L305" s="438">
        <f>VLOOKUP(H305,'Full Trial Balance'!$A$4:$G$2306,5,FALSE)</f>
        <v>0</v>
      </c>
      <c r="M305" s="438">
        <f>VLOOKUP(H305,'Full Trial Balance'!$A$4:$G$2306,6,FALSE)</f>
        <v>0</v>
      </c>
      <c r="N305" s="438">
        <f>VLOOKUP(H305,'Full Trial Balance'!$A$4:$G$2306,7,FALSE)</f>
        <v>0</v>
      </c>
      <c r="O305" s="485">
        <f t="shared" si="37"/>
        <v>0</v>
      </c>
    </row>
    <row r="306" spans="1:15" x14ac:dyDescent="0.25">
      <c r="A306" s="241" t="str">
        <f t="shared" si="32"/>
        <v>01-02</v>
      </c>
      <c r="B306" s="241" t="str">
        <f t="shared" si="33"/>
        <v>01</v>
      </c>
      <c r="C306" s="241" t="str">
        <f t="shared" si="34"/>
        <v>02</v>
      </c>
      <c r="D306" s="235" t="str">
        <f t="shared" si="35"/>
        <v>01-</v>
      </c>
      <c r="E306" s="241" t="s">
        <v>1250</v>
      </c>
      <c r="F306" s="241" t="str">
        <f t="shared" si="36"/>
        <v>-038-111</v>
      </c>
      <c r="G306" s="235" t="str">
        <f>CONCATENATE(D306,E306,F306)</f>
        <v>01-0x-038-111</v>
      </c>
      <c r="H306" s="241" t="s">
        <v>1162</v>
      </c>
      <c r="I306" s="435" t="s">
        <v>52</v>
      </c>
      <c r="J306" s="438">
        <f>VLOOKUP(H306,'Full Trial Balance'!$A$4:$G$2306,3,FALSE)</f>
        <v>0</v>
      </c>
      <c r="K306" s="438">
        <f>VLOOKUP(H306,'Full Trial Balance'!$A$4:$G$2306,4,FALSE)</f>
        <v>0</v>
      </c>
      <c r="L306" s="438">
        <f>VLOOKUP(H306,'Full Trial Balance'!$A$4:$G$2306,5,FALSE)</f>
        <v>0</v>
      </c>
      <c r="M306" s="438">
        <f>VLOOKUP(H306,'Full Trial Balance'!$A$4:$G$2306,6,FALSE)</f>
        <v>0</v>
      </c>
      <c r="N306" s="438">
        <f>VLOOKUP(H306,'Full Trial Balance'!$A$4:$G$2306,7,FALSE)</f>
        <v>0</v>
      </c>
      <c r="O306" s="485">
        <f t="shared" si="37"/>
        <v>0</v>
      </c>
    </row>
    <row r="307" spans="1:15" x14ac:dyDescent="0.25">
      <c r="A307" s="241" t="str">
        <f t="shared" si="32"/>
        <v>01-02</v>
      </c>
      <c r="B307" s="241" t="str">
        <f t="shared" si="33"/>
        <v>01</v>
      </c>
      <c r="C307" s="241" t="str">
        <f t="shared" si="34"/>
        <v>02</v>
      </c>
      <c r="D307" s="235" t="str">
        <f t="shared" si="35"/>
        <v>01-</v>
      </c>
      <c r="E307" s="241" t="s">
        <v>1250</v>
      </c>
      <c r="F307" s="241" t="str">
        <f t="shared" si="36"/>
        <v>-040-019</v>
      </c>
      <c r="G307" s="235" t="s">
        <v>1392</v>
      </c>
      <c r="H307" s="241" t="s">
        <v>215</v>
      </c>
      <c r="I307" s="435" t="s">
        <v>54</v>
      </c>
      <c r="J307" s="438">
        <f>VLOOKUP(H307,'Full Trial Balance'!$A$4:$G$2306,3,FALSE)</f>
        <v>1885</v>
      </c>
      <c r="K307" s="438">
        <f>VLOOKUP(H307,'Full Trial Balance'!$A$4:$G$2306,4,FALSE)</f>
        <v>0</v>
      </c>
      <c r="L307" s="438">
        <f>VLOOKUP(H307,'Full Trial Balance'!$A$4:$G$2306,5,FALSE)</f>
        <v>470.9</v>
      </c>
      <c r="M307" s="438">
        <f>VLOOKUP(H307,'Full Trial Balance'!$A$4:$G$2306,6,FALSE)</f>
        <v>0</v>
      </c>
      <c r="N307" s="438">
        <f>VLOOKUP(H307,'Full Trial Balance'!$A$4:$G$2306,7,FALSE)</f>
        <v>470.9</v>
      </c>
      <c r="O307" s="485">
        <f t="shared" si="37"/>
        <v>0</v>
      </c>
    </row>
    <row r="308" spans="1:15" x14ac:dyDescent="0.25">
      <c r="A308" s="241" t="str">
        <f t="shared" si="32"/>
        <v>01-02</v>
      </c>
      <c r="B308" s="241" t="str">
        <f t="shared" si="33"/>
        <v>01</v>
      </c>
      <c r="C308" s="241" t="str">
        <f t="shared" si="34"/>
        <v>02</v>
      </c>
      <c r="D308" s="235" t="str">
        <f t="shared" si="35"/>
        <v>01-</v>
      </c>
      <c r="E308" s="241" t="s">
        <v>1250</v>
      </c>
      <c r="F308" s="241" t="str">
        <f t="shared" si="36"/>
        <v>-040-024</v>
      </c>
      <c r="G308" s="235" t="str">
        <f>CONCATENATE(D308,E308,F308)</f>
        <v>01-0x-040-024</v>
      </c>
      <c r="H308" s="241" t="s">
        <v>216</v>
      </c>
      <c r="I308" s="435" t="s">
        <v>71</v>
      </c>
      <c r="J308" s="438">
        <f>VLOOKUP(H308,'Full Trial Balance'!$A$4:$G$2306,3,FALSE)</f>
        <v>3480</v>
      </c>
      <c r="K308" s="438">
        <f>VLOOKUP(H308,'Full Trial Balance'!$A$4:$G$2306,4,FALSE)</f>
        <v>0</v>
      </c>
      <c r="L308" s="438">
        <f>VLOOKUP(H308,'Full Trial Balance'!$A$4:$G$2306,5,FALSE)</f>
        <v>970.5</v>
      </c>
      <c r="M308" s="438">
        <f>VLOOKUP(H308,'Full Trial Balance'!$A$4:$G$2306,6,FALSE)</f>
        <v>0</v>
      </c>
      <c r="N308" s="438">
        <f>VLOOKUP(H308,'Full Trial Balance'!$A$4:$G$2306,7,FALSE)</f>
        <v>970.5</v>
      </c>
      <c r="O308" s="485">
        <f t="shared" si="37"/>
        <v>0</v>
      </c>
    </row>
    <row r="309" spans="1:15" x14ac:dyDescent="0.25">
      <c r="A309" s="241" t="str">
        <f t="shared" si="32"/>
        <v>01-02</v>
      </c>
      <c r="B309" s="241" t="str">
        <f t="shared" si="33"/>
        <v>01</v>
      </c>
      <c r="C309" s="241" t="str">
        <f t="shared" si="34"/>
        <v>02</v>
      </c>
      <c r="D309" s="489" t="str">
        <f t="shared" si="35"/>
        <v>01-</v>
      </c>
      <c r="E309" s="241" t="s">
        <v>1250</v>
      </c>
      <c r="F309" s="241" t="str">
        <f t="shared" si="36"/>
        <v>-050-120</v>
      </c>
      <c r="G309" s="489" t="s">
        <v>1252</v>
      </c>
      <c r="H309" s="241" t="s">
        <v>217</v>
      </c>
      <c r="I309" s="435" t="s">
        <v>80</v>
      </c>
      <c r="J309" s="438">
        <f>VLOOKUP(H309,'Full Trial Balance'!$A$4:$G$2306,3,FALSE)</f>
        <v>1450</v>
      </c>
      <c r="K309" s="438">
        <f>VLOOKUP(H309,'Full Trial Balance'!$A$4:$G$2306,4,FALSE)</f>
        <v>0</v>
      </c>
      <c r="L309" s="438">
        <f>VLOOKUP(H309,'Full Trial Balance'!$A$4:$G$2306,5,FALSE)</f>
        <v>898.91</v>
      </c>
      <c r="M309" s="438">
        <f>VLOOKUP(H309,'Full Trial Balance'!$A$4:$G$2306,6,FALSE)</f>
        <v>0</v>
      </c>
      <c r="N309" s="438">
        <f>VLOOKUP(H309,'Full Trial Balance'!$A$4:$G$2306,7,FALSE)</f>
        <v>898.91</v>
      </c>
      <c r="O309" s="485">
        <f t="shared" si="37"/>
        <v>0</v>
      </c>
    </row>
    <row r="310" spans="1:15" x14ac:dyDescent="0.25">
      <c r="A310" s="241" t="str">
        <f t="shared" si="32"/>
        <v>01-02</v>
      </c>
      <c r="B310" s="241" t="str">
        <f t="shared" si="33"/>
        <v>01</v>
      </c>
      <c r="C310" s="241" t="str">
        <f t="shared" si="34"/>
        <v>02</v>
      </c>
      <c r="D310" s="235" t="str">
        <f t="shared" si="35"/>
        <v>01-</v>
      </c>
      <c r="E310" s="241" t="s">
        <v>1250</v>
      </c>
      <c r="F310" s="241" t="str">
        <f t="shared" si="36"/>
        <v>-050-121</v>
      </c>
      <c r="G310" s="235" t="s">
        <v>1252</v>
      </c>
      <c r="H310" s="241" t="s">
        <v>218</v>
      </c>
      <c r="I310" s="435" t="s">
        <v>1163</v>
      </c>
      <c r="J310" s="438">
        <f>VLOOKUP(H310,'Full Trial Balance'!$A$4:$G$2306,3,FALSE)</f>
        <v>47850</v>
      </c>
      <c r="K310" s="438">
        <f>VLOOKUP(H310,'Full Trial Balance'!$A$4:$G$2306,4,FALSE)</f>
        <v>0</v>
      </c>
      <c r="L310" s="438">
        <f>VLOOKUP(H310,'Full Trial Balance'!$A$4:$G$2306,5,FALSE)</f>
        <v>27324.99</v>
      </c>
      <c r="M310" s="438">
        <f>VLOOKUP(H310,'Full Trial Balance'!$A$4:$G$2306,6,FALSE)</f>
        <v>4366.8500000000004</v>
      </c>
      <c r="N310" s="438">
        <f>VLOOKUP(H310,'Full Trial Balance'!$A$4:$G$2306,7,FALSE)</f>
        <v>22958.14</v>
      </c>
      <c r="O310" s="485">
        <f t="shared" si="37"/>
        <v>0</v>
      </c>
    </row>
    <row r="311" spans="1:15" x14ac:dyDescent="0.25">
      <c r="A311" s="241" t="str">
        <f t="shared" si="32"/>
        <v>01-02</v>
      </c>
      <c r="B311" s="241" t="str">
        <f t="shared" si="33"/>
        <v>01</v>
      </c>
      <c r="C311" s="241" t="str">
        <f t="shared" si="34"/>
        <v>02</v>
      </c>
      <c r="D311" s="235" t="str">
        <f t="shared" si="35"/>
        <v>01-</v>
      </c>
      <c r="E311" s="241" t="s">
        <v>1250</v>
      </c>
      <c r="F311" s="241" t="str">
        <f t="shared" si="36"/>
        <v>-050-122</v>
      </c>
      <c r="G311" s="235" t="s">
        <v>1251</v>
      </c>
      <c r="H311" s="241" t="s">
        <v>219</v>
      </c>
      <c r="I311" s="435" t="s">
        <v>81</v>
      </c>
      <c r="J311" s="438">
        <f>VLOOKUP(H311,'Full Trial Balance'!$A$4:$G$2306,3,FALSE)</f>
        <v>43.5</v>
      </c>
      <c r="K311" s="438">
        <f>VLOOKUP(H311,'Full Trial Balance'!$A$4:$G$2306,4,FALSE)</f>
        <v>0</v>
      </c>
      <c r="L311" s="438">
        <f>VLOOKUP(H311,'Full Trial Balance'!$A$4:$G$2306,5,FALSE)</f>
        <v>60.46</v>
      </c>
      <c r="M311" s="438">
        <f>VLOOKUP(H311,'Full Trial Balance'!$A$4:$G$2306,6,FALSE)</f>
        <v>0</v>
      </c>
      <c r="N311" s="438">
        <f>VLOOKUP(H311,'Full Trial Balance'!$A$4:$G$2306,7,FALSE)</f>
        <v>60.46</v>
      </c>
      <c r="O311" s="485">
        <f t="shared" si="37"/>
        <v>0</v>
      </c>
    </row>
    <row r="312" spans="1:15" x14ac:dyDescent="0.25">
      <c r="A312" s="241" t="str">
        <f t="shared" si="32"/>
        <v>01-02</v>
      </c>
      <c r="B312" s="241" t="str">
        <f t="shared" si="33"/>
        <v>01</v>
      </c>
      <c r="C312" s="241" t="str">
        <f t="shared" si="34"/>
        <v>02</v>
      </c>
      <c r="D312" s="235" t="str">
        <f t="shared" si="35"/>
        <v>01-</v>
      </c>
      <c r="E312" s="241" t="s">
        <v>1250</v>
      </c>
      <c r="F312" s="241" t="str">
        <f t="shared" si="36"/>
        <v>-050-124</v>
      </c>
      <c r="G312" s="235" t="s">
        <v>1252</v>
      </c>
      <c r="H312" s="241" t="s">
        <v>220</v>
      </c>
      <c r="I312" s="435" t="s">
        <v>82</v>
      </c>
      <c r="J312" s="438">
        <f>VLOOKUP(H312,'Full Trial Balance'!$A$4:$G$2306,3,FALSE)</f>
        <v>4785</v>
      </c>
      <c r="K312" s="438">
        <f>VLOOKUP(H312,'Full Trial Balance'!$A$4:$G$2306,4,FALSE)</f>
        <v>0</v>
      </c>
      <c r="L312" s="438">
        <f>VLOOKUP(H312,'Full Trial Balance'!$A$4:$G$2306,5,FALSE)</f>
        <v>2936.51</v>
      </c>
      <c r="M312" s="438">
        <f>VLOOKUP(H312,'Full Trial Balance'!$A$4:$G$2306,6,FALSE)</f>
        <v>0</v>
      </c>
      <c r="N312" s="438">
        <f>VLOOKUP(H312,'Full Trial Balance'!$A$4:$G$2306,7,FALSE)</f>
        <v>2936.51</v>
      </c>
      <c r="O312" s="485">
        <f t="shared" si="37"/>
        <v>0</v>
      </c>
    </row>
    <row r="313" spans="1:15" x14ac:dyDescent="0.25">
      <c r="A313" s="241" t="str">
        <f t="shared" si="32"/>
        <v>01-02</v>
      </c>
      <c r="B313" s="241" t="str">
        <f t="shared" si="33"/>
        <v>01</v>
      </c>
      <c r="C313" s="241" t="str">
        <f t="shared" si="34"/>
        <v>02</v>
      </c>
      <c r="D313" s="235" t="str">
        <f t="shared" si="35"/>
        <v>01-</v>
      </c>
      <c r="E313" s="241" t="s">
        <v>1250</v>
      </c>
      <c r="F313" s="241" t="str">
        <f t="shared" si="36"/>
        <v>-050-125</v>
      </c>
      <c r="G313" s="235" t="s">
        <v>1252</v>
      </c>
      <c r="H313" s="241" t="s">
        <v>222</v>
      </c>
      <c r="I313" s="435" t="s">
        <v>221</v>
      </c>
      <c r="J313" s="438">
        <f>VLOOKUP(H313,'Full Trial Balance'!$A$4:$G$2306,3,FALSE)</f>
        <v>0</v>
      </c>
      <c r="K313" s="438">
        <f>VLOOKUP(H313,'Full Trial Balance'!$A$4:$G$2306,4,FALSE)</f>
        <v>0</v>
      </c>
      <c r="L313" s="438">
        <f>VLOOKUP(H313,'Full Trial Balance'!$A$4:$G$2306,5,FALSE)</f>
        <v>0</v>
      </c>
      <c r="M313" s="438">
        <f>VLOOKUP(H313,'Full Trial Balance'!$A$4:$G$2306,6,FALSE)</f>
        <v>0</v>
      </c>
      <c r="N313" s="438">
        <f>VLOOKUP(H313,'Full Trial Balance'!$A$4:$G$2306,7,FALSE)</f>
        <v>0</v>
      </c>
      <c r="O313" s="485">
        <f t="shared" si="37"/>
        <v>0</v>
      </c>
    </row>
    <row r="314" spans="1:15" x14ac:dyDescent="0.25">
      <c r="A314" s="430" t="str">
        <f t="shared" si="32"/>
        <v>01-02</v>
      </c>
      <c r="B314" s="430" t="str">
        <f t="shared" si="33"/>
        <v>01</v>
      </c>
      <c r="C314" s="430" t="str">
        <f t="shared" si="34"/>
        <v>02</v>
      </c>
      <c r="D314" s="429" t="str">
        <f t="shared" si="35"/>
        <v>01-</v>
      </c>
      <c r="E314" s="430" t="s">
        <v>1250</v>
      </c>
      <c r="F314" s="430" t="str">
        <f t="shared" si="36"/>
        <v>-050-127</v>
      </c>
      <c r="G314" s="429" t="s">
        <v>1442</v>
      </c>
      <c r="H314" s="241" t="s">
        <v>223</v>
      </c>
      <c r="I314" s="435" t="s">
        <v>83</v>
      </c>
      <c r="J314" s="438">
        <f>VLOOKUP(H314,'Full Trial Balance'!$A$4:$G$2306,3,FALSE)</f>
        <v>1015</v>
      </c>
      <c r="K314" s="438">
        <f>VLOOKUP(H314,'Full Trial Balance'!$A$4:$G$2306,4,FALSE)</f>
        <v>0</v>
      </c>
      <c r="L314" s="438">
        <f>VLOOKUP(H314,'Full Trial Balance'!$A$4:$G$2306,5,FALSE)</f>
        <v>826.11</v>
      </c>
      <c r="M314" s="438">
        <f>VLOOKUP(H314,'Full Trial Balance'!$A$4:$G$2306,6,FALSE)</f>
        <v>0</v>
      </c>
      <c r="N314" s="438">
        <f>VLOOKUP(H314,'Full Trial Balance'!$A$4:$G$2306,7,FALSE)</f>
        <v>826.11</v>
      </c>
      <c r="O314" s="485">
        <f t="shared" si="37"/>
        <v>0</v>
      </c>
    </row>
    <row r="315" spans="1:15" x14ac:dyDescent="0.25">
      <c r="A315" s="241" t="str">
        <f t="shared" si="32"/>
        <v>01-02</v>
      </c>
      <c r="B315" s="241" t="str">
        <f t="shared" si="33"/>
        <v>01</v>
      </c>
      <c r="C315" s="241" t="str">
        <f t="shared" si="34"/>
        <v>02</v>
      </c>
      <c r="D315" s="235" t="str">
        <f t="shared" si="35"/>
        <v>01-</v>
      </c>
      <c r="E315" s="241" t="s">
        <v>1250</v>
      </c>
      <c r="F315" s="241" t="str">
        <f t="shared" si="36"/>
        <v>-050-130</v>
      </c>
      <c r="G315" s="235" t="s">
        <v>1252</v>
      </c>
      <c r="H315" s="241" t="s">
        <v>224</v>
      </c>
      <c r="I315" s="435" t="s">
        <v>84</v>
      </c>
      <c r="J315" s="438">
        <f>VLOOKUP(H315,'Full Trial Balance'!$A$4:$G$2306,3,FALSE)</f>
        <v>20000</v>
      </c>
      <c r="K315" s="438">
        <f>VLOOKUP(H315,'Full Trial Balance'!$A$4:$G$2306,4,FALSE)</f>
        <v>0</v>
      </c>
      <c r="L315" s="438">
        <f>VLOOKUP(H315,'Full Trial Balance'!$A$4:$G$2306,5,FALSE)</f>
        <v>11785.41</v>
      </c>
      <c r="M315" s="438">
        <f>VLOOKUP(H315,'Full Trial Balance'!$A$4:$G$2306,6,FALSE)</f>
        <v>0</v>
      </c>
      <c r="N315" s="438">
        <f>VLOOKUP(H315,'Full Trial Balance'!$A$4:$G$2306,7,FALSE)</f>
        <v>11785.41</v>
      </c>
      <c r="O315" s="485">
        <f t="shared" si="37"/>
        <v>0</v>
      </c>
    </row>
    <row r="316" spans="1:15" x14ac:dyDescent="0.25">
      <c r="A316" s="241" t="str">
        <f t="shared" si="32"/>
        <v>01-02</v>
      </c>
      <c r="B316" s="241" t="str">
        <f t="shared" si="33"/>
        <v>01</v>
      </c>
      <c r="C316" s="241" t="str">
        <f t="shared" si="34"/>
        <v>02</v>
      </c>
      <c r="D316" s="235" t="str">
        <f t="shared" si="35"/>
        <v>01-</v>
      </c>
      <c r="E316" s="241" t="s">
        <v>1250</v>
      </c>
      <c r="F316" s="241" t="str">
        <f t="shared" si="36"/>
        <v>-050-133</v>
      </c>
      <c r="G316" s="235" t="s">
        <v>1252</v>
      </c>
      <c r="H316" s="241" t="s">
        <v>956</v>
      </c>
      <c r="I316" s="435" t="s">
        <v>1086</v>
      </c>
      <c r="J316" s="438">
        <f>VLOOKUP(H316,'Full Trial Balance'!$A$4:$G$2306,3,FALSE)</f>
        <v>11600</v>
      </c>
      <c r="K316" s="438">
        <f>VLOOKUP(H316,'Full Trial Balance'!$A$4:$G$2306,4,FALSE)</f>
        <v>0</v>
      </c>
      <c r="L316" s="438">
        <f>VLOOKUP(H316,'Full Trial Balance'!$A$4:$G$2306,5,FALSE)</f>
        <v>1101.27</v>
      </c>
      <c r="M316" s="438">
        <f>VLOOKUP(H316,'Full Trial Balance'!$A$4:$G$2306,6,FALSE)</f>
        <v>0</v>
      </c>
      <c r="N316" s="438">
        <f>VLOOKUP(H316,'Full Trial Balance'!$A$4:$G$2306,7,FALSE)</f>
        <v>1101.27</v>
      </c>
      <c r="O316" s="485">
        <f t="shared" si="37"/>
        <v>0</v>
      </c>
    </row>
    <row r="317" spans="1:15" x14ac:dyDescent="0.25">
      <c r="A317" s="241" t="str">
        <f t="shared" si="32"/>
        <v>01-02</v>
      </c>
      <c r="B317" s="241" t="str">
        <f t="shared" si="33"/>
        <v>01</v>
      </c>
      <c r="C317" s="241" t="str">
        <f t="shared" si="34"/>
        <v>02</v>
      </c>
      <c r="D317" s="235" t="str">
        <f t="shared" si="35"/>
        <v>01-</v>
      </c>
      <c r="E317" s="241" t="s">
        <v>1250</v>
      </c>
      <c r="F317" s="241" t="str">
        <f t="shared" si="36"/>
        <v>-050-135</v>
      </c>
      <c r="G317" s="235" t="s">
        <v>1252</v>
      </c>
      <c r="H317" s="241" t="s">
        <v>225</v>
      </c>
      <c r="I317" s="435" t="s">
        <v>85</v>
      </c>
      <c r="J317" s="438">
        <f>VLOOKUP(H317,'Full Trial Balance'!$A$4:$G$2306,3,FALSE)</f>
        <v>11600</v>
      </c>
      <c r="K317" s="438">
        <f>VLOOKUP(H317,'Full Trial Balance'!$A$4:$G$2306,4,FALSE)</f>
        <v>0</v>
      </c>
      <c r="L317" s="438">
        <f>VLOOKUP(H317,'Full Trial Balance'!$A$4:$G$2306,5,FALSE)</f>
        <v>1800.76</v>
      </c>
      <c r="M317" s="438">
        <f>VLOOKUP(H317,'Full Trial Balance'!$A$4:$G$2306,6,FALSE)</f>
        <v>0</v>
      </c>
      <c r="N317" s="438">
        <f>VLOOKUP(H317,'Full Trial Balance'!$A$4:$G$2306,7,FALSE)</f>
        <v>1800.76</v>
      </c>
      <c r="O317" s="485">
        <f t="shared" si="37"/>
        <v>0</v>
      </c>
    </row>
    <row r="318" spans="1:15" x14ac:dyDescent="0.25">
      <c r="A318" s="241" t="str">
        <f t="shared" si="32"/>
        <v>01-02</v>
      </c>
      <c r="B318" s="241" t="str">
        <f t="shared" si="33"/>
        <v>01</v>
      </c>
      <c r="C318" s="241" t="str">
        <f t="shared" si="34"/>
        <v>02</v>
      </c>
      <c r="D318" s="235" t="str">
        <f t="shared" si="35"/>
        <v>01-</v>
      </c>
      <c r="E318" s="241" t="s">
        <v>1250</v>
      </c>
      <c r="F318" s="241" t="str">
        <f t="shared" si="36"/>
        <v>-051-121</v>
      </c>
      <c r="G318" s="235" t="s">
        <v>1252</v>
      </c>
      <c r="H318" s="241" t="s">
        <v>226</v>
      </c>
      <c r="I318" s="435" t="s">
        <v>189</v>
      </c>
      <c r="J318" s="438">
        <f>VLOOKUP(H318,'Full Trial Balance'!$A$4:$G$2306,3,FALSE)</f>
        <v>50</v>
      </c>
      <c r="K318" s="438">
        <f>VLOOKUP(H318,'Full Trial Balance'!$A$4:$G$2306,4,FALSE)</f>
        <v>0</v>
      </c>
      <c r="L318" s="438">
        <f>VLOOKUP(H318,'Full Trial Balance'!$A$4:$G$2306,5,FALSE)</f>
        <v>2224.4</v>
      </c>
      <c r="M318" s="438">
        <f>VLOOKUP(H318,'Full Trial Balance'!$A$4:$G$2306,6,FALSE)</f>
        <v>0</v>
      </c>
      <c r="N318" s="438">
        <f>VLOOKUP(H318,'Full Trial Balance'!$A$4:$G$2306,7,FALSE)</f>
        <v>2224.4</v>
      </c>
      <c r="O318" s="485">
        <f t="shared" si="37"/>
        <v>0</v>
      </c>
    </row>
    <row r="319" spans="1:15" x14ac:dyDescent="0.25">
      <c r="A319" s="241" t="str">
        <f t="shared" si="32"/>
        <v>01-02</v>
      </c>
      <c r="B319" s="241" t="str">
        <f t="shared" si="33"/>
        <v>01</v>
      </c>
      <c r="C319" s="241" t="str">
        <f t="shared" si="34"/>
        <v>02</v>
      </c>
      <c r="D319" s="235" t="str">
        <f t="shared" si="35"/>
        <v>01-</v>
      </c>
      <c r="E319" s="241" t="s">
        <v>1250</v>
      </c>
      <c r="F319" s="241" t="str">
        <f t="shared" si="36"/>
        <v>-051-122</v>
      </c>
      <c r="G319" s="235" t="s">
        <v>1251</v>
      </c>
      <c r="H319" s="241" t="s">
        <v>227</v>
      </c>
      <c r="I319" s="435" t="s">
        <v>190</v>
      </c>
      <c r="J319" s="438">
        <f>VLOOKUP(H319,'Full Trial Balance'!$A$4:$G$2306,3,FALSE)</f>
        <v>400</v>
      </c>
      <c r="K319" s="438">
        <f>VLOOKUP(H319,'Full Trial Balance'!$A$4:$G$2306,4,FALSE)</f>
        <v>0</v>
      </c>
      <c r="L319" s="438">
        <f>VLOOKUP(H319,'Full Trial Balance'!$A$4:$G$2306,5,FALSE)</f>
        <v>201.52</v>
      </c>
      <c r="M319" s="438">
        <f>VLOOKUP(H319,'Full Trial Balance'!$A$4:$G$2306,6,FALSE)</f>
        <v>0</v>
      </c>
      <c r="N319" s="438">
        <f>VLOOKUP(H319,'Full Trial Balance'!$A$4:$G$2306,7,FALSE)</f>
        <v>201.52</v>
      </c>
      <c r="O319" s="485">
        <f t="shared" si="37"/>
        <v>0</v>
      </c>
    </row>
    <row r="320" spans="1:15" x14ac:dyDescent="0.25">
      <c r="A320" s="241" t="str">
        <f t="shared" si="32"/>
        <v>01-02</v>
      </c>
      <c r="B320" s="241" t="str">
        <f t="shared" si="33"/>
        <v>01</v>
      </c>
      <c r="C320" s="241" t="str">
        <f t="shared" si="34"/>
        <v>02</v>
      </c>
      <c r="D320" s="235" t="str">
        <f t="shared" si="35"/>
        <v>01-</v>
      </c>
      <c r="E320" s="241" t="s">
        <v>1250</v>
      </c>
      <c r="F320" s="241" t="str">
        <f t="shared" si="36"/>
        <v>-052-121</v>
      </c>
      <c r="G320" s="235" t="s">
        <v>1252</v>
      </c>
      <c r="H320" s="241" t="s">
        <v>228</v>
      </c>
      <c r="I320" s="435" t="s">
        <v>86</v>
      </c>
      <c r="J320" s="438">
        <f>VLOOKUP(H320,'Full Trial Balance'!$A$4:$G$2306,3,FALSE)</f>
        <v>5000</v>
      </c>
      <c r="K320" s="438">
        <f>VLOOKUP(H320,'Full Trial Balance'!$A$4:$G$2306,4,FALSE)</f>
        <v>0</v>
      </c>
      <c r="L320" s="438">
        <f>VLOOKUP(H320,'Full Trial Balance'!$A$4:$G$2306,5,FALSE)</f>
        <v>0</v>
      </c>
      <c r="M320" s="438">
        <f>VLOOKUP(H320,'Full Trial Balance'!$A$4:$G$2306,6,FALSE)</f>
        <v>0</v>
      </c>
      <c r="N320" s="438">
        <f>VLOOKUP(H320,'Full Trial Balance'!$A$4:$G$2306,7,FALSE)</f>
        <v>0</v>
      </c>
      <c r="O320" s="485">
        <f t="shared" si="37"/>
        <v>0</v>
      </c>
    </row>
    <row r="321" spans="1:15" x14ac:dyDescent="0.25">
      <c r="A321" s="241" t="str">
        <f t="shared" si="32"/>
        <v>01-02</v>
      </c>
      <c r="B321" s="241" t="str">
        <f t="shared" si="33"/>
        <v>01</v>
      </c>
      <c r="C321" s="241" t="str">
        <f t="shared" si="34"/>
        <v>02</v>
      </c>
      <c r="D321" s="235" t="str">
        <f t="shared" si="35"/>
        <v>01-</v>
      </c>
      <c r="E321" s="241" t="s">
        <v>1250</v>
      </c>
      <c r="F321" s="241" t="str">
        <f t="shared" si="36"/>
        <v>-052-122</v>
      </c>
      <c r="G321" s="235" t="s">
        <v>1251</v>
      </c>
      <c r="H321" s="241" t="s">
        <v>229</v>
      </c>
      <c r="I321" s="435" t="s">
        <v>87</v>
      </c>
      <c r="J321" s="438">
        <f>VLOOKUP(H321,'Full Trial Balance'!$A$4:$G$2306,3,FALSE)</f>
        <v>80000</v>
      </c>
      <c r="K321" s="438">
        <f>VLOOKUP(H321,'Full Trial Balance'!$A$4:$G$2306,4,FALSE)</f>
        <v>0</v>
      </c>
      <c r="L321" s="438">
        <f>VLOOKUP(H321,'Full Trial Balance'!$A$4:$G$2306,5,FALSE)</f>
        <v>47896.86</v>
      </c>
      <c r="M321" s="438">
        <f>VLOOKUP(H321,'Full Trial Balance'!$A$4:$G$2306,6,FALSE)</f>
        <v>0</v>
      </c>
      <c r="N321" s="438">
        <f>VLOOKUP(H321,'Full Trial Balance'!$A$4:$G$2306,7,FALSE)</f>
        <v>47896.86</v>
      </c>
      <c r="O321" s="485">
        <f t="shared" si="37"/>
        <v>0</v>
      </c>
    </row>
    <row r="322" spans="1:15" x14ac:dyDescent="0.25">
      <c r="A322" s="241" t="str">
        <f t="shared" si="32"/>
        <v>01-02</v>
      </c>
      <c r="B322" s="241" t="str">
        <f t="shared" si="33"/>
        <v>01</v>
      </c>
      <c r="C322" s="241" t="str">
        <f t="shared" si="34"/>
        <v>02</v>
      </c>
      <c r="D322" s="235" t="str">
        <f t="shared" si="35"/>
        <v>01-</v>
      </c>
      <c r="E322" s="241" t="s">
        <v>1250</v>
      </c>
      <c r="F322" s="241" t="str">
        <f t="shared" si="36"/>
        <v>-053-121</v>
      </c>
      <c r="G322" s="235" t="s">
        <v>1252</v>
      </c>
      <c r="H322" s="241" t="s">
        <v>230</v>
      </c>
      <c r="I322" s="435" t="s">
        <v>88</v>
      </c>
      <c r="J322" s="438">
        <f>VLOOKUP(H322,'Full Trial Balance'!$A$4:$G$2306,3,FALSE)</f>
        <v>5000</v>
      </c>
      <c r="K322" s="438">
        <f>VLOOKUP(H322,'Full Trial Balance'!$A$4:$G$2306,4,FALSE)</f>
        <v>0</v>
      </c>
      <c r="L322" s="438">
        <f>VLOOKUP(H322,'Full Trial Balance'!$A$4:$G$2306,5,FALSE)</f>
        <v>453.76</v>
      </c>
      <c r="M322" s="438">
        <f>VLOOKUP(H322,'Full Trial Balance'!$A$4:$G$2306,6,FALSE)</f>
        <v>0</v>
      </c>
      <c r="N322" s="438">
        <f>VLOOKUP(H322,'Full Trial Balance'!$A$4:$G$2306,7,FALSE)</f>
        <v>453.76</v>
      </c>
      <c r="O322" s="485">
        <f t="shared" si="37"/>
        <v>0</v>
      </c>
    </row>
    <row r="323" spans="1:15" x14ac:dyDescent="0.25">
      <c r="A323" s="241" t="str">
        <f t="shared" ref="A323:A386" si="40">LEFT(H323,5)</f>
        <v>01-02</v>
      </c>
      <c r="B323" s="241" t="str">
        <f t="shared" ref="B323:B386" si="41">LEFT(H323,2)</f>
        <v>01</v>
      </c>
      <c r="C323" s="241" t="str">
        <f t="shared" ref="C323:C386" si="42">RIGHT(A323,2)</f>
        <v>02</v>
      </c>
      <c r="D323" s="235" t="str">
        <f t="shared" ref="D323:D386" si="43">LEFT(A323,3)</f>
        <v>01-</v>
      </c>
      <c r="E323" s="241" t="s">
        <v>1250</v>
      </c>
      <c r="F323" s="241" t="str">
        <f t="shared" ref="F323:F386" si="44">RIGHT(H323,8)</f>
        <v>-053-122</v>
      </c>
      <c r="G323" s="235" t="s">
        <v>1251</v>
      </c>
      <c r="H323" s="241" t="s">
        <v>231</v>
      </c>
      <c r="I323" s="435" t="s">
        <v>89</v>
      </c>
      <c r="J323" s="438">
        <f>VLOOKUP(H323,'Full Trial Balance'!$A$4:$G$2306,3,FALSE)</f>
        <v>110000</v>
      </c>
      <c r="K323" s="438">
        <f>VLOOKUP(H323,'Full Trial Balance'!$A$4:$G$2306,4,FALSE)</f>
        <v>0</v>
      </c>
      <c r="L323" s="438">
        <f>VLOOKUP(H323,'Full Trial Balance'!$A$4:$G$2306,5,FALSE)</f>
        <v>55545.18</v>
      </c>
      <c r="M323" s="438">
        <f>VLOOKUP(H323,'Full Trial Balance'!$A$4:$G$2306,6,FALSE)</f>
        <v>0</v>
      </c>
      <c r="N323" s="438">
        <f>VLOOKUP(H323,'Full Trial Balance'!$A$4:$G$2306,7,FALSE)</f>
        <v>55545.18</v>
      </c>
      <c r="O323" s="485">
        <f t="shared" ref="O323:O386" si="45">N323-L323+M323</f>
        <v>0</v>
      </c>
    </row>
    <row r="324" spans="1:15" x14ac:dyDescent="0.25">
      <c r="A324" s="241" t="str">
        <f t="shared" si="40"/>
        <v>01-02</v>
      </c>
      <c r="B324" s="241" t="str">
        <f t="shared" si="41"/>
        <v>01</v>
      </c>
      <c r="C324" s="241" t="str">
        <f t="shared" si="42"/>
        <v>02</v>
      </c>
      <c r="D324" s="235" t="str">
        <f t="shared" si="43"/>
        <v>01-</v>
      </c>
      <c r="E324" s="241" t="s">
        <v>1250</v>
      </c>
      <c r="F324" s="241" t="str">
        <f t="shared" si="44"/>
        <v>-054-121</v>
      </c>
      <c r="G324" s="235" t="s">
        <v>1252</v>
      </c>
      <c r="H324" s="241" t="s">
        <v>232</v>
      </c>
      <c r="I324" s="435" t="s">
        <v>90</v>
      </c>
      <c r="J324" s="438">
        <f>VLOOKUP(H324,'Full Trial Balance'!$A$4:$G$2306,3,FALSE)</f>
        <v>20000</v>
      </c>
      <c r="K324" s="438">
        <f>VLOOKUP(H324,'Full Trial Balance'!$A$4:$G$2306,4,FALSE)</f>
        <v>0</v>
      </c>
      <c r="L324" s="438">
        <f>VLOOKUP(H324,'Full Trial Balance'!$A$4:$G$2306,5,FALSE)</f>
        <v>324.2</v>
      </c>
      <c r="M324" s="438">
        <f>VLOOKUP(H324,'Full Trial Balance'!$A$4:$G$2306,6,FALSE)</f>
        <v>0</v>
      </c>
      <c r="N324" s="438">
        <f>VLOOKUP(H324,'Full Trial Balance'!$A$4:$G$2306,7,FALSE)</f>
        <v>324.2</v>
      </c>
      <c r="O324" s="485">
        <f t="shared" si="45"/>
        <v>0</v>
      </c>
    </row>
    <row r="325" spans="1:15" x14ac:dyDescent="0.25">
      <c r="A325" s="241" t="str">
        <f t="shared" si="40"/>
        <v>01-02</v>
      </c>
      <c r="B325" s="241" t="str">
        <f t="shared" si="41"/>
        <v>01</v>
      </c>
      <c r="C325" s="241" t="str">
        <f t="shared" si="42"/>
        <v>02</v>
      </c>
      <c r="D325" s="235" t="str">
        <f t="shared" si="43"/>
        <v>01-</v>
      </c>
      <c r="E325" s="241" t="s">
        <v>1250</v>
      </c>
      <c r="F325" s="241" t="str">
        <f t="shared" si="44"/>
        <v>-054-122</v>
      </c>
      <c r="G325" s="235" t="s">
        <v>1251</v>
      </c>
      <c r="H325" s="241" t="s">
        <v>233</v>
      </c>
      <c r="I325" s="435" t="s">
        <v>91</v>
      </c>
      <c r="J325" s="438">
        <f>VLOOKUP(H325,'Full Trial Balance'!$A$4:$G$2306,3,FALSE)</f>
        <v>8500</v>
      </c>
      <c r="K325" s="438">
        <f>VLOOKUP(H325,'Full Trial Balance'!$A$4:$G$2306,4,FALSE)</f>
        <v>0</v>
      </c>
      <c r="L325" s="438">
        <f>VLOOKUP(H325,'Full Trial Balance'!$A$4:$G$2306,5,FALSE)</f>
        <v>3058.28</v>
      </c>
      <c r="M325" s="438">
        <f>VLOOKUP(H325,'Full Trial Balance'!$A$4:$G$2306,6,FALSE)</f>
        <v>0</v>
      </c>
      <c r="N325" s="438">
        <f>VLOOKUP(H325,'Full Trial Balance'!$A$4:$G$2306,7,FALSE)</f>
        <v>3058.28</v>
      </c>
      <c r="O325" s="485">
        <f t="shared" si="45"/>
        <v>0</v>
      </c>
    </row>
    <row r="326" spans="1:15" x14ac:dyDescent="0.25">
      <c r="A326" s="241" t="str">
        <f t="shared" si="40"/>
        <v>01-02</v>
      </c>
      <c r="B326" s="241" t="str">
        <f t="shared" si="41"/>
        <v>01</v>
      </c>
      <c r="C326" s="241" t="str">
        <f t="shared" si="42"/>
        <v>02</v>
      </c>
      <c r="D326" s="235" t="str">
        <f t="shared" si="43"/>
        <v>01-</v>
      </c>
      <c r="E326" s="241" t="s">
        <v>1250</v>
      </c>
      <c r="F326" s="241" t="str">
        <f t="shared" si="44"/>
        <v>-055-121</v>
      </c>
      <c r="G326" s="235" t="s">
        <v>1252</v>
      </c>
      <c r="H326" s="241" t="s">
        <v>235</v>
      </c>
      <c r="I326" s="435" t="s">
        <v>234</v>
      </c>
      <c r="J326" s="438">
        <f>VLOOKUP(H326,'Full Trial Balance'!$A$4:$G$2306,3,FALSE)</f>
        <v>0</v>
      </c>
      <c r="K326" s="438">
        <f>VLOOKUP(H326,'Full Trial Balance'!$A$4:$G$2306,4,FALSE)</f>
        <v>0</v>
      </c>
      <c r="L326" s="438">
        <f>VLOOKUP(H326,'Full Trial Balance'!$A$4:$G$2306,5,FALSE)</f>
        <v>19.18</v>
      </c>
      <c r="M326" s="438">
        <f>VLOOKUP(H326,'Full Trial Balance'!$A$4:$G$2306,6,FALSE)</f>
        <v>0</v>
      </c>
      <c r="N326" s="438">
        <f>VLOOKUP(H326,'Full Trial Balance'!$A$4:$G$2306,7,FALSE)</f>
        <v>19.18</v>
      </c>
      <c r="O326" s="485">
        <f t="shared" si="45"/>
        <v>0</v>
      </c>
    </row>
    <row r="327" spans="1:15" x14ac:dyDescent="0.25">
      <c r="A327" s="241" t="str">
        <f t="shared" si="40"/>
        <v>01-02</v>
      </c>
      <c r="B327" s="241" t="str">
        <f t="shared" si="41"/>
        <v>01</v>
      </c>
      <c r="C327" s="241" t="str">
        <f t="shared" si="42"/>
        <v>02</v>
      </c>
      <c r="D327" s="235" t="str">
        <f t="shared" si="43"/>
        <v>01-</v>
      </c>
      <c r="E327" s="241" t="s">
        <v>1250</v>
      </c>
      <c r="F327" s="241" t="str">
        <f t="shared" si="44"/>
        <v>-055-122</v>
      </c>
      <c r="G327" s="235" t="s">
        <v>1251</v>
      </c>
      <c r="H327" s="241" t="s">
        <v>236</v>
      </c>
      <c r="I327" s="435" t="s">
        <v>92</v>
      </c>
      <c r="J327" s="438">
        <f>VLOOKUP(H327,'Full Trial Balance'!$A$4:$G$2306,3,FALSE)</f>
        <v>0</v>
      </c>
      <c r="K327" s="438">
        <f>VLOOKUP(H327,'Full Trial Balance'!$A$4:$G$2306,4,FALSE)</f>
        <v>0</v>
      </c>
      <c r="L327" s="438">
        <f>VLOOKUP(H327,'Full Trial Balance'!$A$4:$G$2306,5,FALSE)</f>
        <v>0</v>
      </c>
      <c r="M327" s="438">
        <f>VLOOKUP(H327,'Full Trial Balance'!$A$4:$G$2306,6,FALSE)</f>
        <v>0</v>
      </c>
      <c r="N327" s="438">
        <f>VLOOKUP(H327,'Full Trial Balance'!$A$4:$G$2306,7,FALSE)</f>
        <v>0</v>
      </c>
      <c r="O327" s="485">
        <f t="shared" si="45"/>
        <v>0</v>
      </c>
    </row>
    <row r="328" spans="1:15" x14ac:dyDescent="0.25">
      <c r="A328" s="241" t="str">
        <f t="shared" si="40"/>
        <v>01-02</v>
      </c>
      <c r="B328" s="241" t="str">
        <f t="shared" si="41"/>
        <v>01</v>
      </c>
      <c r="C328" s="241" t="str">
        <f t="shared" si="42"/>
        <v>02</v>
      </c>
      <c r="D328" s="235" t="str">
        <f t="shared" si="43"/>
        <v>01-</v>
      </c>
      <c r="E328" s="241" t="s">
        <v>1250</v>
      </c>
      <c r="F328" s="241" t="str">
        <f t="shared" si="44"/>
        <v>-056-121</v>
      </c>
      <c r="G328" s="235" t="s">
        <v>1252</v>
      </c>
      <c r="H328" s="241" t="s">
        <v>875</v>
      </c>
      <c r="I328" s="435" t="s">
        <v>876</v>
      </c>
      <c r="J328" s="438">
        <f>VLOOKUP(H328,'Full Trial Balance'!$A$4:$G$2306,3,FALSE)</f>
        <v>0</v>
      </c>
      <c r="K328" s="438">
        <f>VLOOKUP(H328,'Full Trial Balance'!$A$4:$G$2306,4,FALSE)</f>
        <v>0</v>
      </c>
      <c r="L328" s="438">
        <f>VLOOKUP(H328,'Full Trial Balance'!$A$4:$G$2306,5,FALSE)</f>
        <v>0</v>
      </c>
      <c r="M328" s="438">
        <f>VLOOKUP(H328,'Full Trial Balance'!$A$4:$G$2306,6,FALSE)</f>
        <v>0</v>
      </c>
      <c r="N328" s="438">
        <f>VLOOKUP(H328,'Full Trial Balance'!$A$4:$G$2306,7,FALSE)</f>
        <v>0</v>
      </c>
      <c r="O328" s="485">
        <f t="shared" si="45"/>
        <v>0</v>
      </c>
    </row>
    <row r="329" spans="1:15" x14ac:dyDescent="0.25">
      <c r="A329" s="241" t="str">
        <f t="shared" si="40"/>
        <v>01-02</v>
      </c>
      <c r="B329" s="241" t="str">
        <f t="shared" si="41"/>
        <v>01</v>
      </c>
      <c r="C329" s="241" t="str">
        <f t="shared" si="42"/>
        <v>02</v>
      </c>
      <c r="D329" s="235" t="str">
        <f t="shared" si="43"/>
        <v>01-</v>
      </c>
      <c r="E329" s="241" t="s">
        <v>1250</v>
      </c>
      <c r="F329" s="241" t="str">
        <f t="shared" si="44"/>
        <v>-056-122</v>
      </c>
      <c r="G329" s="235" t="s">
        <v>1251</v>
      </c>
      <c r="H329" s="241" t="s">
        <v>873</v>
      </c>
      <c r="I329" s="435" t="s">
        <v>874</v>
      </c>
      <c r="J329" s="438">
        <f>VLOOKUP(H329,'Full Trial Balance'!$A$4:$G$2306,3,FALSE)</f>
        <v>0</v>
      </c>
      <c r="K329" s="438">
        <f>VLOOKUP(H329,'Full Trial Balance'!$A$4:$G$2306,4,FALSE)</f>
        <v>0</v>
      </c>
      <c r="L329" s="438">
        <f>VLOOKUP(H329,'Full Trial Balance'!$A$4:$G$2306,5,FALSE)</f>
        <v>0</v>
      </c>
      <c r="M329" s="438">
        <f>VLOOKUP(H329,'Full Trial Balance'!$A$4:$G$2306,6,FALSE)</f>
        <v>0</v>
      </c>
      <c r="N329" s="438">
        <f>VLOOKUP(H329,'Full Trial Balance'!$A$4:$G$2306,7,FALSE)</f>
        <v>0</v>
      </c>
      <c r="O329" s="485">
        <f t="shared" si="45"/>
        <v>0</v>
      </c>
    </row>
    <row r="330" spans="1:15" x14ac:dyDescent="0.25">
      <c r="A330" s="241" t="str">
        <f t="shared" si="40"/>
        <v>01-02</v>
      </c>
      <c r="B330" s="241" t="str">
        <f t="shared" si="41"/>
        <v>01</v>
      </c>
      <c r="C330" s="241" t="str">
        <f t="shared" si="42"/>
        <v>02</v>
      </c>
      <c r="D330" s="235" t="str">
        <f t="shared" si="43"/>
        <v>01-</v>
      </c>
      <c r="E330" s="241" t="s">
        <v>1250</v>
      </c>
      <c r="F330" s="241" t="str">
        <f t="shared" si="44"/>
        <v>-058-120</v>
      </c>
      <c r="G330" s="235" t="s">
        <v>1252</v>
      </c>
      <c r="H330" s="241" t="s">
        <v>1164</v>
      </c>
      <c r="I330" s="435" t="s">
        <v>1165</v>
      </c>
      <c r="J330" s="438">
        <f>VLOOKUP(H330,'Full Trial Balance'!$A$4:$G$2306,3,FALSE)</f>
        <v>0</v>
      </c>
      <c r="K330" s="438">
        <f>VLOOKUP(H330,'Full Trial Balance'!$A$4:$G$2306,4,FALSE)</f>
        <v>0</v>
      </c>
      <c r="L330" s="438">
        <f>VLOOKUP(H330,'Full Trial Balance'!$A$4:$G$2306,5,FALSE)</f>
        <v>0</v>
      </c>
      <c r="M330" s="438">
        <f>VLOOKUP(H330,'Full Trial Balance'!$A$4:$G$2306,6,FALSE)</f>
        <v>0</v>
      </c>
      <c r="N330" s="438">
        <f>VLOOKUP(H330,'Full Trial Balance'!$A$4:$G$2306,7,FALSE)</f>
        <v>0</v>
      </c>
      <c r="O330" s="485">
        <f t="shared" si="45"/>
        <v>0</v>
      </c>
    </row>
    <row r="331" spans="1:15" x14ac:dyDescent="0.25">
      <c r="A331" s="241" t="str">
        <f t="shared" si="40"/>
        <v>01-02</v>
      </c>
      <c r="B331" s="241" t="str">
        <f t="shared" si="41"/>
        <v>01</v>
      </c>
      <c r="C331" s="241" t="str">
        <f t="shared" si="42"/>
        <v>02</v>
      </c>
      <c r="D331" s="235" t="str">
        <f t="shared" si="43"/>
        <v>01-</v>
      </c>
      <c r="E331" s="241" t="s">
        <v>1250</v>
      </c>
      <c r="F331" s="241" t="str">
        <f t="shared" si="44"/>
        <v>-058-121</v>
      </c>
      <c r="G331" s="235" t="s">
        <v>1252</v>
      </c>
      <c r="H331" s="241" t="s">
        <v>1166</v>
      </c>
      <c r="I331" s="435" t="s">
        <v>1167</v>
      </c>
      <c r="J331" s="438">
        <f>VLOOKUP(H331,'Full Trial Balance'!$A$4:$G$2306,3,FALSE)</f>
        <v>0</v>
      </c>
      <c r="K331" s="438">
        <f>VLOOKUP(H331,'Full Trial Balance'!$A$4:$G$2306,4,FALSE)</f>
        <v>0</v>
      </c>
      <c r="L331" s="438">
        <f>VLOOKUP(H331,'Full Trial Balance'!$A$4:$G$2306,5,FALSE)</f>
        <v>0</v>
      </c>
      <c r="M331" s="438">
        <f>VLOOKUP(H331,'Full Trial Balance'!$A$4:$G$2306,6,FALSE)</f>
        <v>0</v>
      </c>
      <c r="N331" s="438">
        <f>VLOOKUP(H331,'Full Trial Balance'!$A$4:$G$2306,7,FALSE)</f>
        <v>0</v>
      </c>
      <c r="O331" s="485">
        <f t="shared" si="45"/>
        <v>0</v>
      </c>
    </row>
    <row r="332" spans="1:15" x14ac:dyDescent="0.25">
      <c r="A332" s="241" t="str">
        <f t="shared" si="40"/>
        <v>01-02</v>
      </c>
      <c r="B332" s="241" t="str">
        <f t="shared" si="41"/>
        <v>01</v>
      </c>
      <c r="C332" s="241" t="str">
        <f t="shared" si="42"/>
        <v>02</v>
      </c>
      <c r="D332" s="235" t="str">
        <f t="shared" si="43"/>
        <v>01-</v>
      </c>
      <c r="E332" s="241" t="s">
        <v>1250</v>
      </c>
      <c r="F332" s="241" t="str">
        <f t="shared" si="44"/>
        <v>-058-122</v>
      </c>
      <c r="G332" s="235" t="s">
        <v>1251</v>
      </c>
      <c r="H332" s="241" t="s">
        <v>237</v>
      </c>
      <c r="I332" s="435" t="s">
        <v>93</v>
      </c>
      <c r="J332" s="438">
        <f>VLOOKUP(H332,'Full Trial Balance'!$A$4:$G$2306,3,FALSE)</f>
        <v>20000</v>
      </c>
      <c r="K332" s="438">
        <f>VLOOKUP(H332,'Full Trial Balance'!$A$4:$G$2306,4,FALSE)</f>
        <v>0</v>
      </c>
      <c r="L332" s="438">
        <f>VLOOKUP(H332,'Full Trial Balance'!$A$4:$G$2306,5,FALSE)</f>
        <v>8617.33</v>
      </c>
      <c r="M332" s="438">
        <f>VLOOKUP(H332,'Full Trial Balance'!$A$4:$G$2306,6,FALSE)</f>
        <v>0</v>
      </c>
      <c r="N332" s="438">
        <f>VLOOKUP(H332,'Full Trial Balance'!$A$4:$G$2306,7,FALSE)</f>
        <v>8617.33</v>
      </c>
      <c r="O332" s="485">
        <f t="shared" si="45"/>
        <v>0</v>
      </c>
    </row>
    <row r="333" spans="1:15" x14ac:dyDescent="0.25">
      <c r="A333" s="241" t="str">
        <f t="shared" si="40"/>
        <v>01-02</v>
      </c>
      <c r="B333" s="241" t="str">
        <f t="shared" si="41"/>
        <v>01</v>
      </c>
      <c r="C333" s="241" t="str">
        <f t="shared" si="42"/>
        <v>02</v>
      </c>
      <c r="D333" s="235" t="str">
        <f t="shared" si="43"/>
        <v>01-</v>
      </c>
      <c r="E333" s="241" t="s">
        <v>1250</v>
      </c>
      <c r="F333" s="241" t="str">
        <f t="shared" si="44"/>
        <v>-058-124</v>
      </c>
      <c r="G333" s="235" t="str">
        <f>CONCATENATE(D333,E333,F333)</f>
        <v>01-0x-058-124</v>
      </c>
      <c r="H333" s="241" t="s">
        <v>1168</v>
      </c>
      <c r="I333" s="435" t="s">
        <v>1169</v>
      </c>
      <c r="J333" s="438">
        <f>VLOOKUP(H333,'Full Trial Balance'!$A$4:$G$2306,3,FALSE)</f>
        <v>0</v>
      </c>
      <c r="K333" s="438">
        <f>VLOOKUP(H333,'Full Trial Balance'!$A$4:$G$2306,4,FALSE)</f>
        <v>0</v>
      </c>
      <c r="L333" s="438">
        <f>VLOOKUP(H333,'Full Trial Balance'!$A$4:$G$2306,5,FALSE)</f>
        <v>0</v>
      </c>
      <c r="M333" s="438">
        <f>VLOOKUP(H333,'Full Trial Balance'!$A$4:$G$2306,6,FALSE)</f>
        <v>0</v>
      </c>
      <c r="N333" s="438">
        <f>VLOOKUP(H333,'Full Trial Balance'!$A$4:$G$2306,7,FALSE)</f>
        <v>0</v>
      </c>
      <c r="O333" s="485">
        <f t="shared" si="45"/>
        <v>0</v>
      </c>
    </row>
    <row r="334" spans="1:15" x14ac:dyDescent="0.25">
      <c r="A334" s="241" t="str">
        <f t="shared" si="40"/>
        <v>01-02</v>
      </c>
      <c r="B334" s="241" t="str">
        <f t="shared" si="41"/>
        <v>01</v>
      </c>
      <c r="C334" s="241" t="str">
        <f t="shared" si="42"/>
        <v>02</v>
      </c>
      <c r="D334" s="235" t="str">
        <f t="shared" si="43"/>
        <v>01-</v>
      </c>
      <c r="E334" s="241" t="s">
        <v>1250</v>
      </c>
      <c r="F334" s="241" t="str">
        <f t="shared" si="44"/>
        <v>-059-000</v>
      </c>
      <c r="G334" s="235" t="s">
        <v>1252</v>
      </c>
      <c r="H334" s="241" t="s">
        <v>238</v>
      </c>
      <c r="I334" s="435" t="s">
        <v>1170</v>
      </c>
      <c r="J334" s="438">
        <f>VLOOKUP(H334,'Full Trial Balance'!$A$4:$G$2306,3,FALSE)</f>
        <v>11600</v>
      </c>
      <c r="K334" s="438">
        <f>VLOOKUP(H334,'Full Trial Balance'!$A$4:$G$2306,4,FALSE)</f>
        <v>0</v>
      </c>
      <c r="L334" s="438">
        <f>VLOOKUP(H334,'Full Trial Balance'!$A$4:$G$2306,5,FALSE)</f>
        <v>2193.48</v>
      </c>
      <c r="M334" s="438">
        <f>VLOOKUP(H334,'Full Trial Balance'!$A$4:$G$2306,6,FALSE)</f>
        <v>0</v>
      </c>
      <c r="N334" s="438">
        <f>VLOOKUP(H334,'Full Trial Balance'!$A$4:$G$2306,7,FALSE)</f>
        <v>2193.48</v>
      </c>
      <c r="O334" s="485">
        <f t="shared" si="45"/>
        <v>0</v>
      </c>
    </row>
    <row r="335" spans="1:15" x14ac:dyDescent="0.25">
      <c r="A335" s="241" t="str">
        <f t="shared" si="40"/>
        <v>01-02</v>
      </c>
      <c r="B335" s="241" t="str">
        <f t="shared" si="41"/>
        <v>01</v>
      </c>
      <c r="C335" s="241" t="str">
        <f t="shared" si="42"/>
        <v>02</v>
      </c>
      <c r="D335" s="235" t="str">
        <f t="shared" si="43"/>
        <v>01-</v>
      </c>
      <c r="E335" s="241" t="s">
        <v>1250</v>
      </c>
      <c r="F335" s="241" t="str">
        <f t="shared" si="44"/>
        <v>-060-000</v>
      </c>
      <c r="G335" s="235" t="str">
        <f>CONCATENATE(D335,E335,F335)</f>
        <v>01-0x-060-000</v>
      </c>
      <c r="H335" s="241" t="s">
        <v>1171</v>
      </c>
      <c r="I335" s="435" t="s">
        <v>1172</v>
      </c>
      <c r="J335" s="438">
        <f>VLOOKUP(H335,'Full Trial Balance'!$A$4:$G$2306,3,FALSE)</f>
        <v>0</v>
      </c>
      <c r="K335" s="438">
        <f>VLOOKUP(H335,'Full Trial Balance'!$A$4:$G$2306,4,FALSE)</f>
        <v>0</v>
      </c>
      <c r="L335" s="438">
        <f>VLOOKUP(H335,'Full Trial Balance'!$A$4:$G$2306,5,FALSE)</f>
        <v>0</v>
      </c>
      <c r="M335" s="438">
        <f>VLOOKUP(H335,'Full Trial Balance'!$A$4:$G$2306,6,FALSE)</f>
        <v>0</v>
      </c>
      <c r="N335" s="438">
        <f>VLOOKUP(H335,'Full Trial Balance'!$A$4:$G$2306,7,FALSE)</f>
        <v>0</v>
      </c>
      <c r="O335" s="485">
        <f t="shared" si="45"/>
        <v>0</v>
      </c>
    </row>
    <row r="336" spans="1:15" x14ac:dyDescent="0.25">
      <c r="A336" s="241" t="str">
        <f t="shared" si="40"/>
        <v>01-02</v>
      </c>
      <c r="B336" s="241" t="str">
        <f t="shared" si="41"/>
        <v>01</v>
      </c>
      <c r="C336" s="241" t="str">
        <f t="shared" si="42"/>
        <v>02</v>
      </c>
      <c r="D336" s="235" t="str">
        <f t="shared" si="43"/>
        <v>01-</v>
      </c>
      <c r="E336" s="241" t="s">
        <v>1250</v>
      </c>
      <c r="F336" s="241" t="str">
        <f t="shared" si="44"/>
        <v>-068-000</v>
      </c>
      <c r="G336" s="256" t="s">
        <v>1252</v>
      </c>
      <c r="H336" s="241" t="s">
        <v>239</v>
      </c>
      <c r="I336" s="435" t="s">
        <v>55</v>
      </c>
      <c r="J336" s="438">
        <f>VLOOKUP(H336,'Full Trial Balance'!$A$4:$G$2306,3,FALSE)</f>
        <v>17400</v>
      </c>
      <c r="K336" s="438">
        <f>VLOOKUP(H336,'Full Trial Balance'!$A$4:$G$2306,4,FALSE)</f>
        <v>0</v>
      </c>
      <c r="L336" s="438">
        <f>VLOOKUP(H336,'Full Trial Balance'!$A$4:$G$2306,5,FALSE)</f>
        <v>7200.1</v>
      </c>
      <c r="M336" s="438">
        <f>VLOOKUP(H336,'Full Trial Balance'!$A$4:$G$2306,6,FALSE)</f>
        <v>240.11</v>
      </c>
      <c r="N336" s="438">
        <f>VLOOKUP(H336,'Full Trial Balance'!$A$4:$G$2306,7,FALSE)</f>
        <v>6959.99</v>
      </c>
      <c r="O336" s="485">
        <f t="shared" si="45"/>
        <v>-5.6843418860808015E-13</v>
      </c>
    </row>
    <row r="337" spans="1:15" x14ac:dyDescent="0.25">
      <c r="A337" s="241" t="str">
        <f t="shared" si="40"/>
        <v>01-02</v>
      </c>
      <c r="B337" s="241" t="str">
        <f t="shared" si="41"/>
        <v>01</v>
      </c>
      <c r="C337" s="241" t="str">
        <f t="shared" si="42"/>
        <v>02</v>
      </c>
      <c r="D337" s="235" t="str">
        <f t="shared" si="43"/>
        <v>01-</v>
      </c>
      <c r="E337" s="241" t="s">
        <v>1250</v>
      </c>
      <c r="F337" s="241" t="str">
        <f t="shared" si="44"/>
        <v>-070-121</v>
      </c>
      <c r="G337" s="235" t="s">
        <v>1252</v>
      </c>
      <c r="H337" s="241" t="s">
        <v>240</v>
      </c>
      <c r="I337" s="435" t="s">
        <v>102</v>
      </c>
      <c r="J337" s="438">
        <f>VLOOKUP(H337,'Full Trial Balance'!$A$4:$G$2306,3,FALSE)</f>
        <v>1000</v>
      </c>
      <c r="K337" s="438">
        <f>VLOOKUP(H337,'Full Trial Balance'!$A$4:$G$2306,4,FALSE)</f>
        <v>0</v>
      </c>
      <c r="L337" s="438">
        <f>VLOOKUP(H337,'Full Trial Balance'!$A$4:$G$2306,5,FALSE)</f>
        <v>0</v>
      </c>
      <c r="M337" s="438">
        <f>VLOOKUP(H337,'Full Trial Balance'!$A$4:$G$2306,6,FALSE)</f>
        <v>0</v>
      </c>
      <c r="N337" s="438">
        <f>VLOOKUP(H337,'Full Trial Balance'!$A$4:$G$2306,7,FALSE)</f>
        <v>0</v>
      </c>
      <c r="O337" s="485">
        <f t="shared" si="45"/>
        <v>0</v>
      </c>
    </row>
    <row r="338" spans="1:15" x14ac:dyDescent="0.25">
      <c r="A338" s="241" t="str">
        <f t="shared" si="40"/>
        <v>01-02</v>
      </c>
      <c r="B338" s="241" t="str">
        <f t="shared" si="41"/>
        <v>01</v>
      </c>
      <c r="C338" s="241" t="str">
        <f t="shared" si="42"/>
        <v>02</v>
      </c>
      <c r="D338" s="235" t="str">
        <f t="shared" si="43"/>
        <v>01-</v>
      </c>
      <c r="E338" s="241" t="s">
        <v>1250</v>
      </c>
      <c r="F338" s="241" t="str">
        <f t="shared" si="44"/>
        <v>-070-122</v>
      </c>
      <c r="G338" s="235" t="s">
        <v>1251</v>
      </c>
      <c r="H338" s="241" t="s">
        <v>241</v>
      </c>
      <c r="I338" s="435" t="s">
        <v>103</v>
      </c>
      <c r="J338" s="438">
        <f>VLOOKUP(H338,'Full Trial Balance'!$A$4:$G$2306,3,FALSE)</f>
        <v>3000</v>
      </c>
      <c r="K338" s="438">
        <f>VLOOKUP(H338,'Full Trial Balance'!$A$4:$G$2306,4,FALSE)</f>
        <v>0</v>
      </c>
      <c r="L338" s="438">
        <f>VLOOKUP(H338,'Full Trial Balance'!$A$4:$G$2306,5,FALSE)</f>
        <v>0</v>
      </c>
      <c r="M338" s="438">
        <f>VLOOKUP(H338,'Full Trial Balance'!$A$4:$G$2306,6,FALSE)</f>
        <v>0</v>
      </c>
      <c r="N338" s="438">
        <f>VLOOKUP(H338,'Full Trial Balance'!$A$4:$G$2306,7,FALSE)</f>
        <v>0</v>
      </c>
      <c r="O338" s="485">
        <f t="shared" si="45"/>
        <v>0</v>
      </c>
    </row>
    <row r="339" spans="1:15" x14ac:dyDescent="0.25">
      <c r="A339" s="241" t="str">
        <f t="shared" si="40"/>
        <v>01-02</v>
      </c>
      <c r="B339" s="241" t="str">
        <f t="shared" si="41"/>
        <v>01</v>
      </c>
      <c r="C339" s="241" t="str">
        <f t="shared" si="42"/>
        <v>02</v>
      </c>
      <c r="D339" s="235" t="str">
        <f t="shared" si="43"/>
        <v>01-</v>
      </c>
      <c r="E339" s="241" t="s">
        <v>1250</v>
      </c>
      <c r="F339" s="241" t="str">
        <f t="shared" si="44"/>
        <v>-071-000</v>
      </c>
      <c r="G339" s="489" t="s">
        <v>1252</v>
      </c>
      <c r="H339" s="241" t="s">
        <v>242</v>
      </c>
      <c r="I339" s="435" t="s">
        <v>104</v>
      </c>
      <c r="J339" s="438">
        <f>VLOOKUP(H339,'Full Trial Balance'!$A$4:$G$2306,3,FALSE)</f>
        <v>21750</v>
      </c>
      <c r="K339" s="438">
        <f>VLOOKUP(H339,'Full Trial Balance'!$A$4:$G$2306,4,FALSE)</f>
        <v>0</v>
      </c>
      <c r="L339" s="438">
        <f>VLOOKUP(H339,'Full Trial Balance'!$A$4:$G$2306,5,FALSE)</f>
        <v>0</v>
      </c>
      <c r="M339" s="438">
        <f>VLOOKUP(H339,'Full Trial Balance'!$A$4:$G$2306,6,FALSE)</f>
        <v>0</v>
      </c>
      <c r="N339" s="438">
        <f>VLOOKUP(H339,'Full Trial Balance'!$A$4:$G$2306,7,FALSE)</f>
        <v>0</v>
      </c>
      <c r="O339" s="485">
        <f t="shared" si="45"/>
        <v>0</v>
      </c>
    </row>
    <row r="340" spans="1:15" x14ac:dyDescent="0.25">
      <c r="A340" s="241" t="str">
        <f t="shared" si="40"/>
        <v>02-02</v>
      </c>
      <c r="B340" s="241" t="str">
        <f t="shared" si="41"/>
        <v>02</v>
      </c>
      <c r="C340" s="241" t="str">
        <f t="shared" si="42"/>
        <v>02</v>
      </c>
      <c r="D340" s="235" t="str">
        <f t="shared" si="43"/>
        <v>02-</v>
      </c>
      <c r="E340" s="241" t="s">
        <v>1250</v>
      </c>
      <c r="F340" s="241" t="str">
        <f t="shared" si="44"/>
        <v>-010-000</v>
      </c>
      <c r="G340" s="235" t="str">
        <f t="shared" ref="G340:G355" si="46">CONCATENATE(D340,E340,F340)</f>
        <v>02-0x-010-000</v>
      </c>
      <c r="H340" s="241" t="s">
        <v>243</v>
      </c>
      <c r="I340" s="435" t="s">
        <v>76</v>
      </c>
      <c r="J340" s="438">
        <f>VLOOKUP(H340,'Full Trial Balance'!$A$4:$G$2306,3,FALSE)</f>
        <v>164344.04</v>
      </c>
      <c r="K340" s="438">
        <f>VLOOKUP(H340,'Full Trial Balance'!$A$4:$G$2306,4,FALSE)</f>
        <v>0</v>
      </c>
      <c r="L340" s="438">
        <f>VLOOKUP(H340,'Full Trial Balance'!$A$4:$G$2306,5,FALSE)</f>
        <v>71628.94</v>
      </c>
      <c r="M340" s="438">
        <f>VLOOKUP(H340,'Full Trial Balance'!$A$4:$G$2306,6,FALSE)</f>
        <v>2594.2199999999998</v>
      </c>
      <c r="N340" s="438">
        <f>VLOOKUP(H340,'Full Trial Balance'!$A$4:$G$2306,7,FALSE)</f>
        <v>69034.720000000001</v>
      </c>
      <c r="O340" s="485">
        <f t="shared" si="45"/>
        <v>0</v>
      </c>
    </row>
    <row r="341" spans="1:15" x14ac:dyDescent="0.25">
      <c r="A341" s="241" t="str">
        <f t="shared" si="40"/>
        <v>02-02</v>
      </c>
      <c r="B341" s="241" t="str">
        <f t="shared" si="41"/>
        <v>02</v>
      </c>
      <c r="C341" s="241" t="str">
        <f t="shared" si="42"/>
        <v>02</v>
      </c>
      <c r="D341" s="235" t="str">
        <f t="shared" si="43"/>
        <v>02-</v>
      </c>
      <c r="E341" s="241" t="s">
        <v>1250</v>
      </c>
      <c r="F341" s="241" t="str">
        <f t="shared" si="44"/>
        <v>-010-005</v>
      </c>
      <c r="G341" s="235" t="str">
        <f t="shared" si="46"/>
        <v>02-0x-010-005</v>
      </c>
      <c r="H341" s="241" t="s">
        <v>1102</v>
      </c>
      <c r="I341" s="435" t="s">
        <v>667</v>
      </c>
      <c r="J341" s="438">
        <f>VLOOKUP(H341,'Full Trial Balance'!$A$4:$G$2306,3,FALSE)</f>
        <v>0</v>
      </c>
      <c r="K341" s="438">
        <f>VLOOKUP(H341,'Full Trial Balance'!$A$4:$G$2306,4,FALSE)</f>
        <v>0</v>
      </c>
      <c r="L341" s="438">
        <f>VLOOKUP(H341,'Full Trial Balance'!$A$4:$G$2306,5,FALSE)</f>
        <v>0</v>
      </c>
      <c r="M341" s="438">
        <f>VLOOKUP(H341,'Full Trial Balance'!$A$4:$G$2306,6,FALSE)</f>
        <v>0</v>
      </c>
      <c r="N341" s="438">
        <f>VLOOKUP(H341,'Full Trial Balance'!$A$4:$G$2306,7,FALSE)</f>
        <v>0</v>
      </c>
      <c r="O341" s="485">
        <f t="shared" si="45"/>
        <v>0</v>
      </c>
    </row>
    <row r="342" spans="1:15" x14ac:dyDescent="0.25">
      <c r="A342" s="241" t="str">
        <f t="shared" si="40"/>
        <v>02-02</v>
      </c>
      <c r="B342" s="241" t="str">
        <f t="shared" si="41"/>
        <v>02</v>
      </c>
      <c r="C342" s="241" t="str">
        <f t="shared" si="42"/>
        <v>02</v>
      </c>
      <c r="D342" s="235" t="str">
        <f t="shared" si="43"/>
        <v>02-</v>
      </c>
      <c r="E342" s="241" t="s">
        <v>1250</v>
      </c>
      <c r="F342" s="241" t="str">
        <f t="shared" si="44"/>
        <v>-015-000</v>
      </c>
      <c r="G342" s="235" t="str">
        <f t="shared" si="46"/>
        <v>02-0x-015-000</v>
      </c>
      <c r="H342" s="241" t="s">
        <v>244</v>
      </c>
      <c r="I342" s="435" t="s">
        <v>37</v>
      </c>
      <c r="J342" s="438">
        <f>VLOOKUP(H342,'Full Trial Balance'!$A$4:$G$2306,3,FALSE)</f>
        <v>5159.28</v>
      </c>
      <c r="K342" s="438">
        <f>VLOOKUP(H342,'Full Trial Balance'!$A$4:$G$2306,4,FALSE)</f>
        <v>0</v>
      </c>
      <c r="L342" s="438">
        <f>VLOOKUP(H342,'Full Trial Balance'!$A$4:$G$2306,5,FALSE)</f>
        <v>190.13</v>
      </c>
      <c r="M342" s="438">
        <f>VLOOKUP(H342,'Full Trial Balance'!$A$4:$G$2306,6,FALSE)</f>
        <v>0</v>
      </c>
      <c r="N342" s="438">
        <f>VLOOKUP(H342,'Full Trial Balance'!$A$4:$G$2306,7,FALSE)</f>
        <v>190.13</v>
      </c>
      <c r="O342" s="485">
        <f t="shared" si="45"/>
        <v>0</v>
      </c>
    </row>
    <row r="343" spans="1:15" x14ac:dyDescent="0.25">
      <c r="A343" s="241" t="str">
        <f t="shared" si="40"/>
        <v>02-02</v>
      </c>
      <c r="B343" s="241" t="str">
        <f t="shared" si="41"/>
        <v>02</v>
      </c>
      <c r="C343" s="241" t="str">
        <f t="shared" si="42"/>
        <v>02</v>
      </c>
      <c r="D343" s="235" t="str">
        <f t="shared" si="43"/>
        <v>02-</v>
      </c>
      <c r="E343" s="241" t="s">
        <v>1250</v>
      </c>
      <c r="F343" s="241" t="str">
        <f t="shared" si="44"/>
        <v>-016-000</v>
      </c>
      <c r="G343" s="235" t="str">
        <f t="shared" si="46"/>
        <v>02-0x-016-000</v>
      </c>
      <c r="H343" s="241" t="s">
        <v>245</v>
      </c>
      <c r="I343" s="435" t="s">
        <v>1076</v>
      </c>
      <c r="J343" s="438">
        <f>VLOOKUP(H343,'Full Trial Balance'!$A$4:$G$2306,3,FALSE)</f>
        <v>4076.8</v>
      </c>
      <c r="K343" s="438">
        <f>VLOOKUP(H343,'Full Trial Balance'!$A$4:$G$2306,4,FALSE)</f>
        <v>0</v>
      </c>
      <c r="L343" s="438">
        <f>VLOOKUP(H343,'Full Trial Balance'!$A$4:$G$2306,5,FALSE)</f>
        <v>3640</v>
      </c>
      <c r="M343" s="438">
        <f>VLOOKUP(H343,'Full Trial Balance'!$A$4:$G$2306,6,FALSE)</f>
        <v>280</v>
      </c>
      <c r="N343" s="438">
        <f>VLOOKUP(H343,'Full Trial Balance'!$A$4:$G$2306,7,FALSE)</f>
        <v>3360</v>
      </c>
      <c r="O343" s="485">
        <f t="shared" si="45"/>
        <v>0</v>
      </c>
    </row>
    <row r="344" spans="1:15" x14ac:dyDescent="0.25">
      <c r="A344" s="241" t="str">
        <f t="shared" si="40"/>
        <v>02-02</v>
      </c>
      <c r="B344" s="241" t="str">
        <f t="shared" si="41"/>
        <v>02</v>
      </c>
      <c r="C344" s="241" t="str">
        <f t="shared" si="42"/>
        <v>02</v>
      </c>
      <c r="D344" s="235" t="str">
        <f t="shared" si="43"/>
        <v>02-</v>
      </c>
      <c r="E344" s="241" t="s">
        <v>1250</v>
      </c>
      <c r="F344" s="241" t="str">
        <f t="shared" si="44"/>
        <v>-020-202</v>
      </c>
      <c r="G344" s="235" t="str">
        <f t="shared" si="46"/>
        <v>02-0x-020-202</v>
      </c>
      <c r="H344" s="241" t="s">
        <v>246</v>
      </c>
      <c r="I344" s="435" t="s">
        <v>153</v>
      </c>
      <c r="J344" s="438">
        <f>VLOOKUP(H344,'Full Trial Balance'!$A$4:$G$2306,3,FALSE)</f>
        <v>10761.94</v>
      </c>
      <c r="K344" s="438">
        <f>VLOOKUP(H344,'Full Trial Balance'!$A$4:$G$2306,4,FALSE)</f>
        <v>0</v>
      </c>
      <c r="L344" s="438">
        <f>VLOOKUP(H344,'Full Trial Balance'!$A$4:$G$2306,5,FALSE)</f>
        <v>4505.7</v>
      </c>
      <c r="M344" s="438">
        <f>VLOOKUP(H344,'Full Trial Balance'!$A$4:$G$2306,6,FALSE)</f>
        <v>163.96</v>
      </c>
      <c r="N344" s="438">
        <f>VLOOKUP(H344,'Full Trial Balance'!$A$4:$G$2306,7,FALSE)</f>
        <v>4341.74</v>
      </c>
      <c r="O344" s="485">
        <f t="shared" si="45"/>
        <v>0</v>
      </c>
    </row>
    <row r="345" spans="1:15" x14ac:dyDescent="0.25">
      <c r="A345" s="241" t="str">
        <f t="shared" si="40"/>
        <v>02-02</v>
      </c>
      <c r="B345" s="241" t="str">
        <f t="shared" si="41"/>
        <v>02</v>
      </c>
      <c r="C345" s="241" t="str">
        <f t="shared" si="42"/>
        <v>02</v>
      </c>
      <c r="D345" s="235" t="str">
        <f t="shared" si="43"/>
        <v>02-</v>
      </c>
      <c r="E345" s="241" t="s">
        <v>1250</v>
      </c>
      <c r="F345" s="241" t="str">
        <f t="shared" si="44"/>
        <v>-020-203</v>
      </c>
      <c r="G345" s="235" t="str">
        <f t="shared" si="46"/>
        <v>02-0x-020-203</v>
      </c>
      <c r="H345" s="241" t="s">
        <v>247</v>
      </c>
      <c r="I345" s="435" t="s">
        <v>154</v>
      </c>
      <c r="J345" s="438">
        <f>VLOOKUP(H345,'Full Trial Balance'!$A$4:$G$2306,3,FALSE)</f>
        <v>2516.92</v>
      </c>
      <c r="K345" s="438">
        <f>VLOOKUP(H345,'Full Trial Balance'!$A$4:$G$2306,4,FALSE)</f>
        <v>0</v>
      </c>
      <c r="L345" s="438">
        <f>VLOOKUP(H345,'Full Trial Balance'!$A$4:$G$2306,5,FALSE)</f>
        <v>1075.54</v>
      </c>
      <c r="M345" s="438">
        <f>VLOOKUP(H345,'Full Trial Balance'!$A$4:$G$2306,6,FALSE)</f>
        <v>38.33</v>
      </c>
      <c r="N345" s="438">
        <f>VLOOKUP(H345,'Full Trial Balance'!$A$4:$G$2306,7,FALSE)</f>
        <v>1037.21</v>
      </c>
      <c r="O345" s="485">
        <f t="shared" si="45"/>
        <v>7.1054273576010019E-14</v>
      </c>
    </row>
    <row r="346" spans="1:15" x14ac:dyDescent="0.25">
      <c r="A346" s="241" t="str">
        <f t="shared" si="40"/>
        <v>02-02</v>
      </c>
      <c r="B346" s="241" t="str">
        <f t="shared" si="41"/>
        <v>02</v>
      </c>
      <c r="C346" s="241" t="str">
        <f t="shared" si="42"/>
        <v>02</v>
      </c>
      <c r="D346" s="235" t="str">
        <f t="shared" si="43"/>
        <v>02-</v>
      </c>
      <c r="E346" s="241" t="s">
        <v>1250</v>
      </c>
      <c r="F346" s="241" t="str">
        <f t="shared" si="44"/>
        <v>-020-204</v>
      </c>
      <c r="G346" s="235" t="str">
        <f t="shared" si="46"/>
        <v>02-0x-020-204</v>
      </c>
      <c r="H346" s="241" t="s">
        <v>248</v>
      </c>
      <c r="I346" s="435" t="s">
        <v>38</v>
      </c>
      <c r="J346" s="438">
        <f>VLOOKUP(H346,'Full Trial Balance'!$A$4:$G$2306,3,FALSE)</f>
        <v>47837.86</v>
      </c>
      <c r="K346" s="438">
        <f>VLOOKUP(H346,'Full Trial Balance'!$A$4:$G$2306,4,FALSE)</f>
        <v>0</v>
      </c>
      <c r="L346" s="438">
        <f>VLOOKUP(H346,'Full Trial Balance'!$A$4:$G$2306,5,FALSE)</f>
        <v>17953.88</v>
      </c>
      <c r="M346" s="438">
        <f>VLOOKUP(H346,'Full Trial Balance'!$A$4:$G$2306,6,FALSE)</f>
        <v>0</v>
      </c>
      <c r="N346" s="438">
        <f>VLOOKUP(H346,'Full Trial Balance'!$A$4:$G$2306,7,FALSE)</f>
        <v>17953.88</v>
      </c>
      <c r="O346" s="485">
        <f t="shared" si="45"/>
        <v>0</v>
      </c>
    </row>
    <row r="347" spans="1:15" x14ac:dyDescent="0.25">
      <c r="A347" s="241" t="str">
        <f t="shared" si="40"/>
        <v>02-02</v>
      </c>
      <c r="B347" s="241" t="str">
        <f t="shared" si="41"/>
        <v>02</v>
      </c>
      <c r="C347" s="241" t="str">
        <f t="shared" si="42"/>
        <v>02</v>
      </c>
      <c r="D347" s="235" t="str">
        <f t="shared" si="43"/>
        <v>02-</v>
      </c>
      <c r="E347" s="241" t="s">
        <v>1250</v>
      </c>
      <c r="F347" s="241" t="str">
        <f t="shared" si="44"/>
        <v>-020-205</v>
      </c>
      <c r="G347" s="235" t="str">
        <f t="shared" si="46"/>
        <v>02-0x-020-205</v>
      </c>
      <c r="H347" s="241" t="s">
        <v>249</v>
      </c>
      <c r="I347" s="435" t="s">
        <v>77</v>
      </c>
      <c r="J347" s="438">
        <f>VLOOKUP(H347,'Full Trial Balance'!$A$4:$G$2306,3,FALSE)</f>
        <v>2734.2</v>
      </c>
      <c r="K347" s="438">
        <f>VLOOKUP(H347,'Full Trial Balance'!$A$4:$G$2306,4,FALSE)</f>
        <v>0</v>
      </c>
      <c r="L347" s="438">
        <f>VLOOKUP(H347,'Full Trial Balance'!$A$4:$G$2306,5,FALSE)</f>
        <v>1013.6</v>
      </c>
      <c r="M347" s="438">
        <f>VLOOKUP(H347,'Full Trial Balance'!$A$4:$G$2306,6,FALSE)</f>
        <v>0</v>
      </c>
      <c r="N347" s="438">
        <f>VLOOKUP(H347,'Full Trial Balance'!$A$4:$G$2306,7,FALSE)</f>
        <v>1013.6</v>
      </c>
      <c r="O347" s="485">
        <f t="shared" si="45"/>
        <v>0</v>
      </c>
    </row>
    <row r="348" spans="1:15" x14ac:dyDescent="0.25">
      <c r="A348" s="241" t="str">
        <f t="shared" si="40"/>
        <v>02-02</v>
      </c>
      <c r="B348" s="241" t="str">
        <f t="shared" si="41"/>
        <v>02</v>
      </c>
      <c r="C348" s="241" t="str">
        <f t="shared" si="42"/>
        <v>02</v>
      </c>
      <c r="D348" s="235" t="str">
        <f t="shared" si="43"/>
        <v>02-</v>
      </c>
      <c r="E348" s="241" t="s">
        <v>1250</v>
      </c>
      <c r="F348" s="241" t="str">
        <f t="shared" si="44"/>
        <v>-020-206</v>
      </c>
      <c r="G348" s="235" t="str">
        <f t="shared" si="46"/>
        <v>02-0x-020-206</v>
      </c>
      <c r="H348" s="241" t="s">
        <v>250</v>
      </c>
      <c r="I348" s="435" t="s">
        <v>78</v>
      </c>
      <c r="J348" s="438">
        <f>VLOOKUP(H348,'Full Trial Balance'!$A$4:$G$2306,3,FALSE)</f>
        <v>482.86</v>
      </c>
      <c r="K348" s="438">
        <f>VLOOKUP(H348,'Full Trial Balance'!$A$4:$G$2306,4,FALSE)</f>
        <v>0</v>
      </c>
      <c r="L348" s="438">
        <f>VLOOKUP(H348,'Full Trial Balance'!$A$4:$G$2306,5,FALSE)</f>
        <v>204.64</v>
      </c>
      <c r="M348" s="438">
        <f>VLOOKUP(H348,'Full Trial Balance'!$A$4:$G$2306,6,FALSE)</f>
        <v>0</v>
      </c>
      <c r="N348" s="438">
        <f>VLOOKUP(H348,'Full Trial Balance'!$A$4:$G$2306,7,FALSE)</f>
        <v>204.64</v>
      </c>
      <c r="O348" s="485">
        <f t="shared" si="45"/>
        <v>0</v>
      </c>
    </row>
    <row r="349" spans="1:15" x14ac:dyDescent="0.25">
      <c r="A349" s="241" t="str">
        <f t="shared" si="40"/>
        <v>02-02</v>
      </c>
      <c r="B349" s="241" t="str">
        <f t="shared" si="41"/>
        <v>02</v>
      </c>
      <c r="C349" s="241" t="str">
        <f t="shared" si="42"/>
        <v>02</v>
      </c>
      <c r="D349" s="235" t="str">
        <f t="shared" si="43"/>
        <v>02-</v>
      </c>
      <c r="E349" s="241" t="s">
        <v>1250</v>
      </c>
      <c r="F349" s="241" t="str">
        <f t="shared" si="44"/>
        <v>-020-208</v>
      </c>
      <c r="G349" s="235" t="str">
        <f t="shared" si="46"/>
        <v>02-0x-020-208</v>
      </c>
      <c r="H349" s="241" t="s">
        <v>251</v>
      </c>
      <c r="I349" s="435" t="s">
        <v>893</v>
      </c>
      <c r="J349" s="438">
        <f>VLOOKUP(H349,'Full Trial Balance'!$A$4:$G$2306,3,FALSE)</f>
        <v>6701.8</v>
      </c>
      <c r="K349" s="438">
        <f>VLOOKUP(H349,'Full Trial Balance'!$A$4:$G$2306,4,FALSE)</f>
        <v>0</v>
      </c>
      <c r="L349" s="438">
        <f>VLOOKUP(H349,'Full Trial Balance'!$A$4:$G$2306,5,FALSE)</f>
        <v>2943.39</v>
      </c>
      <c r="M349" s="438">
        <f>VLOOKUP(H349,'Full Trial Balance'!$A$4:$G$2306,6,FALSE)</f>
        <v>151.29</v>
      </c>
      <c r="N349" s="438">
        <f>VLOOKUP(H349,'Full Trial Balance'!$A$4:$G$2306,7,FALSE)</f>
        <v>2792.1</v>
      </c>
      <c r="O349" s="485">
        <f t="shared" si="45"/>
        <v>0</v>
      </c>
    </row>
    <row r="350" spans="1:15" x14ac:dyDescent="0.25">
      <c r="A350" s="241" t="str">
        <f t="shared" si="40"/>
        <v>02-02</v>
      </c>
      <c r="B350" s="241" t="str">
        <f t="shared" si="41"/>
        <v>02</v>
      </c>
      <c r="C350" s="241" t="str">
        <f t="shared" si="42"/>
        <v>02</v>
      </c>
      <c r="D350" s="235" t="str">
        <f t="shared" si="43"/>
        <v>02-</v>
      </c>
      <c r="E350" s="241" t="s">
        <v>1250</v>
      </c>
      <c r="F350" s="241" t="str">
        <f t="shared" si="44"/>
        <v>-020-209</v>
      </c>
      <c r="G350" s="489" t="str">
        <f t="shared" si="46"/>
        <v>02-0x-020-209</v>
      </c>
      <c r="H350" s="241" t="s">
        <v>252</v>
      </c>
      <c r="I350" s="435" t="s">
        <v>39</v>
      </c>
      <c r="J350" s="438">
        <f>VLOOKUP(H350,'Full Trial Balance'!$A$4:$G$2306,3,FALSE)</f>
        <v>650.86</v>
      </c>
      <c r="K350" s="438">
        <f>VLOOKUP(H350,'Full Trial Balance'!$A$4:$G$2306,4,FALSE)</f>
        <v>0</v>
      </c>
      <c r="L350" s="438">
        <f>VLOOKUP(H350,'Full Trial Balance'!$A$4:$G$2306,5,FALSE)</f>
        <v>248.99</v>
      </c>
      <c r="M350" s="438">
        <f>VLOOKUP(H350,'Full Trial Balance'!$A$4:$G$2306,6,FALSE)</f>
        <v>69.709999999999994</v>
      </c>
      <c r="N350" s="438">
        <f>VLOOKUP(H350,'Full Trial Balance'!$A$4:$G$2306,7,FALSE)</f>
        <v>179.28</v>
      </c>
      <c r="O350" s="485">
        <f t="shared" si="45"/>
        <v>0</v>
      </c>
    </row>
    <row r="351" spans="1:15" x14ac:dyDescent="0.25">
      <c r="A351" s="241" t="str">
        <f t="shared" si="40"/>
        <v>02-02</v>
      </c>
      <c r="B351" s="241" t="str">
        <f t="shared" si="41"/>
        <v>02</v>
      </c>
      <c r="C351" s="241" t="str">
        <f t="shared" si="42"/>
        <v>02</v>
      </c>
      <c r="D351" s="235" t="str">
        <f t="shared" si="43"/>
        <v>02-</v>
      </c>
      <c r="E351" s="241" t="s">
        <v>1250</v>
      </c>
      <c r="F351" s="241" t="str">
        <f t="shared" si="44"/>
        <v>-020-210</v>
      </c>
      <c r="G351" s="235" t="str">
        <f t="shared" si="46"/>
        <v>02-0x-020-210</v>
      </c>
      <c r="H351" s="241" t="s">
        <v>253</v>
      </c>
      <c r="I351" s="435" t="s">
        <v>64</v>
      </c>
      <c r="J351" s="438">
        <f>VLOOKUP(H351,'Full Trial Balance'!$A$4:$G$2306,3,FALSE)</f>
        <v>952</v>
      </c>
      <c r="K351" s="438">
        <f>VLOOKUP(H351,'Full Trial Balance'!$A$4:$G$2306,4,FALSE)</f>
        <v>0</v>
      </c>
      <c r="L351" s="438">
        <f>VLOOKUP(H351,'Full Trial Balance'!$A$4:$G$2306,5,FALSE)</f>
        <v>263.43</v>
      </c>
      <c r="M351" s="438">
        <f>VLOOKUP(H351,'Full Trial Balance'!$A$4:$G$2306,6,FALSE)</f>
        <v>0</v>
      </c>
      <c r="N351" s="438">
        <f>VLOOKUP(H351,'Full Trial Balance'!$A$4:$G$2306,7,FALSE)</f>
        <v>263.43</v>
      </c>
      <c r="O351" s="485">
        <f t="shared" si="45"/>
        <v>0</v>
      </c>
    </row>
    <row r="352" spans="1:15" x14ac:dyDescent="0.25">
      <c r="A352" s="241" t="str">
        <f t="shared" si="40"/>
        <v>02-02</v>
      </c>
      <c r="B352" s="241" t="str">
        <f t="shared" si="41"/>
        <v>02</v>
      </c>
      <c r="C352" s="241" t="str">
        <f t="shared" si="42"/>
        <v>02</v>
      </c>
      <c r="D352" s="235" t="str">
        <f t="shared" si="43"/>
        <v>02-</v>
      </c>
      <c r="E352" s="241" t="s">
        <v>1250</v>
      </c>
      <c r="F352" s="241" t="str">
        <f t="shared" si="44"/>
        <v>-020-211</v>
      </c>
      <c r="G352" s="235" t="str">
        <f t="shared" si="46"/>
        <v>02-0x-020-211</v>
      </c>
      <c r="H352" s="241" t="s">
        <v>254</v>
      </c>
      <c r="I352" s="435" t="s">
        <v>65</v>
      </c>
      <c r="J352" s="438">
        <f>VLOOKUP(H352,'Full Trial Balance'!$A$4:$G$2306,3,FALSE)</f>
        <v>476</v>
      </c>
      <c r="K352" s="438">
        <f>VLOOKUP(H352,'Full Trial Balance'!$A$4:$G$2306,4,FALSE)</f>
        <v>0</v>
      </c>
      <c r="L352" s="438">
        <f>VLOOKUP(H352,'Full Trial Balance'!$A$4:$G$2306,5,FALSE)</f>
        <v>69.680000000000007</v>
      </c>
      <c r="M352" s="438">
        <f>VLOOKUP(H352,'Full Trial Balance'!$A$4:$G$2306,6,FALSE)</f>
        <v>0</v>
      </c>
      <c r="N352" s="438">
        <f>VLOOKUP(H352,'Full Trial Balance'!$A$4:$G$2306,7,FALSE)</f>
        <v>69.680000000000007</v>
      </c>
      <c r="O352" s="485">
        <f t="shared" si="45"/>
        <v>0</v>
      </c>
    </row>
    <row r="353" spans="1:15" x14ac:dyDescent="0.25">
      <c r="A353" s="241" t="str">
        <f t="shared" si="40"/>
        <v>02-02</v>
      </c>
      <c r="B353" s="241" t="str">
        <f t="shared" si="41"/>
        <v>02</v>
      </c>
      <c r="C353" s="241" t="str">
        <f t="shared" si="42"/>
        <v>02</v>
      </c>
      <c r="D353" s="235" t="str">
        <f t="shared" si="43"/>
        <v>02-</v>
      </c>
      <c r="E353" s="241" t="s">
        <v>1250</v>
      </c>
      <c r="F353" s="241" t="str">
        <f t="shared" si="44"/>
        <v>-020-212</v>
      </c>
      <c r="G353" s="235" t="str">
        <f t="shared" si="46"/>
        <v>02-0x-020-212</v>
      </c>
      <c r="H353" s="241" t="s">
        <v>255</v>
      </c>
      <c r="I353" s="435" t="s">
        <v>40</v>
      </c>
      <c r="J353" s="438">
        <f>VLOOKUP(H353,'Full Trial Balance'!$A$4:$G$2306,3,FALSE)</f>
        <v>736.54</v>
      </c>
      <c r="K353" s="438">
        <f>VLOOKUP(H353,'Full Trial Balance'!$A$4:$G$2306,4,FALSE)</f>
        <v>0</v>
      </c>
      <c r="L353" s="438">
        <f>VLOOKUP(H353,'Full Trial Balance'!$A$4:$G$2306,5,FALSE)</f>
        <v>1.92</v>
      </c>
      <c r="M353" s="438">
        <f>VLOOKUP(H353,'Full Trial Balance'!$A$4:$G$2306,6,FALSE)</f>
        <v>0</v>
      </c>
      <c r="N353" s="438">
        <f>VLOOKUP(H353,'Full Trial Balance'!$A$4:$G$2306,7,FALSE)</f>
        <v>1.92</v>
      </c>
      <c r="O353" s="485">
        <f t="shared" si="45"/>
        <v>0</v>
      </c>
    </row>
    <row r="354" spans="1:15" x14ac:dyDescent="0.25">
      <c r="A354" s="241" t="str">
        <f t="shared" si="40"/>
        <v>02-02</v>
      </c>
      <c r="B354" s="241" t="str">
        <f t="shared" si="41"/>
        <v>02</v>
      </c>
      <c r="C354" s="241" t="str">
        <f t="shared" si="42"/>
        <v>02</v>
      </c>
      <c r="D354" s="235" t="str">
        <f t="shared" si="43"/>
        <v>02-</v>
      </c>
      <c r="E354" s="241" t="s">
        <v>1250</v>
      </c>
      <c r="F354" s="241" t="str">
        <f t="shared" si="44"/>
        <v>-020-213</v>
      </c>
      <c r="G354" s="235" t="str">
        <f t="shared" si="46"/>
        <v>02-0x-020-213</v>
      </c>
      <c r="H354" s="241" t="s">
        <v>256</v>
      </c>
      <c r="I354" s="435" t="s">
        <v>41</v>
      </c>
      <c r="J354" s="438">
        <f>VLOOKUP(H354,'Full Trial Balance'!$A$4:$G$2306,3,FALSE)</f>
        <v>16.38</v>
      </c>
      <c r="K354" s="438">
        <f>VLOOKUP(H354,'Full Trial Balance'!$A$4:$G$2306,4,FALSE)</f>
        <v>0</v>
      </c>
      <c r="L354" s="438">
        <f>VLOOKUP(H354,'Full Trial Balance'!$A$4:$G$2306,5,FALSE)</f>
        <v>0</v>
      </c>
      <c r="M354" s="438">
        <f>VLOOKUP(H354,'Full Trial Balance'!$A$4:$G$2306,6,FALSE)</f>
        <v>0</v>
      </c>
      <c r="N354" s="438">
        <f>VLOOKUP(H354,'Full Trial Balance'!$A$4:$G$2306,7,FALSE)</f>
        <v>0</v>
      </c>
      <c r="O354" s="485">
        <f t="shared" si="45"/>
        <v>0</v>
      </c>
    </row>
    <row r="355" spans="1:15" x14ac:dyDescent="0.25">
      <c r="A355" s="241" t="str">
        <f t="shared" si="40"/>
        <v>02-02</v>
      </c>
      <c r="B355" s="241" t="str">
        <f t="shared" si="41"/>
        <v>02</v>
      </c>
      <c r="C355" s="241" t="str">
        <f t="shared" si="42"/>
        <v>02</v>
      </c>
      <c r="D355" s="235" t="str">
        <f t="shared" si="43"/>
        <v>02-</v>
      </c>
      <c r="E355" s="241" t="s">
        <v>1250</v>
      </c>
      <c r="F355" s="241" t="str">
        <f t="shared" si="44"/>
        <v>-020-215</v>
      </c>
      <c r="G355" s="235" t="str">
        <f t="shared" si="46"/>
        <v>02-0x-020-215</v>
      </c>
      <c r="H355" s="241" t="s">
        <v>257</v>
      </c>
      <c r="I355" s="435" t="s">
        <v>42</v>
      </c>
      <c r="J355" s="438">
        <f>VLOOKUP(H355,'Full Trial Balance'!$A$4:$G$2306,3,FALSE)</f>
        <v>511.56</v>
      </c>
      <c r="K355" s="438">
        <f>VLOOKUP(H355,'Full Trial Balance'!$A$4:$G$2306,4,FALSE)</f>
        <v>0</v>
      </c>
      <c r="L355" s="438">
        <f>VLOOKUP(H355,'Full Trial Balance'!$A$4:$G$2306,5,FALSE)</f>
        <v>132.44999999999999</v>
      </c>
      <c r="M355" s="438">
        <f>VLOOKUP(H355,'Full Trial Balance'!$A$4:$G$2306,6,FALSE)</f>
        <v>7.11</v>
      </c>
      <c r="N355" s="438">
        <f>VLOOKUP(H355,'Full Trial Balance'!$A$4:$G$2306,7,FALSE)</f>
        <v>125.34</v>
      </c>
      <c r="O355" s="485">
        <f t="shared" si="45"/>
        <v>1.5099033134902129E-14</v>
      </c>
    </row>
    <row r="356" spans="1:15" x14ac:dyDescent="0.25">
      <c r="A356" s="241" t="str">
        <f t="shared" si="40"/>
        <v>02-02</v>
      </c>
      <c r="B356" s="241" t="str">
        <f t="shared" si="41"/>
        <v>02</v>
      </c>
      <c r="C356" s="241" t="str">
        <f t="shared" si="42"/>
        <v>02</v>
      </c>
      <c r="D356" s="235" t="str">
        <f t="shared" si="43"/>
        <v>02-</v>
      </c>
      <c r="E356" s="241" t="s">
        <v>1250</v>
      </c>
      <c r="F356" s="241" t="str">
        <f t="shared" si="44"/>
        <v>-020-217</v>
      </c>
      <c r="G356" s="489" t="s">
        <v>3435</v>
      </c>
      <c r="H356" s="241" t="s">
        <v>258</v>
      </c>
      <c r="I356" s="435" t="s">
        <v>43</v>
      </c>
      <c r="J356" s="438">
        <f>VLOOKUP(H356,'Full Trial Balance'!$A$4:$G$2306,3,FALSE)</f>
        <v>14900.76</v>
      </c>
      <c r="K356" s="438">
        <f>VLOOKUP(H356,'Full Trial Balance'!$A$4:$G$2306,4,FALSE)</f>
        <v>0</v>
      </c>
      <c r="L356" s="438">
        <f>VLOOKUP(H356,'Full Trial Balance'!$A$4:$G$2306,5,FALSE)</f>
        <v>6168.12</v>
      </c>
      <c r="M356" s="438">
        <f>VLOOKUP(H356,'Full Trial Balance'!$A$4:$G$2306,6,FALSE)</f>
        <v>203.42</v>
      </c>
      <c r="N356" s="438">
        <f>VLOOKUP(H356,'Full Trial Balance'!$A$4:$G$2306,7,FALSE)</f>
        <v>5964.7</v>
      </c>
      <c r="O356" s="485">
        <f t="shared" si="45"/>
        <v>0</v>
      </c>
    </row>
    <row r="357" spans="1:15" x14ac:dyDescent="0.25">
      <c r="A357" s="241" t="str">
        <f t="shared" si="40"/>
        <v>02-02</v>
      </c>
      <c r="B357" s="241" t="str">
        <f t="shared" si="41"/>
        <v>02</v>
      </c>
      <c r="C357" s="241" t="str">
        <f t="shared" si="42"/>
        <v>02</v>
      </c>
      <c r="D357" s="235" t="str">
        <f t="shared" si="43"/>
        <v>02-</v>
      </c>
      <c r="E357" s="241" t="s">
        <v>1250</v>
      </c>
      <c r="F357" s="241" t="str">
        <f t="shared" si="44"/>
        <v>-020-218</v>
      </c>
      <c r="G357" s="489" t="s">
        <v>3436</v>
      </c>
      <c r="H357" s="241" t="s">
        <v>259</v>
      </c>
      <c r="I357" s="435" t="s">
        <v>44</v>
      </c>
      <c r="J357" s="438">
        <f>VLOOKUP(H357,'Full Trial Balance'!$A$4:$G$2306,3,FALSE)</f>
        <v>12309.36</v>
      </c>
      <c r="K357" s="438">
        <f>VLOOKUP(H357,'Full Trial Balance'!$A$4:$G$2306,4,FALSE)</f>
        <v>0</v>
      </c>
      <c r="L357" s="438">
        <f>VLOOKUP(H357,'Full Trial Balance'!$A$4:$G$2306,5,FALSE)</f>
        <v>5119.8</v>
      </c>
      <c r="M357" s="438">
        <f>VLOOKUP(H357,'Full Trial Balance'!$A$4:$G$2306,6,FALSE)</f>
        <v>168.85</v>
      </c>
      <c r="N357" s="438">
        <f>VLOOKUP(H357,'Full Trial Balance'!$A$4:$G$2306,7,FALSE)</f>
        <v>4950.95</v>
      </c>
      <c r="O357" s="485">
        <f t="shared" si="45"/>
        <v>-3.694822225952521E-13</v>
      </c>
    </row>
    <row r="358" spans="1:15" x14ac:dyDescent="0.25">
      <c r="A358" s="241" t="str">
        <f t="shared" si="40"/>
        <v>02-02</v>
      </c>
      <c r="B358" s="241" t="str">
        <f t="shared" si="41"/>
        <v>02</v>
      </c>
      <c r="C358" s="241" t="str">
        <f t="shared" si="42"/>
        <v>02</v>
      </c>
      <c r="D358" s="235" t="str">
        <f t="shared" si="43"/>
        <v>02-</v>
      </c>
      <c r="E358" s="241" t="s">
        <v>1250</v>
      </c>
      <c r="F358" s="241" t="str">
        <f t="shared" si="44"/>
        <v>-020-220</v>
      </c>
      <c r="G358" s="235" t="str">
        <f>CONCATENATE(D358,E358,F358)</f>
        <v>02-0x-020-220</v>
      </c>
      <c r="H358" s="241" t="s">
        <v>260</v>
      </c>
      <c r="I358" s="435" t="s">
        <v>183</v>
      </c>
      <c r="J358" s="438">
        <f>VLOOKUP(H358,'Full Trial Balance'!$A$4:$G$2306,3,FALSE)</f>
        <v>6300</v>
      </c>
      <c r="K358" s="438">
        <f>VLOOKUP(H358,'Full Trial Balance'!$A$4:$G$2306,4,FALSE)</f>
        <v>0</v>
      </c>
      <c r="L358" s="438">
        <f>VLOOKUP(H358,'Full Trial Balance'!$A$4:$G$2306,5,FALSE)</f>
        <v>0</v>
      </c>
      <c r="M358" s="438">
        <f>VLOOKUP(H358,'Full Trial Balance'!$A$4:$G$2306,6,FALSE)</f>
        <v>0</v>
      </c>
      <c r="N358" s="438">
        <f>VLOOKUP(H358,'Full Trial Balance'!$A$4:$G$2306,7,FALSE)</f>
        <v>0</v>
      </c>
      <c r="O358" s="485">
        <f t="shared" si="45"/>
        <v>0</v>
      </c>
    </row>
    <row r="359" spans="1:15" x14ac:dyDescent="0.25">
      <c r="A359" s="241" t="str">
        <f t="shared" si="40"/>
        <v>02-02</v>
      </c>
      <c r="B359" s="241" t="str">
        <f t="shared" si="41"/>
        <v>02</v>
      </c>
      <c r="C359" s="241" t="str">
        <f t="shared" si="42"/>
        <v>02</v>
      </c>
      <c r="D359" s="235" t="str">
        <f t="shared" si="43"/>
        <v>02-</v>
      </c>
      <c r="E359" s="241" t="s">
        <v>1250</v>
      </c>
      <c r="F359" s="241" t="str">
        <f t="shared" si="44"/>
        <v>-033-106</v>
      </c>
      <c r="G359" s="235" t="s">
        <v>1454</v>
      </c>
      <c r="H359" s="241" t="s">
        <v>261</v>
      </c>
      <c r="I359" s="435" t="s">
        <v>1161</v>
      </c>
      <c r="J359" s="438">
        <f>VLOOKUP(H359,'Full Trial Balance'!$A$4:$G$2306,3,FALSE)</f>
        <v>136</v>
      </c>
      <c r="K359" s="438">
        <f>VLOOKUP(H359,'Full Trial Balance'!$A$4:$G$2306,4,FALSE)</f>
        <v>0</v>
      </c>
      <c r="L359" s="438">
        <f>VLOOKUP(H359,'Full Trial Balance'!$A$4:$G$2306,5,FALSE)</f>
        <v>0</v>
      </c>
      <c r="M359" s="438">
        <f>VLOOKUP(H359,'Full Trial Balance'!$A$4:$G$2306,6,FALSE)</f>
        <v>0</v>
      </c>
      <c r="N359" s="438">
        <f>VLOOKUP(H359,'Full Trial Balance'!$A$4:$G$2306,7,FALSE)</f>
        <v>0</v>
      </c>
      <c r="O359" s="485">
        <f t="shared" si="45"/>
        <v>0</v>
      </c>
    </row>
    <row r="360" spans="1:15" x14ac:dyDescent="0.25">
      <c r="A360" s="241" t="str">
        <f t="shared" si="40"/>
        <v>02-02</v>
      </c>
      <c r="B360" s="241" t="str">
        <f t="shared" si="41"/>
        <v>02</v>
      </c>
      <c r="C360" s="241" t="str">
        <f t="shared" si="42"/>
        <v>02</v>
      </c>
      <c r="D360" s="235" t="str">
        <f t="shared" si="43"/>
        <v>02-</v>
      </c>
      <c r="E360" s="241" t="s">
        <v>1250</v>
      </c>
      <c r="F360" s="241" t="str">
        <f t="shared" si="44"/>
        <v>-035-003</v>
      </c>
      <c r="G360" s="256" t="s">
        <v>1454</v>
      </c>
      <c r="H360" s="241" t="s">
        <v>262</v>
      </c>
      <c r="I360" s="435" t="s">
        <v>48</v>
      </c>
      <c r="J360" s="438">
        <f>VLOOKUP(H360,'Full Trial Balance'!$A$4:$G$2306,3,FALSE)</f>
        <v>80</v>
      </c>
      <c r="K360" s="438">
        <f>VLOOKUP(H360,'Full Trial Balance'!$A$4:$G$2306,4,FALSE)</f>
        <v>0</v>
      </c>
      <c r="L360" s="438">
        <f>VLOOKUP(H360,'Full Trial Balance'!$A$4:$G$2306,5,FALSE)</f>
        <v>0</v>
      </c>
      <c r="M360" s="438">
        <f>VLOOKUP(H360,'Full Trial Balance'!$A$4:$G$2306,6,FALSE)</f>
        <v>0</v>
      </c>
      <c r="N360" s="438">
        <f>VLOOKUP(H360,'Full Trial Balance'!$A$4:$G$2306,7,FALSE)</f>
        <v>0</v>
      </c>
      <c r="O360" s="485">
        <f t="shared" si="45"/>
        <v>0</v>
      </c>
    </row>
    <row r="361" spans="1:15" x14ac:dyDescent="0.25">
      <c r="A361" s="241" t="str">
        <f t="shared" si="40"/>
        <v>02-02</v>
      </c>
      <c r="B361" s="241" t="str">
        <f t="shared" si="41"/>
        <v>02</v>
      </c>
      <c r="C361" s="241" t="str">
        <f t="shared" si="42"/>
        <v>02</v>
      </c>
      <c r="D361" s="235" t="str">
        <f t="shared" si="43"/>
        <v>02-</v>
      </c>
      <c r="E361" s="241" t="s">
        <v>1250</v>
      </c>
      <c r="F361" s="241" t="str">
        <f t="shared" si="44"/>
        <v>-035-005</v>
      </c>
      <c r="G361" s="256" t="s">
        <v>1459</v>
      </c>
      <c r="H361" s="241" t="s">
        <v>263</v>
      </c>
      <c r="I361" s="435" t="s">
        <v>50</v>
      </c>
      <c r="J361" s="438">
        <f>VLOOKUP(H361,'Full Trial Balance'!$A$4:$G$2306,3,FALSE)</f>
        <v>0</v>
      </c>
      <c r="K361" s="438">
        <f>VLOOKUP(H361,'Full Trial Balance'!$A$4:$G$2306,4,FALSE)</f>
        <v>0</v>
      </c>
      <c r="L361" s="438">
        <f>VLOOKUP(H361,'Full Trial Balance'!$A$4:$G$2306,5,FALSE)</f>
        <v>0</v>
      </c>
      <c r="M361" s="438">
        <f>VLOOKUP(H361,'Full Trial Balance'!$A$4:$G$2306,6,FALSE)</f>
        <v>0</v>
      </c>
      <c r="N361" s="438">
        <f>VLOOKUP(H361,'Full Trial Balance'!$A$4:$G$2306,7,FALSE)</f>
        <v>0</v>
      </c>
      <c r="O361" s="485">
        <f t="shared" si="45"/>
        <v>0</v>
      </c>
    </row>
    <row r="362" spans="1:15" x14ac:dyDescent="0.25">
      <c r="A362" s="241" t="str">
        <f t="shared" si="40"/>
        <v>02-02</v>
      </c>
      <c r="B362" s="241" t="str">
        <f t="shared" si="41"/>
        <v>02</v>
      </c>
      <c r="C362" s="241" t="str">
        <f t="shared" si="42"/>
        <v>02</v>
      </c>
      <c r="D362" s="235" t="str">
        <f t="shared" si="43"/>
        <v>02-</v>
      </c>
      <c r="E362" s="241" t="s">
        <v>1250</v>
      </c>
      <c r="F362" s="241" t="str">
        <f t="shared" si="44"/>
        <v>-038-111</v>
      </c>
      <c r="G362" s="256" t="str">
        <f>CONCATENATE(D362,E362,F362)</f>
        <v>02-0x-038-111</v>
      </c>
      <c r="H362" s="241" t="s">
        <v>1182</v>
      </c>
      <c r="I362" s="435" t="s">
        <v>52</v>
      </c>
      <c r="J362" s="438">
        <f>VLOOKUP(H362,'Full Trial Balance'!$A$4:$G$2306,3,FALSE)</f>
        <v>0</v>
      </c>
      <c r="K362" s="438">
        <f>VLOOKUP(H362,'Full Trial Balance'!$A$4:$G$2306,4,FALSE)</f>
        <v>0</v>
      </c>
      <c r="L362" s="438">
        <f>VLOOKUP(H362,'Full Trial Balance'!$A$4:$G$2306,5,FALSE)</f>
        <v>0</v>
      </c>
      <c r="M362" s="438">
        <f>VLOOKUP(H362,'Full Trial Balance'!$A$4:$G$2306,6,FALSE)</f>
        <v>0</v>
      </c>
      <c r="N362" s="438">
        <f>VLOOKUP(H362,'Full Trial Balance'!$A$4:$G$2306,7,FALSE)</f>
        <v>0</v>
      </c>
      <c r="O362" s="485">
        <f t="shared" si="45"/>
        <v>0</v>
      </c>
    </row>
    <row r="363" spans="1:15" x14ac:dyDescent="0.25">
      <c r="A363" s="241" t="str">
        <f t="shared" si="40"/>
        <v>02-02</v>
      </c>
      <c r="B363" s="241" t="str">
        <f t="shared" si="41"/>
        <v>02</v>
      </c>
      <c r="C363" s="241" t="str">
        <f t="shared" si="42"/>
        <v>02</v>
      </c>
      <c r="D363" s="235" t="str">
        <f t="shared" si="43"/>
        <v>02-</v>
      </c>
      <c r="E363" s="241" t="s">
        <v>1250</v>
      </c>
      <c r="F363" s="241" t="str">
        <f t="shared" si="44"/>
        <v>-040-019</v>
      </c>
      <c r="G363" s="235" t="s">
        <v>1393</v>
      </c>
      <c r="H363" s="241" t="s">
        <v>264</v>
      </c>
      <c r="I363" s="435" t="s">
        <v>54</v>
      </c>
      <c r="J363" s="438">
        <f>VLOOKUP(H363,'Full Trial Balance'!$A$4:$G$2306,3,FALSE)</f>
        <v>520</v>
      </c>
      <c r="K363" s="438">
        <f>VLOOKUP(H363,'Full Trial Balance'!$A$4:$G$2306,4,FALSE)</f>
        <v>0</v>
      </c>
      <c r="L363" s="438">
        <f>VLOOKUP(H363,'Full Trial Balance'!$A$4:$G$2306,5,FALSE)</f>
        <v>468.88</v>
      </c>
      <c r="M363" s="438">
        <f>VLOOKUP(H363,'Full Trial Balance'!$A$4:$G$2306,6,FALSE)</f>
        <v>0</v>
      </c>
      <c r="N363" s="438">
        <f>VLOOKUP(H363,'Full Trial Balance'!$A$4:$G$2306,7,FALSE)</f>
        <v>468.88</v>
      </c>
      <c r="O363" s="485">
        <f t="shared" si="45"/>
        <v>0</v>
      </c>
    </row>
    <row r="364" spans="1:15" x14ac:dyDescent="0.25">
      <c r="A364" s="241" t="str">
        <f t="shared" si="40"/>
        <v>02-02</v>
      </c>
      <c r="B364" s="241" t="str">
        <f t="shared" si="41"/>
        <v>02</v>
      </c>
      <c r="C364" s="241" t="str">
        <f t="shared" si="42"/>
        <v>02</v>
      </c>
      <c r="D364" s="235" t="str">
        <f t="shared" si="43"/>
        <v>02-</v>
      </c>
      <c r="E364" s="241" t="s">
        <v>1250</v>
      </c>
      <c r="F364" s="241" t="str">
        <f t="shared" si="44"/>
        <v>-040-024</v>
      </c>
      <c r="G364" s="235" t="str">
        <f>CONCATENATE(D364,E364,F364)</f>
        <v>02-0x-040-024</v>
      </c>
      <c r="H364" s="241" t="s">
        <v>265</v>
      </c>
      <c r="I364" s="435" t="s">
        <v>71</v>
      </c>
      <c r="J364" s="438">
        <f>VLOOKUP(H364,'Full Trial Balance'!$A$4:$G$2306,3,FALSE)</f>
        <v>960</v>
      </c>
      <c r="K364" s="438">
        <f>VLOOKUP(H364,'Full Trial Balance'!$A$4:$G$2306,4,FALSE)</f>
        <v>0</v>
      </c>
      <c r="L364" s="438">
        <f>VLOOKUP(H364,'Full Trial Balance'!$A$4:$G$2306,5,FALSE)</f>
        <v>267.70999999999998</v>
      </c>
      <c r="M364" s="438">
        <f>VLOOKUP(H364,'Full Trial Balance'!$A$4:$G$2306,6,FALSE)</f>
        <v>0</v>
      </c>
      <c r="N364" s="438">
        <f>VLOOKUP(H364,'Full Trial Balance'!$A$4:$G$2306,7,FALSE)</f>
        <v>267.70999999999998</v>
      </c>
      <c r="O364" s="485">
        <f t="shared" si="45"/>
        <v>0</v>
      </c>
    </row>
    <row r="365" spans="1:15" x14ac:dyDescent="0.25">
      <c r="A365" s="241" t="str">
        <f t="shared" si="40"/>
        <v>02-02</v>
      </c>
      <c r="B365" s="241" t="str">
        <f t="shared" si="41"/>
        <v>02</v>
      </c>
      <c r="C365" s="241" t="str">
        <f t="shared" si="42"/>
        <v>02</v>
      </c>
      <c r="D365" s="235" t="str">
        <f t="shared" si="43"/>
        <v>02-</v>
      </c>
      <c r="E365" s="241" t="s">
        <v>1250</v>
      </c>
      <c r="F365" s="241" t="str">
        <f t="shared" si="44"/>
        <v>-050-120</v>
      </c>
      <c r="G365" s="235" t="s">
        <v>1254</v>
      </c>
      <c r="H365" s="241" t="s">
        <v>266</v>
      </c>
      <c r="I365" s="435" t="s">
        <v>80</v>
      </c>
      <c r="J365" s="438">
        <f>VLOOKUP(H365,'Full Trial Balance'!$A$4:$G$2306,3,FALSE)</f>
        <v>400</v>
      </c>
      <c r="K365" s="438">
        <f>VLOOKUP(H365,'Full Trial Balance'!$A$4:$G$2306,4,FALSE)</f>
        <v>0</v>
      </c>
      <c r="L365" s="438">
        <f>VLOOKUP(H365,'Full Trial Balance'!$A$4:$G$2306,5,FALSE)</f>
        <v>278.36</v>
      </c>
      <c r="M365" s="438">
        <f>VLOOKUP(H365,'Full Trial Balance'!$A$4:$G$2306,6,FALSE)</f>
        <v>0</v>
      </c>
      <c r="N365" s="438">
        <f>VLOOKUP(H365,'Full Trial Balance'!$A$4:$G$2306,7,FALSE)</f>
        <v>278.36</v>
      </c>
      <c r="O365" s="485">
        <f t="shared" si="45"/>
        <v>0</v>
      </c>
    </row>
    <row r="366" spans="1:15" x14ac:dyDescent="0.25">
      <c r="A366" s="241" t="str">
        <f t="shared" si="40"/>
        <v>02-02</v>
      </c>
      <c r="B366" s="241" t="str">
        <f t="shared" si="41"/>
        <v>02</v>
      </c>
      <c r="C366" s="241" t="str">
        <f t="shared" si="42"/>
        <v>02</v>
      </c>
      <c r="D366" s="235" t="str">
        <f t="shared" si="43"/>
        <v>02-</v>
      </c>
      <c r="E366" s="241" t="s">
        <v>1250</v>
      </c>
      <c r="F366" s="241" t="str">
        <f t="shared" si="44"/>
        <v>-050-121</v>
      </c>
      <c r="G366" s="256" t="s">
        <v>1254</v>
      </c>
      <c r="H366" s="241" t="s">
        <v>267</v>
      </c>
      <c r="I366" s="435" t="s">
        <v>1163</v>
      </c>
      <c r="J366" s="438">
        <f>VLOOKUP(H366,'Full Trial Balance'!$A$4:$G$2306,3,FALSE)</f>
        <v>13200</v>
      </c>
      <c r="K366" s="438">
        <f>VLOOKUP(H366,'Full Trial Balance'!$A$4:$G$2306,4,FALSE)</f>
        <v>0</v>
      </c>
      <c r="L366" s="438">
        <f>VLOOKUP(H366,'Full Trial Balance'!$A$4:$G$2306,5,FALSE)</f>
        <v>2426.41</v>
      </c>
      <c r="M366" s="438">
        <f>VLOOKUP(H366,'Full Trial Balance'!$A$4:$G$2306,6,FALSE)</f>
        <v>4.32</v>
      </c>
      <c r="N366" s="438">
        <f>VLOOKUP(H366,'Full Trial Balance'!$A$4:$G$2306,7,FALSE)</f>
        <v>2422.09</v>
      </c>
      <c r="O366" s="485">
        <f t="shared" si="45"/>
        <v>2.9132252166164108E-13</v>
      </c>
    </row>
    <row r="367" spans="1:15" x14ac:dyDescent="0.25">
      <c r="A367" s="241" t="str">
        <f t="shared" si="40"/>
        <v>02-02</v>
      </c>
      <c r="B367" s="241" t="str">
        <f t="shared" si="41"/>
        <v>02</v>
      </c>
      <c r="C367" s="241" t="str">
        <f t="shared" si="42"/>
        <v>02</v>
      </c>
      <c r="D367" s="235" t="str">
        <f t="shared" si="43"/>
        <v>02-</v>
      </c>
      <c r="E367" s="241" t="s">
        <v>1250</v>
      </c>
      <c r="F367" s="241" t="str">
        <f t="shared" si="44"/>
        <v>-050-122</v>
      </c>
      <c r="G367" s="256" t="s">
        <v>1253</v>
      </c>
      <c r="H367" s="241" t="s">
        <v>268</v>
      </c>
      <c r="I367" s="435" t="s">
        <v>81</v>
      </c>
      <c r="J367" s="438">
        <f>VLOOKUP(H367,'Full Trial Balance'!$A$4:$G$2306,3,FALSE)</f>
        <v>12</v>
      </c>
      <c r="K367" s="438">
        <f>VLOOKUP(H367,'Full Trial Balance'!$A$4:$G$2306,4,FALSE)</f>
        <v>0</v>
      </c>
      <c r="L367" s="438">
        <f>VLOOKUP(H367,'Full Trial Balance'!$A$4:$G$2306,5,FALSE)</f>
        <v>0</v>
      </c>
      <c r="M367" s="438">
        <f>VLOOKUP(H367,'Full Trial Balance'!$A$4:$G$2306,6,FALSE)</f>
        <v>0</v>
      </c>
      <c r="N367" s="438">
        <f>VLOOKUP(H367,'Full Trial Balance'!$A$4:$G$2306,7,FALSE)</f>
        <v>0</v>
      </c>
      <c r="O367" s="485">
        <f t="shared" si="45"/>
        <v>0</v>
      </c>
    </row>
    <row r="368" spans="1:15" x14ac:dyDescent="0.25">
      <c r="A368" s="241" t="str">
        <f t="shared" si="40"/>
        <v>02-02</v>
      </c>
      <c r="B368" s="241" t="str">
        <f t="shared" si="41"/>
        <v>02</v>
      </c>
      <c r="C368" s="241" t="str">
        <f t="shared" si="42"/>
        <v>02</v>
      </c>
      <c r="D368" s="235" t="str">
        <f t="shared" si="43"/>
        <v>02-</v>
      </c>
      <c r="E368" s="241" t="s">
        <v>1250</v>
      </c>
      <c r="F368" s="241" t="str">
        <f t="shared" si="44"/>
        <v>-050-124</v>
      </c>
      <c r="G368" s="489" t="s">
        <v>1254</v>
      </c>
      <c r="H368" s="241" t="s">
        <v>269</v>
      </c>
      <c r="I368" s="435" t="s">
        <v>82</v>
      </c>
      <c r="J368" s="438">
        <f>VLOOKUP(H368,'Full Trial Balance'!$A$4:$G$2306,3,FALSE)</f>
        <v>1320</v>
      </c>
      <c r="K368" s="438">
        <f>VLOOKUP(H368,'Full Trial Balance'!$A$4:$G$2306,4,FALSE)</f>
        <v>0</v>
      </c>
      <c r="L368" s="438">
        <f>VLOOKUP(H368,'Full Trial Balance'!$A$4:$G$2306,5,FALSE)</f>
        <v>456.13</v>
      </c>
      <c r="M368" s="438">
        <f>VLOOKUP(H368,'Full Trial Balance'!$A$4:$G$2306,6,FALSE)</f>
        <v>0</v>
      </c>
      <c r="N368" s="438">
        <f>VLOOKUP(H368,'Full Trial Balance'!$A$4:$G$2306,7,FALSE)</f>
        <v>456.13</v>
      </c>
      <c r="O368" s="485">
        <f t="shared" si="45"/>
        <v>0</v>
      </c>
    </row>
    <row r="369" spans="1:15" x14ac:dyDescent="0.25">
      <c r="A369" s="241" t="str">
        <f t="shared" si="40"/>
        <v>02-02</v>
      </c>
      <c r="B369" s="241" t="str">
        <f t="shared" si="41"/>
        <v>02</v>
      </c>
      <c r="C369" s="241" t="str">
        <f t="shared" si="42"/>
        <v>02</v>
      </c>
      <c r="D369" s="235" t="str">
        <f t="shared" si="43"/>
        <v>02-</v>
      </c>
      <c r="E369" s="241" t="s">
        <v>1250</v>
      </c>
      <c r="F369" s="241" t="str">
        <f t="shared" si="44"/>
        <v>-050-125</v>
      </c>
      <c r="G369" s="489" t="s">
        <v>1254</v>
      </c>
      <c r="H369" s="241" t="s">
        <v>270</v>
      </c>
      <c r="I369" s="435" t="s">
        <v>221</v>
      </c>
      <c r="J369" s="438">
        <f>VLOOKUP(H369,'Full Trial Balance'!$A$4:$G$2306,3,FALSE)</f>
        <v>0</v>
      </c>
      <c r="K369" s="438">
        <f>VLOOKUP(H369,'Full Trial Balance'!$A$4:$G$2306,4,FALSE)</f>
        <v>0</v>
      </c>
      <c r="L369" s="438">
        <f>VLOOKUP(H369,'Full Trial Balance'!$A$4:$G$2306,5,FALSE)</f>
        <v>0</v>
      </c>
      <c r="M369" s="438">
        <f>VLOOKUP(H369,'Full Trial Balance'!$A$4:$G$2306,6,FALSE)</f>
        <v>0</v>
      </c>
      <c r="N369" s="438">
        <f>VLOOKUP(H369,'Full Trial Balance'!$A$4:$G$2306,7,FALSE)</f>
        <v>0</v>
      </c>
      <c r="O369" s="485">
        <f t="shared" si="45"/>
        <v>0</v>
      </c>
    </row>
    <row r="370" spans="1:15" x14ac:dyDescent="0.25">
      <c r="A370" s="430" t="str">
        <f t="shared" si="40"/>
        <v>02-02</v>
      </c>
      <c r="B370" s="430" t="str">
        <f t="shared" si="41"/>
        <v>02</v>
      </c>
      <c r="C370" s="430" t="str">
        <f t="shared" si="42"/>
        <v>02</v>
      </c>
      <c r="D370" s="429" t="str">
        <f t="shared" si="43"/>
        <v>02-</v>
      </c>
      <c r="E370" s="430" t="s">
        <v>1250</v>
      </c>
      <c r="F370" s="430" t="str">
        <f t="shared" si="44"/>
        <v>-050-127</v>
      </c>
      <c r="G370" s="429" t="s">
        <v>1443</v>
      </c>
      <c r="H370" s="241" t="s">
        <v>892</v>
      </c>
      <c r="I370" s="435" t="s">
        <v>83</v>
      </c>
      <c r="J370" s="438">
        <f>VLOOKUP(H370,'Full Trial Balance'!$A$4:$G$2306,3,FALSE)</f>
        <v>280</v>
      </c>
      <c r="K370" s="438">
        <f>VLOOKUP(H370,'Full Trial Balance'!$A$4:$G$2306,4,FALSE)</f>
        <v>0</v>
      </c>
      <c r="L370" s="438">
        <f>VLOOKUP(H370,'Full Trial Balance'!$A$4:$G$2306,5,FALSE)</f>
        <v>31.16</v>
      </c>
      <c r="M370" s="438">
        <f>VLOOKUP(H370,'Full Trial Balance'!$A$4:$G$2306,6,FALSE)</f>
        <v>0</v>
      </c>
      <c r="N370" s="438">
        <f>VLOOKUP(H370,'Full Trial Balance'!$A$4:$G$2306,7,FALSE)</f>
        <v>31.16</v>
      </c>
      <c r="O370" s="485">
        <f t="shared" si="45"/>
        <v>0</v>
      </c>
    </row>
    <row r="371" spans="1:15" x14ac:dyDescent="0.25">
      <c r="A371" s="241" t="str">
        <f t="shared" si="40"/>
        <v>02-02</v>
      </c>
      <c r="B371" s="241" t="str">
        <f t="shared" si="41"/>
        <v>02</v>
      </c>
      <c r="C371" s="241" t="str">
        <f t="shared" si="42"/>
        <v>02</v>
      </c>
      <c r="D371" s="235" t="str">
        <f t="shared" si="43"/>
        <v>02-</v>
      </c>
      <c r="E371" s="241" t="s">
        <v>1250</v>
      </c>
      <c r="F371" s="241" t="str">
        <f t="shared" si="44"/>
        <v>-050-133</v>
      </c>
      <c r="G371" s="235" t="s">
        <v>1254</v>
      </c>
      <c r="H371" s="241" t="s">
        <v>957</v>
      </c>
      <c r="I371" s="435" t="s">
        <v>1086</v>
      </c>
      <c r="J371" s="438">
        <f>VLOOKUP(H371,'Full Trial Balance'!$A$4:$G$2306,3,FALSE)</f>
        <v>3200</v>
      </c>
      <c r="K371" s="438">
        <f>VLOOKUP(H371,'Full Trial Balance'!$A$4:$G$2306,4,FALSE)</f>
        <v>0</v>
      </c>
      <c r="L371" s="438">
        <f>VLOOKUP(H371,'Full Trial Balance'!$A$4:$G$2306,5,FALSE)</f>
        <v>303.8</v>
      </c>
      <c r="M371" s="438">
        <f>VLOOKUP(H371,'Full Trial Balance'!$A$4:$G$2306,6,FALSE)</f>
        <v>0</v>
      </c>
      <c r="N371" s="438">
        <f>VLOOKUP(H371,'Full Trial Balance'!$A$4:$G$2306,7,FALSE)</f>
        <v>303.8</v>
      </c>
      <c r="O371" s="485">
        <f t="shared" si="45"/>
        <v>0</v>
      </c>
    </row>
    <row r="372" spans="1:15" x14ac:dyDescent="0.25">
      <c r="A372" s="241" t="str">
        <f t="shared" si="40"/>
        <v>02-02</v>
      </c>
      <c r="B372" s="241" t="str">
        <f t="shared" si="41"/>
        <v>02</v>
      </c>
      <c r="C372" s="241" t="str">
        <f t="shared" si="42"/>
        <v>02</v>
      </c>
      <c r="D372" s="235" t="str">
        <f t="shared" si="43"/>
        <v>02-</v>
      </c>
      <c r="E372" s="241" t="s">
        <v>1250</v>
      </c>
      <c r="F372" s="241" t="str">
        <f t="shared" si="44"/>
        <v>-050-135</v>
      </c>
      <c r="G372" s="235" t="s">
        <v>1254</v>
      </c>
      <c r="H372" s="241" t="s">
        <v>271</v>
      </c>
      <c r="I372" s="435" t="s">
        <v>85</v>
      </c>
      <c r="J372" s="438">
        <f>VLOOKUP(H372,'Full Trial Balance'!$A$4:$G$2306,3,FALSE)</f>
        <v>3200</v>
      </c>
      <c r="K372" s="438">
        <f>VLOOKUP(H372,'Full Trial Balance'!$A$4:$G$2306,4,FALSE)</f>
        <v>0</v>
      </c>
      <c r="L372" s="438">
        <f>VLOOKUP(H372,'Full Trial Balance'!$A$4:$G$2306,5,FALSE)</f>
        <v>912.93</v>
      </c>
      <c r="M372" s="438">
        <f>VLOOKUP(H372,'Full Trial Balance'!$A$4:$G$2306,6,FALSE)</f>
        <v>0</v>
      </c>
      <c r="N372" s="438">
        <f>VLOOKUP(H372,'Full Trial Balance'!$A$4:$G$2306,7,FALSE)</f>
        <v>912.93</v>
      </c>
      <c r="O372" s="485">
        <f t="shared" si="45"/>
        <v>0</v>
      </c>
    </row>
    <row r="373" spans="1:15" x14ac:dyDescent="0.25">
      <c r="A373" s="241" t="str">
        <f t="shared" si="40"/>
        <v>02-02</v>
      </c>
      <c r="B373" s="241" t="str">
        <f t="shared" si="41"/>
        <v>02</v>
      </c>
      <c r="C373" s="241" t="str">
        <f t="shared" si="42"/>
        <v>02</v>
      </c>
      <c r="D373" s="235" t="str">
        <f t="shared" si="43"/>
        <v>02-</v>
      </c>
      <c r="E373" s="241" t="s">
        <v>1250</v>
      </c>
      <c r="F373" s="241" t="str">
        <f t="shared" si="44"/>
        <v>-059-000</v>
      </c>
      <c r="G373" s="256" t="s">
        <v>1254</v>
      </c>
      <c r="H373" s="241" t="s">
        <v>272</v>
      </c>
      <c r="I373" s="435" t="s">
        <v>1170</v>
      </c>
      <c r="J373" s="438">
        <f>VLOOKUP(H373,'Full Trial Balance'!$A$4:$G$2306,3,FALSE)</f>
        <v>3200</v>
      </c>
      <c r="K373" s="438">
        <f>VLOOKUP(H373,'Full Trial Balance'!$A$4:$G$2306,4,FALSE)</f>
        <v>0</v>
      </c>
      <c r="L373" s="438">
        <f>VLOOKUP(H373,'Full Trial Balance'!$A$4:$G$2306,5,FALSE)</f>
        <v>605.09</v>
      </c>
      <c r="M373" s="438">
        <f>VLOOKUP(H373,'Full Trial Balance'!$A$4:$G$2306,6,FALSE)</f>
        <v>0</v>
      </c>
      <c r="N373" s="438">
        <f>VLOOKUP(H373,'Full Trial Balance'!$A$4:$G$2306,7,FALSE)</f>
        <v>605.09</v>
      </c>
      <c r="O373" s="485">
        <f t="shared" si="45"/>
        <v>0</v>
      </c>
    </row>
    <row r="374" spans="1:15" x14ac:dyDescent="0.25">
      <c r="A374" s="241" t="str">
        <f t="shared" si="40"/>
        <v>02-02</v>
      </c>
      <c r="B374" s="241" t="str">
        <f t="shared" si="41"/>
        <v>02</v>
      </c>
      <c r="C374" s="241" t="str">
        <f t="shared" si="42"/>
        <v>02</v>
      </c>
      <c r="D374" s="235" t="str">
        <f t="shared" si="43"/>
        <v>02-</v>
      </c>
      <c r="E374" s="241" t="s">
        <v>1250</v>
      </c>
      <c r="F374" s="241" t="str">
        <f t="shared" si="44"/>
        <v>-061-121</v>
      </c>
      <c r="G374" s="256" t="s">
        <v>1254</v>
      </c>
      <c r="H374" s="241" t="s">
        <v>273</v>
      </c>
      <c r="I374" s="435" t="s">
        <v>94</v>
      </c>
      <c r="J374" s="438">
        <f>VLOOKUP(H374,'Full Trial Balance'!$A$4:$G$2306,3,FALSE)</f>
        <v>5000</v>
      </c>
      <c r="K374" s="438">
        <f>VLOOKUP(H374,'Full Trial Balance'!$A$4:$G$2306,4,FALSE)</f>
        <v>0</v>
      </c>
      <c r="L374" s="438">
        <f>VLOOKUP(H374,'Full Trial Balance'!$A$4:$G$2306,5,FALSE)</f>
        <v>0</v>
      </c>
      <c r="M374" s="438">
        <f>VLOOKUP(H374,'Full Trial Balance'!$A$4:$G$2306,6,FALSE)</f>
        <v>0</v>
      </c>
      <c r="N374" s="438">
        <f>VLOOKUP(H374,'Full Trial Balance'!$A$4:$G$2306,7,FALSE)</f>
        <v>0</v>
      </c>
      <c r="O374" s="485">
        <f t="shared" si="45"/>
        <v>0</v>
      </c>
    </row>
    <row r="375" spans="1:15" x14ac:dyDescent="0.25">
      <c r="A375" s="241" t="str">
        <f t="shared" si="40"/>
        <v>02-02</v>
      </c>
      <c r="B375" s="241" t="str">
        <f t="shared" si="41"/>
        <v>02</v>
      </c>
      <c r="C375" s="241" t="str">
        <f t="shared" si="42"/>
        <v>02</v>
      </c>
      <c r="D375" s="235" t="str">
        <f t="shared" si="43"/>
        <v>02-</v>
      </c>
      <c r="E375" s="241" t="s">
        <v>1250</v>
      </c>
      <c r="F375" s="241" t="str">
        <f t="shared" si="44"/>
        <v>-061-122</v>
      </c>
      <c r="G375" s="256" t="s">
        <v>1253</v>
      </c>
      <c r="H375" s="241" t="s">
        <v>274</v>
      </c>
      <c r="I375" s="435" t="s">
        <v>95</v>
      </c>
      <c r="J375" s="438">
        <f>VLOOKUP(H375,'Full Trial Balance'!$A$4:$G$2306,3,FALSE)</f>
        <v>8000</v>
      </c>
      <c r="K375" s="438">
        <f>VLOOKUP(H375,'Full Trial Balance'!$A$4:$G$2306,4,FALSE)</f>
        <v>0</v>
      </c>
      <c r="L375" s="438">
        <f>VLOOKUP(H375,'Full Trial Balance'!$A$4:$G$2306,5,FALSE)</f>
        <v>4213.05</v>
      </c>
      <c r="M375" s="438">
        <f>VLOOKUP(H375,'Full Trial Balance'!$A$4:$G$2306,6,FALSE)</f>
        <v>0</v>
      </c>
      <c r="N375" s="438">
        <f>VLOOKUP(H375,'Full Trial Balance'!$A$4:$G$2306,7,FALSE)</f>
        <v>4213.05</v>
      </c>
      <c r="O375" s="485">
        <f t="shared" si="45"/>
        <v>0</v>
      </c>
    </row>
    <row r="376" spans="1:15" x14ac:dyDescent="0.25">
      <c r="A376" s="241" t="str">
        <f t="shared" si="40"/>
        <v>02-02</v>
      </c>
      <c r="B376" s="241" t="str">
        <f t="shared" si="41"/>
        <v>02</v>
      </c>
      <c r="C376" s="241" t="str">
        <f t="shared" si="42"/>
        <v>02</v>
      </c>
      <c r="D376" s="235" t="str">
        <f t="shared" si="43"/>
        <v>02-</v>
      </c>
      <c r="E376" s="241" t="s">
        <v>1250</v>
      </c>
      <c r="F376" s="241" t="str">
        <f t="shared" si="44"/>
        <v>-062-121</v>
      </c>
      <c r="G376" s="256" t="s">
        <v>1254</v>
      </c>
      <c r="H376" s="241" t="s">
        <v>275</v>
      </c>
      <c r="I376" s="435" t="s">
        <v>96</v>
      </c>
      <c r="J376" s="438">
        <f>VLOOKUP(H376,'Full Trial Balance'!$A$4:$G$2306,3,FALSE)</f>
        <v>1000</v>
      </c>
      <c r="K376" s="438">
        <f>VLOOKUP(H376,'Full Trial Balance'!$A$4:$G$2306,4,FALSE)</f>
        <v>0</v>
      </c>
      <c r="L376" s="438">
        <f>VLOOKUP(H376,'Full Trial Balance'!$A$4:$G$2306,5,FALSE)</f>
        <v>0</v>
      </c>
      <c r="M376" s="438">
        <f>VLOOKUP(H376,'Full Trial Balance'!$A$4:$G$2306,6,FALSE)</f>
        <v>0</v>
      </c>
      <c r="N376" s="438">
        <f>VLOOKUP(H376,'Full Trial Balance'!$A$4:$G$2306,7,FALSE)</f>
        <v>0</v>
      </c>
      <c r="O376" s="485">
        <f t="shared" si="45"/>
        <v>0</v>
      </c>
    </row>
    <row r="377" spans="1:15" x14ac:dyDescent="0.25">
      <c r="A377" s="241" t="str">
        <f t="shared" si="40"/>
        <v>02-02</v>
      </c>
      <c r="B377" s="241" t="str">
        <f t="shared" si="41"/>
        <v>02</v>
      </c>
      <c r="C377" s="241" t="str">
        <f t="shared" si="42"/>
        <v>02</v>
      </c>
      <c r="D377" s="235" t="str">
        <f t="shared" si="43"/>
        <v>02-</v>
      </c>
      <c r="E377" s="241" t="s">
        <v>1250</v>
      </c>
      <c r="F377" s="241" t="str">
        <f t="shared" si="44"/>
        <v>-062-122</v>
      </c>
      <c r="G377" s="235" t="s">
        <v>1253</v>
      </c>
      <c r="H377" s="241" t="s">
        <v>276</v>
      </c>
      <c r="I377" s="435" t="s">
        <v>97</v>
      </c>
      <c r="J377" s="438">
        <f>VLOOKUP(H377,'Full Trial Balance'!$A$4:$G$2306,3,FALSE)</f>
        <v>1350</v>
      </c>
      <c r="K377" s="438">
        <f>VLOOKUP(H377,'Full Trial Balance'!$A$4:$G$2306,4,FALSE)</f>
        <v>0</v>
      </c>
      <c r="L377" s="438">
        <f>VLOOKUP(H377,'Full Trial Balance'!$A$4:$G$2306,5,FALSE)</f>
        <v>541.97</v>
      </c>
      <c r="M377" s="438">
        <f>VLOOKUP(H377,'Full Trial Balance'!$A$4:$G$2306,6,FALSE)</f>
        <v>0</v>
      </c>
      <c r="N377" s="438">
        <f>VLOOKUP(H377,'Full Trial Balance'!$A$4:$G$2306,7,FALSE)</f>
        <v>541.97</v>
      </c>
      <c r="O377" s="485">
        <f t="shared" si="45"/>
        <v>0</v>
      </c>
    </row>
    <row r="378" spans="1:15" x14ac:dyDescent="0.25">
      <c r="A378" s="241" t="str">
        <f t="shared" si="40"/>
        <v>02-02</v>
      </c>
      <c r="B378" s="241" t="str">
        <f t="shared" si="41"/>
        <v>02</v>
      </c>
      <c r="C378" s="241" t="str">
        <f t="shared" si="42"/>
        <v>02</v>
      </c>
      <c r="D378" s="235" t="str">
        <f t="shared" si="43"/>
        <v>02-</v>
      </c>
      <c r="E378" s="241" t="s">
        <v>1250</v>
      </c>
      <c r="F378" s="241" t="str">
        <f t="shared" si="44"/>
        <v>-063-121</v>
      </c>
      <c r="G378" s="235" t="s">
        <v>1254</v>
      </c>
      <c r="H378" s="241" t="s">
        <v>1183</v>
      </c>
      <c r="I378" s="435" t="s">
        <v>1184</v>
      </c>
      <c r="J378" s="438">
        <f>VLOOKUP(H378,'Full Trial Balance'!$A$4:$G$2306,3,FALSE)</f>
        <v>0</v>
      </c>
      <c r="K378" s="438">
        <f>VLOOKUP(H378,'Full Trial Balance'!$A$4:$G$2306,4,FALSE)</f>
        <v>0</v>
      </c>
      <c r="L378" s="438">
        <f>VLOOKUP(H378,'Full Trial Balance'!$A$4:$G$2306,5,FALSE)</f>
        <v>0</v>
      </c>
      <c r="M378" s="438">
        <f>VLOOKUP(H378,'Full Trial Balance'!$A$4:$G$2306,6,FALSE)</f>
        <v>0</v>
      </c>
      <c r="N378" s="438">
        <f>VLOOKUP(H378,'Full Trial Balance'!$A$4:$G$2306,7,FALSE)</f>
        <v>0</v>
      </c>
      <c r="O378" s="485">
        <f t="shared" si="45"/>
        <v>0</v>
      </c>
    </row>
    <row r="379" spans="1:15" x14ac:dyDescent="0.25">
      <c r="A379" s="241" t="str">
        <f t="shared" si="40"/>
        <v>02-02</v>
      </c>
      <c r="B379" s="241" t="str">
        <f t="shared" si="41"/>
        <v>02</v>
      </c>
      <c r="C379" s="241" t="str">
        <f t="shared" si="42"/>
        <v>02</v>
      </c>
      <c r="D379" s="235" t="str">
        <f t="shared" si="43"/>
        <v>02-</v>
      </c>
      <c r="E379" s="241" t="s">
        <v>1250</v>
      </c>
      <c r="F379" s="241" t="str">
        <f t="shared" si="44"/>
        <v>-063-122</v>
      </c>
      <c r="G379" s="235" t="s">
        <v>1253</v>
      </c>
      <c r="H379" s="241" t="s">
        <v>1185</v>
      </c>
      <c r="I379" s="435" t="s">
        <v>1186</v>
      </c>
      <c r="J379" s="438">
        <f>VLOOKUP(H379,'Full Trial Balance'!$A$4:$G$2306,3,FALSE)</f>
        <v>0</v>
      </c>
      <c r="K379" s="438">
        <f>VLOOKUP(H379,'Full Trial Balance'!$A$4:$G$2306,4,FALSE)</f>
        <v>0</v>
      </c>
      <c r="L379" s="438">
        <f>VLOOKUP(H379,'Full Trial Balance'!$A$4:$G$2306,5,FALSE)</f>
        <v>0</v>
      </c>
      <c r="M379" s="438">
        <f>VLOOKUP(H379,'Full Trial Balance'!$A$4:$G$2306,6,FALSE)</f>
        <v>0</v>
      </c>
      <c r="N379" s="438">
        <f>VLOOKUP(H379,'Full Trial Balance'!$A$4:$G$2306,7,FALSE)</f>
        <v>0</v>
      </c>
      <c r="O379" s="485">
        <f t="shared" si="45"/>
        <v>0</v>
      </c>
    </row>
    <row r="380" spans="1:15" x14ac:dyDescent="0.25">
      <c r="A380" s="241" t="str">
        <f t="shared" si="40"/>
        <v>02-02</v>
      </c>
      <c r="B380" s="241" t="str">
        <f t="shared" si="41"/>
        <v>02</v>
      </c>
      <c r="C380" s="241" t="str">
        <f t="shared" si="42"/>
        <v>02</v>
      </c>
      <c r="D380" s="235" t="str">
        <f t="shared" si="43"/>
        <v>02-</v>
      </c>
      <c r="E380" s="241" t="s">
        <v>1250</v>
      </c>
      <c r="F380" s="241" t="str">
        <f t="shared" si="44"/>
        <v>-064-121</v>
      </c>
      <c r="G380" s="235" t="s">
        <v>1254</v>
      </c>
      <c r="H380" s="241" t="s">
        <v>277</v>
      </c>
      <c r="I380" s="435" t="s">
        <v>98</v>
      </c>
      <c r="J380" s="438">
        <f>VLOOKUP(H380,'Full Trial Balance'!$A$4:$G$2306,3,FALSE)</f>
        <v>500</v>
      </c>
      <c r="K380" s="438">
        <f>VLOOKUP(H380,'Full Trial Balance'!$A$4:$G$2306,4,FALSE)</f>
        <v>0</v>
      </c>
      <c r="L380" s="438">
        <f>VLOOKUP(H380,'Full Trial Balance'!$A$4:$G$2306,5,FALSE)</f>
        <v>0</v>
      </c>
      <c r="M380" s="438">
        <f>VLOOKUP(H380,'Full Trial Balance'!$A$4:$G$2306,6,FALSE)</f>
        <v>0</v>
      </c>
      <c r="N380" s="438">
        <f>VLOOKUP(H380,'Full Trial Balance'!$A$4:$G$2306,7,FALSE)</f>
        <v>0</v>
      </c>
      <c r="O380" s="485">
        <f t="shared" si="45"/>
        <v>0</v>
      </c>
    </row>
    <row r="381" spans="1:15" x14ac:dyDescent="0.25">
      <c r="A381" s="241" t="str">
        <f t="shared" si="40"/>
        <v>02-02</v>
      </c>
      <c r="B381" s="241" t="str">
        <f t="shared" si="41"/>
        <v>02</v>
      </c>
      <c r="C381" s="241" t="str">
        <f t="shared" si="42"/>
        <v>02</v>
      </c>
      <c r="D381" s="235" t="str">
        <f t="shared" si="43"/>
        <v>02-</v>
      </c>
      <c r="E381" s="241" t="s">
        <v>1250</v>
      </c>
      <c r="F381" s="241" t="str">
        <f t="shared" si="44"/>
        <v>-064-122</v>
      </c>
      <c r="G381" s="489" t="s">
        <v>1253</v>
      </c>
      <c r="H381" s="241" t="s">
        <v>278</v>
      </c>
      <c r="I381" s="435" t="s">
        <v>99</v>
      </c>
      <c r="J381" s="438">
        <f>VLOOKUP(H381,'Full Trial Balance'!$A$4:$G$2306,3,FALSE)</f>
        <v>750</v>
      </c>
      <c r="K381" s="438">
        <f>VLOOKUP(H381,'Full Trial Balance'!$A$4:$G$2306,4,FALSE)</f>
        <v>0</v>
      </c>
      <c r="L381" s="438">
        <f>VLOOKUP(H381,'Full Trial Balance'!$A$4:$G$2306,5,FALSE)</f>
        <v>286.87</v>
      </c>
      <c r="M381" s="438">
        <f>VLOOKUP(H381,'Full Trial Balance'!$A$4:$G$2306,6,FALSE)</f>
        <v>0</v>
      </c>
      <c r="N381" s="438">
        <f>VLOOKUP(H381,'Full Trial Balance'!$A$4:$G$2306,7,FALSE)</f>
        <v>286.87</v>
      </c>
      <c r="O381" s="485">
        <f t="shared" si="45"/>
        <v>0</v>
      </c>
    </row>
    <row r="382" spans="1:15" x14ac:dyDescent="0.25">
      <c r="A382" s="241" t="str">
        <f t="shared" si="40"/>
        <v>02-02</v>
      </c>
      <c r="B382" s="241" t="str">
        <f t="shared" si="41"/>
        <v>02</v>
      </c>
      <c r="C382" s="241" t="str">
        <f t="shared" si="42"/>
        <v>02</v>
      </c>
      <c r="D382" s="235" t="str">
        <f t="shared" si="43"/>
        <v>02-</v>
      </c>
      <c r="E382" s="241" t="s">
        <v>1250</v>
      </c>
      <c r="F382" s="241" t="str">
        <f t="shared" si="44"/>
        <v>-065-121</v>
      </c>
      <c r="G382" s="489" t="s">
        <v>1254</v>
      </c>
      <c r="H382" s="241" t="s">
        <v>279</v>
      </c>
      <c r="I382" s="435" t="s">
        <v>100</v>
      </c>
      <c r="J382" s="438">
        <f>VLOOKUP(H382,'Full Trial Balance'!$A$4:$G$2306,3,FALSE)</f>
        <v>1000</v>
      </c>
      <c r="K382" s="438">
        <f>VLOOKUP(H382,'Full Trial Balance'!$A$4:$G$2306,4,FALSE)</f>
        <v>0</v>
      </c>
      <c r="L382" s="438">
        <f>VLOOKUP(H382,'Full Trial Balance'!$A$4:$G$2306,5,FALSE)</f>
        <v>0</v>
      </c>
      <c r="M382" s="438">
        <f>VLOOKUP(H382,'Full Trial Balance'!$A$4:$G$2306,6,FALSE)</f>
        <v>0</v>
      </c>
      <c r="N382" s="438">
        <f>VLOOKUP(H382,'Full Trial Balance'!$A$4:$G$2306,7,FALSE)</f>
        <v>0</v>
      </c>
      <c r="O382" s="485">
        <f t="shared" si="45"/>
        <v>0</v>
      </c>
    </row>
    <row r="383" spans="1:15" x14ac:dyDescent="0.25">
      <c r="A383" s="241" t="str">
        <f t="shared" si="40"/>
        <v>02-02</v>
      </c>
      <c r="B383" s="241" t="str">
        <f t="shared" si="41"/>
        <v>02</v>
      </c>
      <c r="C383" s="241" t="str">
        <f t="shared" si="42"/>
        <v>02</v>
      </c>
      <c r="D383" s="235" t="str">
        <f t="shared" si="43"/>
        <v>02-</v>
      </c>
      <c r="E383" s="241" t="s">
        <v>1250</v>
      </c>
      <c r="F383" s="241" t="str">
        <f t="shared" si="44"/>
        <v>-065-122</v>
      </c>
      <c r="G383" s="235" t="s">
        <v>1253</v>
      </c>
      <c r="H383" s="241" t="s">
        <v>280</v>
      </c>
      <c r="I383" s="435" t="s">
        <v>101</v>
      </c>
      <c r="J383" s="438">
        <f>VLOOKUP(H383,'Full Trial Balance'!$A$4:$G$2306,3,FALSE)</f>
        <v>550</v>
      </c>
      <c r="K383" s="438">
        <f>VLOOKUP(H383,'Full Trial Balance'!$A$4:$G$2306,4,FALSE)</f>
        <v>0</v>
      </c>
      <c r="L383" s="438">
        <f>VLOOKUP(H383,'Full Trial Balance'!$A$4:$G$2306,5,FALSE)</f>
        <v>216.82</v>
      </c>
      <c r="M383" s="438">
        <f>VLOOKUP(H383,'Full Trial Balance'!$A$4:$G$2306,6,FALSE)</f>
        <v>0</v>
      </c>
      <c r="N383" s="438">
        <f>VLOOKUP(H383,'Full Trial Balance'!$A$4:$G$2306,7,FALSE)</f>
        <v>216.82</v>
      </c>
      <c r="O383" s="485">
        <f t="shared" si="45"/>
        <v>0</v>
      </c>
    </row>
    <row r="384" spans="1:15" x14ac:dyDescent="0.25">
      <c r="A384" s="241" t="str">
        <f t="shared" si="40"/>
        <v>02-02</v>
      </c>
      <c r="B384" s="241" t="str">
        <f t="shared" si="41"/>
        <v>02</v>
      </c>
      <c r="C384" s="241" t="str">
        <f t="shared" si="42"/>
        <v>02</v>
      </c>
      <c r="D384" s="235" t="str">
        <f t="shared" si="43"/>
        <v>02-</v>
      </c>
      <c r="E384" s="241" t="s">
        <v>1250</v>
      </c>
      <c r="F384" s="241" t="str">
        <f t="shared" si="44"/>
        <v>-068-000</v>
      </c>
      <c r="G384" s="256" t="s">
        <v>1254</v>
      </c>
      <c r="H384" s="241" t="s">
        <v>281</v>
      </c>
      <c r="I384" s="435" t="s">
        <v>55</v>
      </c>
      <c r="J384" s="438">
        <f>VLOOKUP(H384,'Full Trial Balance'!$A$4:$G$2306,3,FALSE)</f>
        <v>4800</v>
      </c>
      <c r="K384" s="438">
        <f>VLOOKUP(H384,'Full Trial Balance'!$A$4:$G$2306,4,FALSE)</f>
        <v>0</v>
      </c>
      <c r="L384" s="438">
        <f>VLOOKUP(H384,'Full Trial Balance'!$A$4:$G$2306,5,FALSE)</f>
        <v>3678.64</v>
      </c>
      <c r="M384" s="438">
        <f>VLOOKUP(H384,'Full Trial Balance'!$A$4:$G$2306,6,FALSE)</f>
        <v>66.239999999999995</v>
      </c>
      <c r="N384" s="438">
        <f>VLOOKUP(H384,'Full Trial Balance'!$A$4:$G$2306,7,FALSE)</f>
        <v>3612.4</v>
      </c>
      <c r="O384" s="485">
        <f t="shared" si="45"/>
        <v>2.1316282072803006E-13</v>
      </c>
    </row>
    <row r="385" spans="1:15" x14ac:dyDescent="0.25">
      <c r="A385" s="241" t="str">
        <f t="shared" si="40"/>
        <v>02-02</v>
      </c>
      <c r="B385" s="241" t="str">
        <f t="shared" si="41"/>
        <v>02</v>
      </c>
      <c r="C385" s="241" t="str">
        <f t="shared" si="42"/>
        <v>02</v>
      </c>
      <c r="D385" s="235" t="str">
        <f t="shared" si="43"/>
        <v>02-</v>
      </c>
      <c r="E385" s="241" t="s">
        <v>1250</v>
      </c>
      <c r="F385" s="241" t="str">
        <f t="shared" si="44"/>
        <v>-071-000</v>
      </c>
      <c r="G385" s="256" t="s">
        <v>1254</v>
      </c>
      <c r="H385" s="241" t="s">
        <v>282</v>
      </c>
      <c r="I385" s="435" t="s">
        <v>104</v>
      </c>
      <c r="J385" s="438">
        <f>VLOOKUP(H385,'Full Trial Balance'!$A$4:$G$2306,3,FALSE)</f>
        <v>6000</v>
      </c>
      <c r="K385" s="438">
        <f>VLOOKUP(H385,'Full Trial Balance'!$A$4:$G$2306,4,FALSE)</f>
        <v>0</v>
      </c>
      <c r="L385" s="438">
        <f>VLOOKUP(H385,'Full Trial Balance'!$A$4:$G$2306,5,FALSE)</f>
        <v>0</v>
      </c>
      <c r="M385" s="438">
        <f>VLOOKUP(H385,'Full Trial Balance'!$A$4:$G$2306,6,FALSE)</f>
        <v>0</v>
      </c>
      <c r="N385" s="438">
        <f>VLOOKUP(H385,'Full Trial Balance'!$A$4:$G$2306,7,FALSE)</f>
        <v>0</v>
      </c>
      <c r="O385" s="485">
        <f t="shared" si="45"/>
        <v>0</v>
      </c>
    </row>
    <row r="386" spans="1:15" x14ac:dyDescent="0.25">
      <c r="A386" s="241" t="str">
        <f t="shared" si="40"/>
        <v>03-02</v>
      </c>
      <c r="B386" s="241" t="str">
        <f t="shared" si="41"/>
        <v>03</v>
      </c>
      <c r="C386" s="241" t="str">
        <f t="shared" si="42"/>
        <v>02</v>
      </c>
      <c r="D386" s="235" t="str">
        <f t="shared" si="43"/>
        <v>03-</v>
      </c>
      <c r="E386" s="241" t="s">
        <v>1250</v>
      </c>
      <c r="F386" s="241" t="str">
        <f t="shared" si="44"/>
        <v>-010-000</v>
      </c>
      <c r="G386" s="256" t="str">
        <f t="shared" ref="G386:G401" si="47">CONCATENATE(D386,E386,F386)</f>
        <v>03-0x-010-000</v>
      </c>
      <c r="H386" s="241" t="s">
        <v>283</v>
      </c>
      <c r="I386" s="435" t="s">
        <v>76</v>
      </c>
      <c r="J386" s="438">
        <f>VLOOKUP(H386,'Full Trial Balance'!$A$4:$G$2306,3,FALSE)</f>
        <v>446076.68</v>
      </c>
      <c r="K386" s="438">
        <f>VLOOKUP(H386,'Full Trial Balance'!$A$4:$G$2306,4,FALSE)</f>
        <v>0</v>
      </c>
      <c r="L386" s="438">
        <f>VLOOKUP(H386,'Full Trial Balance'!$A$4:$G$2306,5,FALSE)</f>
        <v>236981.3</v>
      </c>
      <c r="M386" s="438">
        <f>VLOOKUP(H386,'Full Trial Balance'!$A$4:$G$2306,6,FALSE)</f>
        <v>19758.669999999998</v>
      </c>
      <c r="N386" s="438">
        <f>VLOOKUP(H386,'Full Trial Balance'!$A$4:$G$2306,7,FALSE)</f>
        <v>217222.63</v>
      </c>
      <c r="O386" s="485">
        <f t="shared" si="45"/>
        <v>0</v>
      </c>
    </row>
    <row r="387" spans="1:15" x14ac:dyDescent="0.25">
      <c r="A387" s="241" t="str">
        <f t="shared" ref="A387:A450" si="48">LEFT(H387,5)</f>
        <v>03-02</v>
      </c>
      <c r="B387" s="241" t="str">
        <f t="shared" ref="B387:B450" si="49">LEFT(H387,2)</f>
        <v>03</v>
      </c>
      <c r="C387" s="241" t="str">
        <f t="shared" ref="C387:C450" si="50">RIGHT(A387,2)</f>
        <v>02</v>
      </c>
      <c r="D387" s="235" t="str">
        <f t="shared" ref="D387:D450" si="51">LEFT(A387,3)</f>
        <v>03-</v>
      </c>
      <c r="E387" s="241" t="s">
        <v>1250</v>
      </c>
      <c r="F387" s="241" t="str">
        <f t="shared" ref="F387:F450" si="52">RIGHT(H387,8)</f>
        <v>-010-005</v>
      </c>
      <c r="G387" s="235" t="str">
        <f t="shared" si="47"/>
        <v>03-0x-010-005</v>
      </c>
      <c r="H387" s="241" t="s">
        <v>1103</v>
      </c>
      <c r="I387" s="435" t="s">
        <v>667</v>
      </c>
      <c r="J387" s="438">
        <f>VLOOKUP(H387,'Full Trial Balance'!$A$4:$G$2306,3,FALSE)</f>
        <v>0</v>
      </c>
      <c r="K387" s="438">
        <f>VLOOKUP(H387,'Full Trial Balance'!$A$4:$G$2306,4,FALSE)</f>
        <v>0</v>
      </c>
      <c r="L387" s="438">
        <f>VLOOKUP(H387,'Full Trial Balance'!$A$4:$G$2306,5,FALSE)</f>
        <v>0</v>
      </c>
      <c r="M387" s="438">
        <f>VLOOKUP(H387,'Full Trial Balance'!$A$4:$G$2306,6,FALSE)</f>
        <v>0</v>
      </c>
      <c r="N387" s="438">
        <f>VLOOKUP(H387,'Full Trial Balance'!$A$4:$G$2306,7,FALSE)</f>
        <v>0</v>
      </c>
      <c r="O387" s="485">
        <f t="shared" ref="O387:O450" si="53">N387-L387+M387</f>
        <v>0</v>
      </c>
    </row>
    <row r="388" spans="1:15" x14ac:dyDescent="0.25">
      <c r="A388" s="241" t="str">
        <f t="shared" si="48"/>
        <v>03-02</v>
      </c>
      <c r="B388" s="241" t="str">
        <f t="shared" si="49"/>
        <v>03</v>
      </c>
      <c r="C388" s="241" t="str">
        <f t="shared" si="50"/>
        <v>02</v>
      </c>
      <c r="D388" s="235" t="str">
        <f t="shared" si="51"/>
        <v>03-</v>
      </c>
      <c r="E388" s="241" t="s">
        <v>1250</v>
      </c>
      <c r="F388" s="241" t="str">
        <f t="shared" si="52"/>
        <v>-015-000</v>
      </c>
      <c r="G388" s="235" t="str">
        <f t="shared" si="47"/>
        <v>03-0x-015-000</v>
      </c>
      <c r="H388" s="241" t="s">
        <v>284</v>
      </c>
      <c r="I388" s="435" t="s">
        <v>37</v>
      </c>
      <c r="J388" s="438">
        <f>VLOOKUP(H388,'Full Trial Balance'!$A$4:$G$2306,3,FALSE)</f>
        <v>14003.76</v>
      </c>
      <c r="K388" s="438">
        <f>VLOOKUP(H388,'Full Trial Balance'!$A$4:$G$2306,4,FALSE)</f>
        <v>0</v>
      </c>
      <c r="L388" s="438">
        <f>VLOOKUP(H388,'Full Trial Balance'!$A$4:$G$2306,5,FALSE)</f>
        <v>4011.59</v>
      </c>
      <c r="M388" s="438">
        <f>VLOOKUP(H388,'Full Trial Balance'!$A$4:$G$2306,6,FALSE)</f>
        <v>92.28</v>
      </c>
      <c r="N388" s="438">
        <f>VLOOKUP(H388,'Full Trial Balance'!$A$4:$G$2306,7,FALSE)</f>
        <v>3919.31</v>
      </c>
      <c r="O388" s="485">
        <f t="shared" si="53"/>
        <v>-1.9895196601282805E-13</v>
      </c>
    </row>
    <row r="389" spans="1:15" x14ac:dyDescent="0.25">
      <c r="A389" s="241" t="str">
        <f t="shared" si="48"/>
        <v>03-02</v>
      </c>
      <c r="B389" s="241" t="str">
        <f t="shared" si="49"/>
        <v>03</v>
      </c>
      <c r="C389" s="241" t="str">
        <f t="shared" si="50"/>
        <v>02</v>
      </c>
      <c r="D389" s="235" t="str">
        <f t="shared" si="51"/>
        <v>03-</v>
      </c>
      <c r="E389" s="241" t="s">
        <v>1250</v>
      </c>
      <c r="F389" s="241" t="str">
        <f t="shared" si="52"/>
        <v>-016-000</v>
      </c>
      <c r="G389" s="235" t="str">
        <f t="shared" si="47"/>
        <v>03-0x-016-000</v>
      </c>
      <c r="H389" s="241" t="s">
        <v>285</v>
      </c>
      <c r="I389" s="435" t="s">
        <v>1076</v>
      </c>
      <c r="J389" s="438">
        <f>VLOOKUP(H389,'Full Trial Balance'!$A$4:$G$2306,3,FALSE)</f>
        <v>11065.6</v>
      </c>
      <c r="K389" s="438">
        <f>VLOOKUP(H389,'Full Trial Balance'!$A$4:$G$2306,4,FALSE)</f>
        <v>0</v>
      </c>
      <c r="L389" s="438">
        <f>VLOOKUP(H389,'Full Trial Balance'!$A$4:$G$2306,5,FALSE)</f>
        <v>3640</v>
      </c>
      <c r="M389" s="438">
        <f>VLOOKUP(H389,'Full Trial Balance'!$A$4:$G$2306,6,FALSE)</f>
        <v>280</v>
      </c>
      <c r="N389" s="438">
        <f>VLOOKUP(H389,'Full Trial Balance'!$A$4:$G$2306,7,FALSE)</f>
        <v>3360</v>
      </c>
      <c r="O389" s="485">
        <f t="shared" si="53"/>
        <v>0</v>
      </c>
    </row>
    <row r="390" spans="1:15" x14ac:dyDescent="0.25">
      <c r="A390" s="241" t="str">
        <f t="shared" si="48"/>
        <v>03-02</v>
      </c>
      <c r="B390" s="241" t="str">
        <f t="shared" si="49"/>
        <v>03</v>
      </c>
      <c r="C390" s="241" t="str">
        <f t="shared" si="50"/>
        <v>02</v>
      </c>
      <c r="D390" s="235" t="str">
        <f t="shared" si="51"/>
        <v>03-</v>
      </c>
      <c r="E390" s="241" t="s">
        <v>1250</v>
      </c>
      <c r="F390" s="241" t="str">
        <f t="shared" si="52"/>
        <v>-020-202</v>
      </c>
      <c r="G390" s="235" t="str">
        <f t="shared" si="47"/>
        <v>03-0x-020-202</v>
      </c>
      <c r="H390" s="241" t="s">
        <v>286</v>
      </c>
      <c r="I390" s="435" t="s">
        <v>153</v>
      </c>
      <c r="J390" s="438">
        <f>VLOOKUP(H390,'Full Trial Balance'!$A$4:$G$2306,3,FALSE)</f>
        <v>29210.98</v>
      </c>
      <c r="K390" s="438">
        <f>VLOOKUP(H390,'Full Trial Balance'!$A$4:$G$2306,4,FALSE)</f>
        <v>0</v>
      </c>
      <c r="L390" s="438">
        <f>VLOOKUP(H390,'Full Trial Balance'!$A$4:$G$2306,5,FALSE)</f>
        <v>14746.36</v>
      </c>
      <c r="M390" s="438">
        <f>VLOOKUP(H390,'Full Trial Balance'!$A$4:$G$2306,6,FALSE)</f>
        <v>1184.94</v>
      </c>
      <c r="N390" s="438">
        <f>VLOOKUP(H390,'Full Trial Balance'!$A$4:$G$2306,7,FALSE)</f>
        <v>13561.42</v>
      </c>
      <c r="O390" s="485">
        <f t="shared" si="53"/>
        <v>0</v>
      </c>
    </row>
    <row r="391" spans="1:15" x14ac:dyDescent="0.25">
      <c r="A391" s="241" t="str">
        <f t="shared" si="48"/>
        <v>03-02</v>
      </c>
      <c r="B391" s="241" t="str">
        <f t="shared" si="49"/>
        <v>03</v>
      </c>
      <c r="C391" s="241" t="str">
        <f t="shared" si="50"/>
        <v>02</v>
      </c>
      <c r="D391" s="235" t="str">
        <f t="shared" si="51"/>
        <v>03-</v>
      </c>
      <c r="E391" s="241" t="s">
        <v>1250</v>
      </c>
      <c r="F391" s="241" t="str">
        <f t="shared" si="52"/>
        <v>-020-203</v>
      </c>
      <c r="G391" s="256" t="str">
        <f t="shared" si="47"/>
        <v>03-0x-020-203</v>
      </c>
      <c r="H391" s="241" t="s">
        <v>287</v>
      </c>
      <c r="I391" s="435" t="s">
        <v>154</v>
      </c>
      <c r="J391" s="438">
        <f>VLOOKUP(H391,'Full Trial Balance'!$A$4:$G$2306,3,FALSE)</f>
        <v>6831.64</v>
      </c>
      <c r="K391" s="438">
        <f>VLOOKUP(H391,'Full Trial Balance'!$A$4:$G$2306,4,FALSE)</f>
        <v>0</v>
      </c>
      <c r="L391" s="438">
        <f>VLOOKUP(H391,'Full Trial Balance'!$A$4:$G$2306,5,FALSE)</f>
        <v>3517.92</v>
      </c>
      <c r="M391" s="438">
        <f>VLOOKUP(H391,'Full Trial Balance'!$A$4:$G$2306,6,FALSE)</f>
        <v>277.13</v>
      </c>
      <c r="N391" s="438">
        <f>VLOOKUP(H391,'Full Trial Balance'!$A$4:$G$2306,7,FALSE)</f>
        <v>3240.79</v>
      </c>
      <c r="O391" s="485">
        <f t="shared" si="53"/>
        <v>0</v>
      </c>
    </row>
    <row r="392" spans="1:15" x14ac:dyDescent="0.25">
      <c r="A392" s="241" t="str">
        <f t="shared" si="48"/>
        <v>03-02</v>
      </c>
      <c r="B392" s="241" t="str">
        <f t="shared" si="49"/>
        <v>03</v>
      </c>
      <c r="C392" s="241" t="str">
        <f t="shared" si="50"/>
        <v>02</v>
      </c>
      <c r="D392" s="235" t="str">
        <f t="shared" si="51"/>
        <v>03-</v>
      </c>
      <c r="E392" s="241" t="s">
        <v>1250</v>
      </c>
      <c r="F392" s="241" t="str">
        <f t="shared" si="52"/>
        <v>-020-204</v>
      </c>
      <c r="G392" s="256" t="str">
        <f t="shared" si="47"/>
        <v>03-0x-020-204</v>
      </c>
      <c r="H392" s="241" t="s">
        <v>288</v>
      </c>
      <c r="I392" s="435" t="s">
        <v>38</v>
      </c>
      <c r="J392" s="438">
        <f>VLOOKUP(H392,'Full Trial Balance'!$A$4:$G$2306,3,FALSE)</f>
        <v>129845.62</v>
      </c>
      <c r="K392" s="438">
        <f>VLOOKUP(H392,'Full Trial Balance'!$A$4:$G$2306,4,FALSE)</f>
        <v>0</v>
      </c>
      <c r="L392" s="438">
        <f>VLOOKUP(H392,'Full Trial Balance'!$A$4:$G$2306,5,FALSE)</f>
        <v>64933.18</v>
      </c>
      <c r="M392" s="438">
        <f>VLOOKUP(H392,'Full Trial Balance'!$A$4:$G$2306,6,FALSE)</f>
        <v>0</v>
      </c>
      <c r="N392" s="438">
        <f>VLOOKUP(H392,'Full Trial Balance'!$A$4:$G$2306,7,FALSE)</f>
        <v>64933.18</v>
      </c>
      <c r="O392" s="485">
        <f t="shared" si="53"/>
        <v>0</v>
      </c>
    </row>
    <row r="393" spans="1:15" x14ac:dyDescent="0.25">
      <c r="A393" s="241" t="str">
        <f t="shared" si="48"/>
        <v>03-02</v>
      </c>
      <c r="B393" s="241" t="str">
        <f t="shared" si="49"/>
        <v>03</v>
      </c>
      <c r="C393" s="241" t="str">
        <f t="shared" si="50"/>
        <v>02</v>
      </c>
      <c r="D393" s="235" t="str">
        <f t="shared" si="51"/>
        <v>03-</v>
      </c>
      <c r="E393" s="241" t="s">
        <v>1250</v>
      </c>
      <c r="F393" s="241" t="str">
        <f t="shared" si="52"/>
        <v>-020-205</v>
      </c>
      <c r="G393" s="256" t="str">
        <f t="shared" si="47"/>
        <v>03-0x-020-205</v>
      </c>
      <c r="H393" s="241" t="s">
        <v>289</v>
      </c>
      <c r="I393" s="435" t="s">
        <v>77</v>
      </c>
      <c r="J393" s="438">
        <f>VLOOKUP(H393,'Full Trial Balance'!$A$4:$G$2306,3,FALSE)</f>
        <v>7421.4</v>
      </c>
      <c r="K393" s="438">
        <f>VLOOKUP(H393,'Full Trial Balance'!$A$4:$G$2306,4,FALSE)</f>
        <v>0</v>
      </c>
      <c r="L393" s="438">
        <f>VLOOKUP(H393,'Full Trial Balance'!$A$4:$G$2306,5,FALSE)</f>
        <v>3755.84</v>
      </c>
      <c r="M393" s="438">
        <f>VLOOKUP(H393,'Full Trial Balance'!$A$4:$G$2306,6,FALSE)</f>
        <v>0</v>
      </c>
      <c r="N393" s="438">
        <f>VLOOKUP(H393,'Full Trial Balance'!$A$4:$G$2306,7,FALSE)</f>
        <v>3755.84</v>
      </c>
      <c r="O393" s="485">
        <f t="shared" si="53"/>
        <v>0</v>
      </c>
    </row>
    <row r="394" spans="1:15" x14ac:dyDescent="0.25">
      <c r="A394" s="241" t="str">
        <f t="shared" si="48"/>
        <v>03-02</v>
      </c>
      <c r="B394" s="241" t="str">
        <f t="shared" si="49"/>
        <v>03</v>
      </c>
      <c r="C394" s="241" t="str">
        <f t="shared" si="50"/>
        <v>02</v>
      </c>
      <c r="D394" s="235" t="str">
        <f t="shared" si="51"/>
        <v>03-</v>
      </c>
      <c r="E394" s="241" t="s">
        <v>1250</v>
      </c>
      <c r="F394" s="241" t="str">
        <f t="shared" si="52"/>
        <v>-020-206</v>
      </c>
      <c r="G394" s="256" t="str">
        <f t="shared" si="47"/>
        <v>03-0x-020-206</v>
      </c>
      <c r="H394" s="241" t="s">
        <v>290</v>
      </c>
      <c r="I394" s="435" t="s">
        <v>78</v>
      </c>
      <c r="J394" s="438">
        <f>VLOOKUP(H394,'Full Trial Balance'!$A$4:$G$2306,3,FALSE)</f>
        <v>1310.6199999999999</v>
      </c>
      <c r="K394" s="438">
        <f>VLOOKUP(H394,'Full Trial Balance'!$A$4:$G$2306,4,FALSE)</f>
        <v>0</v>
      </c>
      <c r="L394" s="438">
        <f>VLOOKUP(H394,'Full Trial Balance'!$A$4:$G$2306,5,FALSE)</f>
        <v>708.48</v>
      </c>
      <c r="M394" s="438">
        <f>VLOOKUP(H394,'Full Trial Balance'!$A$4:$G$2306,6,FALSE)</f>
        <v>0</v>
      </c>
      <c r="N394" s="438">
        <f>VLOOKUP(H394,'Full Trial Balance'!$A$4:$G$2306,7,FALSE)</f>
        <v>708.48</v>
      </c>
      <c r="O394" s="485">
        <f t="shared" si="53"/>
        <v>0</v>
      </c>
    </row>
    <row r="395" spans="1:15" x14ac:dyDescent="0.25">
      <c r="A395" s="241" t="str">
        <f t="shared" si="48"/>
        <v>03-02</v>
      </c>
      <c r="B395" s="241" t="str">
        <f t="shared" si="49"/>
        <v>03</v>
      </c>
      <c r="C395" s="241" t="str">
        <f t="shared" si="50"/>
        <v>02</v>
      </c>
      <c r="D395" s="235" t="str">
        <f t="shared" si="51"/>
        <v>03-</v>
      </c>
      <c r="E395" s="241" t="s">
        <v>1250</v>
      </c>
      <c r="F395" s="241" t="str">
        <f t="shared" si="52"/>
        <v>-020-208</v>
      </c>
      <c r="G395" s="256" t="str">
        <f t="shared" si="47"/>
        <v>03-0x-020-208</v>
      </c>
      <c r="H395" s="241" t="s">
        <v>291</v>
      </c>
      <c r="I395" s="435" t="s">
        <v>893</v>
      </c>
      <c r="J395" s="438">
        <f>VLOOKUP(H395,'Full Trial Balance'!$A$4:$G$2306,3,FALSE)</f>
        <v>18190.599999999999</v>
      </c>
      <c r="K395" s="438">
        <f>VLOOKUP(H395,'Full Trial Balance'!$A$4:$G$2306,4,FALSE)</f>
        <v>0</v>
      </c>
      <c r="L395" s="438">
        <f>VLOOKUP(H395,'Full Trial Balance'!$A$4:$G$2306,5,FALSE)</f>
        <v>9887.2000000000007</v>
      </c>
      <c r="M395" s="438">
        <f>VLOOKUP(H395,'Full Trial Balance'!$A$4:$G$2306,6,FALSE)</f>
        <v>410.85</v>
      </c>
      <c r="N395" s="438">
        <f>VLOOKUP(H395,'Full Trial Balance'!$A$4:$G$2306,7,FALSE)</f>
        <v>9476.35</v>
      </c>
      <c r="O395" s="485">
        <f t="shared" si="53"/>
        <v>0</v>
      </c>
    </row>
    <row r="396" spans="1:15" x14ac:dyDescent="0.25">
      <c r="A396" s="241" t="str">
        <f t="shared" si="48"/>
        <v>03-02</v>
      </c>
      <c r="B396" s="241" t="str">
        <f t="shared" si="49"/>
        <v>03</v>
      </c>
      <c r="C396" s="241" t="str">
        <f t="shared" si="50"/>
        <v>02</v>
      </c>
      <c r="D396" s="235" t="str">
        <f t="shared" si="51"/>
        <v>03-</v>
      </c>
      <c r="E396" s="241" t="s">
        <v>1250</v>
      </c>
      <c r="F396" s="241" t="str">
        <f t="shared" si="52"/>
        <v>-020-209</v>
      </c>
      <c r="G396" s="256" t="str">
        <f t="shared" si="47"/>
        <v>03-0x-020-209</v>
      </c>
      <c r="H396" s="241" t="s">
        <v>292</v>
      </c>
      <c r="I396" s="435" t="s">
        <v>918</v>
      </c>
      <c r="J396" s="438">
        <f>VLOOKUP(H396,'Full Trial Balance'!$A$4:$G$2306,3,FALSE)</f>
        <v>1766.62</v>
      </c>
      <c r="K396" s="438">
        <f>VLOOKUP(H396,'Full Trial Balance'!$A$4:$G$2306,4,FALSE)</f>
        <v>0</v>
      </c>
      <c r="L396" s="438">
        <f>VLOOKUP(H396,'Full Trial Balance'!$A$4:$G$2306,5,FALSE)</f>
        <v>1618.39</v>
      </c>
      <c r="M396" s="438">
        <f>VLOOKUP(H396,'Full Trial Balance'!$A$4:$G$2306,6,FALSE)</f>
        <v>453.11</v>
      </c>
      <c r="N396" s="438">
        <f>VLOOKUP(H396,'Full Trial Balance'!$A$4:$G$2306,7,FALSE)</f>
        <v>1165.28</v>
      </c>
      <c r="O396" s="485">
        <f t="shared" si="53"/>
        <v>0</v>
      </c>
    </row>
    <row r="397" spans="1:15" x14ac:dyDescent="0.25">
      <c r="A397" s="241" t="str">
        <f t="shared" si="48"/>
        <v>03-02</v>
      </c>
      <c r="B397" s="241" t="str">
        <f t="shared" si="49"/>
        <v>03</v>
      </c>
      <c r="C397" s="241" t="str">
        <f t="shared" si="50"/>
        <v>02</v>
      </c>
      <c r="D397" s="235" t="str">
        <f t="shared" si="51"/>
        <v>03-</v>
      </c>
      <c r="E397" s="241" t="s">
        <v>1250</v>
      </c>
      <c r="F397" s="241" t="str">
        <f t="shared" si="52"/>
        <v>-020-210</v>
      </c>
      <c r="G397" s="256" t="str">
        <f t="shared" si="47"/>
        <v>03-0x-020-210</v>
      </c>
      <c r="H397" s="241" t="s">
        <v>293</v>
      </c>
      <c r="I397" s="435" t="s">
        <v>64</v>
      </c>
      <c r="J397" s="438">
        <f>VLOOKUP(H397,'Full Trial Balance'!$A$4:$G$2306,3,FALSE)</f>
        <v>2584</v>
      </c>
      <c r="K397" s="438">
        <f>VLOOKUP(H397,'Full Trial Balance'!$A$4:$G$2306,4,FALSE)</f>
        <v>0</v>
      </c>
      <c r="L397" s="438">
        <f>VLOOKUP(H397,'Full Trial Balance'!$A$4:$G$2306,5,FALSE)</f>
        <v>1711.51</v>
      </c>
      <c r="M397" s="438">
        <f>VLOOKUP(H397,'Full Trial Balance'!$A$4:$G$2306,6,FALSE)</f>
        <v>0</v>
      </c>
      <c r="N397" s="438">
        <f>VLOOKUP(H397,'Full Trial Balance'!$A$4:$G$2306,7,FALSE)</f>
        <v>1711.51</v>
      </c>
      <c r="O397" s="485">
        <f t="shared" si="53"/>
        <v>0</v>
      </c>
    </row>
    <row r="398" spans="1:15" x14ac:dyDescent="0.25">
      <c r="A398" s="241" t="str">
        <f t="shared" si="48"/>
        <v>03-02</v>
      </c>
      <c r="B398" s="241" t="str">
        <f t="shared" si="49"/>
        <v>03</v>
      </c>
      <c r="C398" s="241" t="str">
        <f t="shared" si="50"/>
        <v>02</v>
      </c>
      <c r="D398" s="235" t="str">
        <f t="shared" si="51"/>
        <v>03-</v>
      </c>
      <c r="E398" s="241" t="s">
        <v>1250</v>
      </c>
      <c r="F398" s="241" t="str">
        <f t="shared" si="52"/>
        <v>-020-211</v>
      </c>
      <c r="G398" s="256" t="str">
        <f t="shared" si="47"/>
        <v>03-0x-020-211</v>
      </c>
      <c r="H398" s="241" t="s">
        <v>294</v>
      </c>
      <c r="I398" s="435" t="s">
        <v>65</v>
      </c>
      <c r="J398" s="438">
        <f>VLOOKUP(H398,'Full Trial Balance'!$A$4:$G$2306,3,FALSE)</f>
        <v>1292</v>
      </c>
      <c r="K398" s="438">
        <f>VLOOKUP(H398,'Full Trial Balance'!$A$4:$G$2306,4,FALSE)</f>
        <v>0</v>
      </c>
      <c r="L398" s="438">
        <f>VLOOKUP(H398,'Full Trial Balance'!$A$4:$G$2306,5,FALSE)</f>
        <v>452.87</v>
      </c>
      <c r="M398" s="438">
        <f>VLOOKUP(H398,'Full Trial Balance'!$A$4:$G$2306,6,FALSE)</f>
        <v>0</v>
      </c>
      <c r="N398" s="438">
        <f>VLOOKUP(H398,'Full Trial Balance'!$A$4:$G$2306,7,FALSE)</f>
        <v>452.87</v>
      </c>
      <c r="O398" s="485">
        <f t="shared" si="53"/>
        <v>0</v>
      </c>
    </row>
    <row r="399" spans="1:15" x14ac:dyDescent="0.25">
      <c r="A399" s="241" t="str">
        <f t="shared" si="48"/>
        <v>03-02</v>
      </c>
      <c r="B399" s="241" t="str">
        <f t="shared" si="49"/>
        <v>03</v>
      </c>
      <c r="C399" s="241" t="str">
        <f t="shared" si="50"/>
        <v>02</v>
      </c>
      <c r="D399" s="235" t="str">
        <f t="shared" si="51"/>
        <v>03-</v>
      </c>
      <c r="E399" s="241" t="s">
        <v>1250</v>
      </c>
      <c r="F399" s="241" t="str">
        <f t="shared" si="52"/>
        <v>-020-212</v>
      </c>
      <c r="G399" s="256" t="str">
        <f t="shared" si="47"/>
        <v>03-0x-020-212</v>
      </c>
      <c r="H399" s="241" t="s">
        <v>295</v>
      </c>
      <c r="I399" s="435" t="s">
        <v>40</v>
      </c>
      <c r="J399" s="438">
        <f>VLOOKUP(H399,'Full Trial Balance'!$A$4:$G$2306,3,FALSE)</f>
        <v>1999.18</v>
      </c>
      <c r="K399" s="438">
        <f>VLOOKUP(H399,'Full Trial Balance'!$A$4:$G$2306,4,FALSE)</f>
        <v>0</v>
      </c>
      <c r="L399" s="438">
        <f>VLOOKUP(H399,'Full Trial Balance'!$A$4:$G$2306,5,FALSE)</f>
        <v>12.45</v>
      </c>
      <c r="M399" s="438">
        <f>VLOOKUP(H399,'Full Trial Balance'!$A$4:$G$2306,6,FALSE)</f>
        <v>0</v>
      </c>
      <c r="N399" s="438">
        <f>VLOOKUP(H399,'Full Trial Balance'!$A$4:$G$2306,7,FALSE)</f>
        <v>12.45</v>
      </c>
      <c r="O399" s="485">
        <f t="shared" si="53"/>
        <v>0</v>
      </c>
    </row>
    <row r="400" spans="1:15" x14ac:dyDescent="0.25">
      <c r="A400" s="241" t="str">
        <f t="shared" si="48"/>
        <v>03-02</v>
      </c>
      <c r="B400" s="241" t="str">
        <f t="shared" si="49"/>
        <v>03</v>
      </c>
      <c r="C400" s="241" t="str">
        <f t="shared" si="50"/>
        <v>02</v>
      </c>
      <c r="D400" s="235" t="str">
        <f t="shared" si="51"/>
        <v>03-</v>
      </c>
      <c r="E400" s="241" t="s">
        <v>1250</v>
      </c>
      <c r="F400" s="241" t="str">
        <f t="shared" si="52"/>
        <v>-020-213</v>
      </c>
      <c r="G400" s="235" t="str">
        <f t="shared" si="47"/>
        <v>03-0x-020-213</v>
      </c>
      <c r="H400" s="241" t="s">
        <v>296</v>
      </c>
      <c r="I400" s="435" t="s">
        <v>41</v>
      </c>
      <c r="J400" s="438">
        <f>VLOOKUP(H400,'Full Trial Balance'!$A$4:$G$2306,3,FALSE)</f>
        <v>44.46</v>
      </c>
      <c r="K400" s="438">
        <f>VLOOKUP(H400,'Full Trial Balance'!$A$4:$G$2306,4,FALSE)</f>
        <v>0</v>
      </c>
      <c r="L400" s="438">
        <f>VLOOKUP(H400,'Full Trial Balance'!$A$4:$G$2306,5,FALSE)</f>
        <v>0</v>
      </c>
      <c r="M400" s="438">
        <f>VLOOKUP(H400,'Full Trial Balance'!$A$4:$G$2306,6,FALSE)</f>
        <v>0</v>
      </c>
      <c r="N400" s="438">
        <f>VLOOKUP(H400,'Full Trial Balance'!$A$4:$G$2306,7,FALSE)</f>
        <v>0</v>
      </c>
      <c r="O400" s="485">
        <f t="shared" si="53"/>
        <v>0</v>
      </c>
    </row>
    <row r="401" spans="1:15" x14ac:dyDescent="0.25">
      <c r="A401" s="241" t="str">
        <f t="shared" si="48"/>
        <v>03-02</v>
      </c>
      <c r="B401" s="241" t="str">
        <f t="shared" si="49"/>
        <v>03</v>
      </c>
      <c r="C401" s="241" t="str">
        <f t="shared" si="50"/>
        <v>02</v>
      </c>
      <c r="D401" s="235" t="str">
        <f t="shared" si="51"/>
        <v>03-</v>
      </c>
      <c r="E401" s="241" t="s">
        <v>1250</v>
      </c>
      <c r="F401" s="241" t="str">
        <f t="shared" si="52"/>
        <v>-020-215</v>
      </c>
      <c r="G401" s="235" t="str">
        <f t="shared" si="47"/>
        <v>03-0x-020-215</v>
      </c>
      <c r="H401" s="241" t="s">
        <v>297</v>
      </c>
      <c r="I401" s="435" t="s">
        <v>42</v>
      </c>
      <c r="J401" s="438">
        <f>VLOOKUP(H401,'Full Trial Balance'!$A$4:$G$2306,3,FALSE)</f>
        <v>1388.52</v>
      </c>
      <c r="K401" s="438">
        <f>VLOOKUP(H401,'Full Trial Balance'!$A$4:$G$2306,4,FALSE)</f>
        <v>0</v>
      </c>
      <c r="L401" s="438">
        <f>VLOOKUP(H401,'Full Trial Balance'!$A$4:$G$2306,5,FALSE)</f>
        <v>860.84</v>
      </c>
      <c r="M401" s="438">
        <f>VLOOKUP(H401,'Full Trial Balance'!$A$4:$G$2306,6,FALSE)</f>
        <v>46.18</v>
      </c>
      <c r="N401" s="438">
        <f>VLOOKUP(H401,'Full Trial Balance'!$A$4:$G$2306,7,FALSE)</f>
        <v>814.66</v>
      </c>
      <c r="O401" s="485">
        <f t="shared" si="53"/>
        <v>-6.3948846218409017E-14</v>
      </c>
    </row>
    <row r="402" spans="1:15" x14ac:dyDescent="0.25">
      <c r="A402" s="241" t="str">
        <f t="shared" si="48"/>
        <v>03-02</v>
      </c>
      <c r="B402" s="241" t="str">
        <f t="shared" si="49"/>
        <v>03</v>
      </c>
      <c r="C402" s="241" t="str">
        <f t="shared" si="50"/>
        <v>02</v>
      </c>
      <c r="D402" s="235" t="str">
        <f t="shared" si="51"/>
        <v>03-</v>
      </c>
      <c r="E402" s="241" t="s">
        <v>1250</v>
      </c>
      <c r="F402" s="241" t="str">
        <f t="shared" si="52"/>
        <v>-020-217</v>
      </c>
      <c r="G402" s="489" t="s">
        <v>3437</v>
      </c>
      <c r="H402" s="241" t="s">
        <v>298</v>
      </c>
      <c r="I402" s="435" t="s">
        <v>43</v>
      </c>
      <c r="J402" s="438">
        <f>VLOOKUP(H402,'Full Trial Balance'!$A$4:$G$2306,3,FALSE)</f>
        <v>40444.92</v>
      </c>
      <c r="K402" s="438">
        <f>VLOOKUP(H402,'Full Trial Balance'!$A$4:$G$2306,4,FALSE)</f>
        <v>0</v>
      </c>
      <c r="L402" s="438">
        <f>VLOOKUP(H402,'Full Trial Balance'!$A$4:$G$2306,5,FALSE)</f>
        <v>20610.48</v>
      </c>
      <c r="M402" s="438">
        <f>VLOOKUP(H402,'Full Trial Balance'!$A$4:$G$2306,6,FALSE)</f>
        <v>1699.61</v>
      </c>
      <c r="N402" s="438">
        <f>VLOOKUP(H402,'Full Trial Balance'!$A$4:$G$2306,7,FALSE)</f>
        <v>18910.87</v>
      </c>
      <c r="O402" s="485">
        <f t="shared" si="53"/>
        <v>0</v>
      </c>
    </row>
    <row r="403" spans="1:15" x14ac:dyDescent="0.25">
      <c r="A403" s="241" t="str">
        <f t="shared" si="48"/>
        <v>03-02</v>
      </c>
      <c r="B403" s="241" t="str">
        <f t="shared" si="49"/>
        <v>03</v>
      </c>
      <c r="C403" s="241" t="str">
        <f t="shared" si="50"/>
        <v>02</v>
      </c>
      <c r="D403" s="235" t="str">
        <f t="shared" si="51"/>
        <v>03-</v>
      </c>
      <c r="E403" s="241" t="s">
        <v>1250</v>
      </c>
      <c r="F403" s="241" t="str">
        <f t="shared" si="52"/>
        <v>-020-218</v>
      </c>
      <c r="G403" s="489" t="s">
        <v>3438</v>
      </c>
      <c r="H403" s="241" t="s">
        <v>299</v>
      </c>
      <c r="I403" s="435" t="s">
        <v>44</v>
      </c>
      <c r="J403" s="438">
        <f>VLOOKUP(H403,'Full Trial Balance'!$A$4:$G$2306,3,FALSE)</f>
        <v>33411.120000000003</v>
      </c>
      <c r="K403" s="438">
        <f>VLOOKUP(H403,'Full Trial Balance'!$A$4:$G$2306,4,FALSE)</f>
        <v>0</v>
      </c>
      <c r="L403" s="438">
        <f>VLOOKUP(H403,'Full Trial Balance'!$A$4:$G$2306,5,FALSE)</f>
        <v>17078.23</v>
      </c>
      <c r="M403" s="438">
        <f>VLOOKUP(H403,'Full Trial Balance'!$A$4:$G$2306,6,FALSE)</f>
        <v>1399.96</v>
      </c>
      <c r="N403" s="438">
        <f>VLOOKUP(H403,'Full Trial Balance'!$A$4:$G$2306,7,FALSE)</f>
        <v>15678.27</v>
      </c>
      <c r="O403" s="485">
        <f t="shared" si="53"/>
        <v>0</v>
      </c>
    </row>
    <row r="404" spans="1:15" x14ac:dyDescent="0.25">
      <c r="A404" s="241" t="str">
        <f t="shared" si="48"/>
        <v>03-02</v>
      </c>
      <c r="B404" s="241" t="str">
        <f t="shared" si="49"/>
        <v>03</v>
      </c>
      <c r="C404" s="241" t="str">
        <f t="shared" si="50"/>
        <v>02</v>
      </c>
      <c r="D404" s="235" t="str">
        <f t="shared" si="51"/>
        <v>03-</v>
      </c>
      <c r="E404" s="241" t="s">
        <v>1250</v>
      </c>
      <c r="F404" s="241" t="str">
        <f t="shared" si="52"/>
        <v>-020-220</v>
      </c>
      <c r="G404" s="235" t="str">
        <f>CONCATENATE(D404,E404,F404)</f>
        <v>03-0x-020-220</v>
      </c>
      <c r="H404" s="241" t="s">
        <v>300</v>
      </c>
      <c r="I404" s="435" t="s">
        <v>183</v>
      </c>
      <c r="J404" s="438">
        <f>VLOOKUP(H404,'Full Trial Balance'!$A$4:$G$2306,3,FALSE)</f>
        <v>17100</v>
      </c>
      <c r="K404" s="438">
        <f>VLOOKUP(H404,'Full Trial Balance'!$A$4:$G$2306,4,FALSE)</f>
        <v>0</v>
      </c>
      <c r="L404" s="438">
        <f>VLOOKUP(H404,'Full Trial Balance'!$A$4:$G$2306,5,FALSE)</f>
        <v>0</v>
      </c>
      <c r="M404" s="438">
        <f>VLOOKUP(H404,'Full Trial Balance'!$A$4:$G$2306,6,FALSE)</f>
        <v>0</v>
      </c>
      <c r="N404" s="438">
        <f>VLOOKUP(H404,'Full Trial Balance'!$A$4:$G$2306,7,FALSE)</f>
        <v>0</v>
      </c>
      <c r="O404" s="485">
        <f t="shared" si="53"/>
        <v>0</v>
      </c>
    </row>
    <row r="405" spans="1:15" x14ac:dyDescent="0.25">
      <c r="A405" s="241" t="str">
        <f t="shared" si="48"/>
        <v>03-02</v>
      </c>
      <c r="B405" s="241" t="str">
        <f t="shared" si="49"/>
        <v>03</v>
      </c>
      <c r="C405" s="241" t="str">
        <f t="shared" si="50"/>
        <v>02</v>
      </c>
      <c r="D405" s="235" t="str">
        <f t="shared" si="51"/>
        <v>03-</v>
      </c>
      <c r="E405" s="241" t="s">
        <v>1250</v>
      </c>
      <c r="F405" s="241" t="str">
        <f t="shared" si="52"/>
        <v>-033-106</v>
      </c>
      <c r="G405" s="235" t="s">
        <v>1455</v>
      </c>
      <c r="H405" s="241" t="s">
        <v>301</v>
      </c>
      <c r="I405" s="435" t="s">
        <v>1161</v>
      </c>
      <c r="J405" s="438">
        <f>VLOOKUP(H405,'Full Trial Balance'!$A$4:$G$2306,3,FALSE)</f>
        <v>884</v>
      </c>
      <c r="K405" s="438">
        <f>VLOOKUP(H405,'Full Trial Balance'!$A$4:$G$2306,4,FALSE)</f>
        <v>0</v>
      </c>
      <c r="L405" s="438">
        <f>VLOOKUP(H405,'Full Trial Balance'!$A$4:$G$2306,5,FALSE)</f>
        <v>0</v>
      </c>
      <c r="M405" s="438">
        <f>VLOOKUP(H405,'Full Trial Balance'!$A$4:$G$2306,6,FALSE)</f>
        <v>0</v>
      </c>
      <c r="N405" s="438">
        <f>VLOOKUP(H405,'Full Trial Balance'!$A$4:$G$2306,7,FALSE)</f>
        <v>0</v>
      </c>
      <c r="O405" s="485">
        <f t="shared" si="53"/>
        <v>0</v>
      </c>
    </row>
    <row r="406" spans="1:15" x14ac:dyDescent="0.25">
      <c r="A406" s="241" t="str">
        <f t="shared" si="48"/>
        <v>03-02</v>
      </c>
      <c r="B406" s="241" t="str">
        <f t="shared" si="49"/>
        <v>03</v>
      </c>
      <c r="C406" s="241" t="str">
        <f t="shared" si="50"/>
        <v>02</v>
      </c>
      <c r="D406" s="235" t="str">
        <f t="shared" si="51"/>
        <v>03-</v>
      </c>
      <c r="E406" s="241" t="s">
        <v>1250</v>
      </c>
      <c r="F406" s="241" t="str">
        <f t="shared" si="52"/>
        <v>-035-003</v>
      </c>
      <c r="G406" s="235" t="s">
        <v>1455</v>
      </c>
      <c r="H406" s="241" t="s">
        <v>302</v>
      </c>
      <c r="I406" s="435" t="s">
        <v>48</v>
      </c>
      <c r="J406" s="438">
        <f>VLOOKUP(H406,'Full Trial Balance'!$A$4:$G$2306,3,FALSE)</f>
        <v>520</v>
      </c>
      <c r="K406" s="438">
        <f>VLOOKUP(H406,'Full Trial Balance'!$A$4:$G$2306,4,FALSE)</f>
        <v>0</v>
      </c>
      <c r="L406" s="438">
        <f>VLOOKUP(H406,'Full Trial Balance'!$A$4:$G$2306,5,FALSE)</f>
        <v>0</v>
      </c>
      <c r="M406" s="438">
        <f>VLOOKUP(H406,'Full Trial Balance'!$A$4:$G$2306,6,FALSE)</f>
        <v>0</v>
      </c>
      <c r="N406" s="438">
        <f>VLOOKUP(H406,'Full Trial Balance'!$A$4:$G$2306,7,FALSE)</f>
        <v>0</v>
      </c>
      <c r="O406" s="485">
        <f t="shared" si="53"/>
        <v>0</v>
      </c>
    </row>
    <row r="407" spans="1:15" x14ac:dyDescent="0.25">
      <c r="A407" s="241" t="str">
        <f t="shared" si="48"/>
        <v>03-02</v>
      </c>
      <c r="B407" s="241" t="str">
        <f t="shared" si="49"/>
        <v>03</v>
      </c>
      <c r="C407" s="241" t="str">
        <f t="shared" si="50"/>
        <v>02</v>
      </c>
      <c r="D407" s="235" t="str">
        <f t="shared" si="51"/>
        <v>03-</v>
      </c>
      <c r="E407" s="241" t="s">
        <v>1250</v>
      </c>
      <c r="F407" s="241" t="str">
        <f t="shared" si="52"/>
        <v>-035-005</v>
      </c>
      <c r="G407" s="235" t="s">
        <v>1460</v>
      </c>
      <c r="H407" s="241" t="s">
        <v>303</v>
      </c>
      <c r="I407" s="435" t="s">
        <v>50</v>
      </c>
      <c r="J407" s="438">
        <f>VLOOKUP(H407,'Full Trial Balance'!$A$4:$G$2306,3,FALSE)</f>
        <v>0</v>
      </c>
      <c r="K407" s="438">
        <f>VLOOKUP(H407,'Full Trial Balance'!$A$4:$G$2306,4,FALSE)</f>
        <v>0</v>
      </c>
      <c r="L407" s="438">
        <f>VLOOKUP(H407,'Full Trial Balance'!$A$4:$G$2306,5,FALSE)</f>
        <v>0</v>
      </c>
      <c r="M407" s="438">
        <f>VLOOKUP(H407,'Full Trial Balance'!$A$4:$G$2306,6,FALSE)</f>
        <v>0</v>
      </c>
      <c r="N407" s="438">
        <f>VLOOKUP(H407,'Full Trial Balance'!$A$4:$G$2306,7,FALSE)</f>
        <v>0</v>
      </c>
      <c r="O407" s="485">
        <f t="shared" si="53"/>
        <v>0</v>
      </c>
    </row>
    <row r="408" spans="1:15" x14ac:dyDescent="0.25">
      <c r="A408" s="241" t="str">
        <f t="shared" si="48"/>
        <v>03-02</v>
      </c>
      <c r="B408" s="241" t="str">
        <f t="shared" si="49"/>
        <v>03</v>
      </c>
      <c r="C408" s="241" t="str">
        <f t="shared" si="50"/>
        <v>02</v>
      </c>
      <c r="D408" s="235" t="str">
        <f t="shared" si="51"/>
        <v>03-</v>
      </c>
      <c r="E408" s="241" t="s">
        <v>1250</v>
      </c>
      <c r="F408" s="241" t="str">
        <f t="shared" si="52"/>
        <v>-038-111</v>
      </c>
      <c r="G408" s="235" t="str">
        <f>CONCATENATE(D408,E408,F408)</f>
        <v>03-0x-038-111</v>
      </c>
      <c r="H408" s="241" t="s">
        <v>1194</v>
      </c>
      <c r="I408" s="435" t="s">
        <v>52</v>
      </c>
      <c r="J408" s="438">
        <f>VLOOKUP(H408,'Full Trial Balance'!$A$4:$G$2306,3,FALSE)</f>
        <v>0</v>
      </c>
      <c r="K408" s="438">
        <f>VLOOKUP(H408,'Full Trial Balance'!$A$4:$G$2306,4,FALSE)</f>
        <v>0</v>
      </c>
      <c r="L408" s="438">
        <f>VLOOKUP(H408,'Full Trial Balance'!$A$4:$G$2306,5,FALSE)</f>
        <v>0</v>
      </c>
      <c r="M408" s="438">
        <f>VLOOKUP(H408,'Full Trial Balance'!$A$4:$G$2306,6,FALSE)</f>
        <v>0</v>
      </c>
      <c r="N408" s="438">
        <f>VLOOKUP(H408,'Full Trial Balance'!$A$4:$G$2306,7,FALSE)</f>
        <v>0</v>
      </c>
      <c r="O408" s="485">
        <f t="shared" si="53"/>
        <v>0</v>
      </c>
    </row>
    <row r="409" spans="1:15" x14ac:dyDescent="0.25">
      <c r="A409" s="241" t="str">
        <f t="shared" si="48"/>
        <v>03-02</v>
      </c>
      <c r="B409" s="241" t="str">
        <f t="shared" si="49"/>
        <v>03</v>
      </c>
      <c r="C409" s="241" t="str">
        <f t="shared" si="50"/>
        <v>02</v>
      </c>
      <c r="D409" s="235" t="str">
        <f t="shared" si="51"/>
        <v>03-</v>
      </c>
      <c r="E409" s="241" t="s">
        <v>1250</v>
      </c>
      <c r="F409" s="241" t="str">
        <f t="shared" si="52"/>
        <v>-040-019</v>
      </c>
      <c r="G409" s="235" t="s">
        <v>1394</v>
      </c>
      <c r="H409" s="241" t="s">
        <v>304</v>
      </c>
      <c r="I409" s="435" t="s">
        <v>54</v>
      </c>
      <c r="J409" s="438">
        <f>VLOOKUP(H409,'Full Trial Balance'!$A$4:$G$2306,3,FALSE)</f>
        <v>3380</v>
      </c>
      <c r="K409" s="438">
        <f>VLOOKUP(H409,'Full Trial Balance'!$A$4:$G$2306,4,FALSE)</f>
        <v>0</v>
      </c>
      <c r="L409" s="438">
        <f>VLOOKUP(H409,'Full Trial Balance'!$A$4:$G$2306,5,FALSE)</f>
        <v>838.64</v>
      </c>
      <c r="M409" s="438">
        <f>VLOOKUP(H409,'Full Trial Balance'!$A$4:$G$2306,6,FALSE)</f>
        <v>0</v>
      </c>
      <c r="N409" s="438">
        <f>VLOOKUP(H409,'Full Trial Balance'!$A$4:$G$2306,7,FALSE)</f>
        <v>838.64</v>
      </c>
      <c r="O409" s="485">
        <f t="shared" si="53"/>
        <v>0</v>
      </c>
    </row>
    <row r="410" spans="1:15" x14ac:dyDescent="0.25">
      <c r="A410" s="241" t="str">
        <f t="shared" si="48"/>
        <v>03-02</v>
      </c>
      <c r="B410" s="241" t="str">
        <f t="shared" si="49"/>
        <v>03</v>
      </c>
      <c r="C410" s="241" t="str">
        <f t="shared" si="50"/>
        <v>02</v>
      </c>
      <c r="D410" s="235" t="str">
        <f t="shared" si="51"/>
        <v>03-</v>
      </c>
      <c r="E410" s="241" t="s">
        <v>1250</v>
      </c>
      <c r="F410" s="241" t="str">
        <f t="shared" si="52"/>
        <v>-040-024</v>
      </c>
      <c r="G410" s="235" t="str">
        <f>CONCATENATE(D410,E410,F410)</f>
        <v>03-0x-040-024</v>
      </c>
      <c r="H410" s="241" t="s">
        <v>305</v>
      </c>
      <c r="I410" s="435" t="s">
        <v>71</v>
      </c>
      <c r="J410" s="438">
        <f>VLOOKUP(H410,'Full Trial Balance'!$A$4:$G$2306,3,FALSE)</f>
        <v>6240</v>
      </c>
      <c r="K410" s="438">
        <f>VLOOKUP(H410,'Full Trial Balance'!$A$4:$G$2306,4,FALSE)</f>
        <v>0</v>
      </c>
      <c r="L410" s="438">
        <f>VLOOKUP(H410,'Full Trial Balance'!$A$4:$G$2306,5,FALSE)</f>
        <v>1740.21</v>
      </c>
      <c r="M410" s="438">
        <f>VLOOKUP(H410,'Full Trial Balance'!$A$4:$G$2306,6,FALSE)</f>
        <v>0</v>
      </c>
      <c r="N410" s="438">
        <f>VLOOKUP(H410,'Full Trial Balance'!$A$4:$G$2306,7,FALSE)</f>
        <v>1740.21</v>
      </c>
      <c r="O410" s="485">
        <f t="shared" si="53"/>
        <v>0</v>
      </c>
    </row>
    <row r="411" spans="1:15" x14ac:dyDescent="0.25">
      <c r="A411" s="241" t="str">
        <f t="shared" si="48"/>
        <v>03-02</v>
      </c>
      <c r="B411" s="241" t="str">
        <f t="shared" si="49"/>
        <v>03</v>
      </c>
      <c r="C411" s="241" t="str">
        <f t="shared" si="50"/>
        <v>02</v>
      </c>
      <c r="D411" s="235" t="str">
        <f t="shared" si="51"/>
        <v>03-</v>
      </c>
      <c r="E411" s="241" t="s">
        <v>1250</v>
      </c>
      <c r="F411" s="241" t="str">
        <f t="shared" si="52"/>
        <v>-050-120</v>
      </c>
      <c r="G411" s="235" t="s">
        <v>1256</v>
      </c>
      <c r="H411" s="241" t="s">
        <v>306</v>
      </c>
      <c r="I411" s="435" t="s">
        <v>80</v>
      </c>
      <c r="J411" s="438">
        <f>VLOOKUP(H411,'Full Trial Balance'!$A$4:$G$2306,3,FALSE)</f>
        <v>2600</v>
      </c>
      <c r="K411" s="438">
        <f>VLOOKUP(H411,'Full Trial Balance'!$A$4:$G$2306,4,FALSE)</f>
        <v>0</v>
      </c>
      <c r="L411" s="438">
        <f>VLOOKUP(H411,'Full Trial Balance'!$A$4:$G$2306,5,FALSE)</f>
        <v>1705.42</v>
      </c>
      <c r="M411" s="438">
        <f>VLOOKUP(H411,'Full Trial Balance'!$A$4:$G$2306,6,FALSE)</f>
        <v>0</v>
      </c>
      <c r="N411" s="438">
        <f>VLOOKUP(H411,'Full Trial Balance'!$A$4:$G$2306,7,FALSE)</f>
        <v>1705.42</v>
      </c>
      <c r="O411" s="485">
        <f t="shared" si="53"/>
        <v>0</v>
      </c>
    </row>
    <row r="412" spans="1:15" x14ac:dyDescent="0.25">
      <c r="A412" s="241" t="str">
        <f t="shared" si="48"/>
        <v>03-02</v>
      </c>
      <c r="B412" s="241" t="str">
        <f t="shared" si="49"/>
        <v>03</v>
      </c>
      <c r="C412" s="241" t="str">
        <f t="shared" si="50"/>
        <v>02</v>
      </c>
      <c r="D412" s="235" t="str">
        <f t="shared" si="51"/>
        <v>03-</v>
      </c>
      <c r="E412" s="241" t="s">
        <v>1250</v>
      </c>
      <c r="F412" s="241" t="str">
        <f t="shared" si="52"/>
        <v>-050-121</v>
      </c>
      <c r="G412" s="235" t="s">
        <v>1256</v>
      </c>
      <c r="H412" s="241" t="s">
        <v>307</v>
      </c>
      <c r="I412" s="435" t="s">
        <v>1163</v>
      </c>
      <c r="J412" s="438">
        <f>VLOOKUP(H412,'Full Trial Balance'!$A$4:$G$2306,3,FALSE)</f>
        <v>85800</v>
      </c>
      <c r="K412" s="438">
        <f>VLOOKUP(H412,'Full Trial Balance'!$A$4:$G$2306,4,FALSE)</f>
        <v>0</v>
      </c>
      <c r="L412" s="438">
        <f>VLOOKUP(H412,'Full Trial Balance'!$A$4:$G$2306,5,FALSE)</f>
        <v>58984.02</v>
      </c>
      <c r="M412" s="438">
        <f>VLOOKUP(H412,'Full Trial Balance'!$A$4:$G$2306,6,FALSE)</f>
        <v>7452.96</v>
      </c>
      <c r="N412" s="438">
        <f>VLOOKUP(H412,'Full Trial Balance'!$A$4:$G$2306,7,FALSE)</f>
        <v>51531.06</v>
      </c>
      <c r="O412" s="485">
        <f t="shared" si="53"/>
        <v>0</v>
      </c>
    </row>
    <row r="413" spans="1:15" x14ac:dyDescent="0.25">
      <c r="A413" s="241" t="str">
        <f t="shared" si="48"/>
        <v>03-02</v>
      </c>
      <c r="B413" s="241" t="str">
        <f t="shared" si="49"/>
        <v>03</v>
      </c>
      <c r="C413" s="241" t="str">
        <f t="shared" si="50"/>
        <v>02</v>
      </c>
      <c r="D413" s="235" t="str">
        <f t="shared" si="51"/>
        <v>03-</v>
      </c>
      <c r="E413" s="241" t="s">
        <v>1250</v>
      </c>
      <c r="F413" s="241" t="str">
        <f t="shared" si="52"/>
        <v>-050-122</v>
      </c>
      <c r="G413" s="235" t="s">
        <v>1255</v>
      </c>
      <c r="H413" s="241" t="s">
        <v>308</v>
      </c>
      <c r="I413" s="435" t="s">
        <v>81</v>
      </c>
      <c r="J413" s="438">
        <f>VLOOKUP(H413,'Full Trial Balance'!$A$4:$G$2306,3,FALSE)</f>
        <v>78</v>
      </c>
      <c r="K413" s="438">
        <f>VLOOKUP(H413,'Full Trial Balance'!$A$4:$G$2306,4,FALSE)</f>
        <v>0</v>
      </c>
      <c r="L413" s="438">
        <f>VLOOKUP(H413,'Full Trial Balance'!$A$4:$G$2306,5,FALSE)</f>
        <v>0</v>
      </c>
      <c r="M413" s="438">
        <f>VLOOKUP(H413,'Full Trial Balance'!$A$4:$G$2306,6,FALSE)</f>
        <v>0</v>
      </c>
      <c r="N413" s="438">
        <f>VLOOKUP(H413,'Full Trial Balance'!$A$4:$G$2306,7,FALSE)</f>
        <v>0</v>
      </c>
      <c r="O413" s="485">
        <f t="shared" si="53"/>
        <v>0</v>
      </c>
    </row>
    <row r="414" spans="1:15" x14ac:dyDescent="0.25">
      <c r="A414" s="241" t="str">
        <f t="shared" si="48"/>
        <v>03-02</v>
      </c>
      <c r="B414" s="241" t="str">
        <f t="shared" si="49"/>
        <v>03</v>
      </c>
      <c r="C414" s="241" t="str">
        <f t="shared" si="50"/>
        <v>02</v>
      </c>
      <c r="D414" s="235" t="str">
        <f t="shared" si="51"/>
        <v>03-</v>
      </c>
      <c r="E414" s="241" t="s">
        <v>1250</v>
      </c>
      <c r="F414" s="241" t="str">
        <f t="shared" si="52"/>
        <v>-050-124</v>
      </c>
      <c r="G414" s="235" t="s">
        <v>1256</v>
      </c>
      <c r="H414" s="241" t="s">
        <v>309</v>
      </c>
      <c r="I414" s="435" t="s">
        <v>82</v>
      </c>
      <c r="J414" s="438">
        <f>VLOOKUP(H414,'Full Trial Balance'!$A$4:$G$2306,3,FALSE)</f>
        <v>8580</v>
      </c>
      <c r="K414" s="438">
        <f>VLOOKUP(H414,'Full Trial Balance'!$A$4:$G$2306,4,FALSE)</f>
        <v>0</v>
      </c>
      <c r="L414" s="438">
        <f>VLOOKUP(H414,'Full Trial Balance'!$A$4:$G$2306,5,FALSE)</f>
        <v>5953.19</v>
      </c>
      <c r="M414" s="438">
        <f>VLOOKUP(H414,'Full Trial Balance'!$A$4:$G$2306,6,FALSE)</f>
        <v>0</v>
      </c>
      <c r="N414" s="438">
        <f>VLOOKUP(H414,'Full Trial Balance'!$A$4:$G$2306,7,FALSE)</f>
        <v>5953.19</v>
      </c>
      <c r="O414" s="485">
        <f t="shared" si="53"/>
        <v>0</v>
      </c>
    </row>
    <row r="415" spans="1:15" x14ac:dyDescent="0.25">
      <c r="A415" s="241" t="str">
        <f t="shared" si="48"/>
        <v>03-02</v>
      </c>
      <c r="B415" s="241" t="str">
        <f t="shared" si="49"/>
        <v>03</v>
      </c>
      <c r="C415" s="241" t="str">
        <f t="shared" si="50"/>
        <v>02</v>
      </c>
      <c r="D415" s="235" t="str">
        <f t="shared" si="51"/>
        <v>03-</v>
      </c>
      <c r="E415" s="241" t="s">
        <v>1250</v>
      </c>
      <c r="F415" s="241" t="str">
        <f t="shared" si="52"/>
        <v>-050-125</v>
      </c>
      <c r="G415" s="235" t="s">
        <v>1256</v>
      </c>
      <c r="H415" s="241" t="s">
        <v>310</v>
      </c>
      <c r="I415" s="435" t="s">
        <v>221</v>
      </c>
      <c r="J415" s="438">
        <f>VLOOKUP(H415,'Full Trial Balance'!$A$4:$G$2306,3,FALSE)</f>
        <v>0</v>
      </c>
      <c r="K415" s="438">
        <f>VLOOKUP(H415,'Full Trial Balance'!$A$4:$G$2306,4,FALSE)</f>
        <v>0</v>
      </c>
      <c r="L415" s="438">
        <f>VLOOKUP(H415,'Full Trial Balance'!$A$4:$G$2306,5,FALSE)</f>
        <v>0</v>
      </c>
      <c r="M415" s="438">
        <f>VLOOKUP(H415,'Full Trial Balance'!$A$4:$G$2306,6,FALSE)</f>
        <v>0</v>
      </c>
      <c r="N415" s="438">
        <f>VLOOKUP(H415,'Full Trial Balance'!$A$4:$G$2306,7,FALSE)</f>
        <v>0</v>
      </c>
      <c r="O415" s="485">
        <f t="shared" si="53"/>
        <v>0</v>
      </c>
    </row>
    <row r="416" spans="1:15" x14ac:dyDescent="0.25">
      <c r="A416" s="430" t="str">
        <f t="shared" si="48"/>
        <v>03-02</v>
      </c>
      <c r="B416" s="430" t="str">
        <f t="shared" si="49"/>
        <v>03</v>
      </c>
      <c r="C416" s="430" t="str">
        <f t="shared" si="50"/>
        <v>02</v>
      </c>
      <c r="D416" s="429" t="str">
        <f t="shared" si="51"/>
        <v>03-</v>
      </c>
      <c r="E416" s="430" t="s">
        <v>1250</v>
      </c>
      <c r="F416" s="430" t="str">
        <f t="shared" si="52"/>
        <v>-050-127</v>
      </c>
      <c r="G416" s="429" t="s">
        <v>1444</v>
      </c>
      <c r="H416" s="241" t="s">
        <v>311</v>
      </c>
      <c r="I416" s="435" t="s">
        <v>83</v>
      </c>
      <c r="J416" s="438">
        <f>VLOOKUP(H416,'Full Trial Balance'!$A$4:$G$2306,3,FALSE)</f>
        <v>1820</v>
      </c>
      <c r="K416" s="438">
        <f>VLOOKUP(H416,'Full Trial Balance'!$A$4:$G$2306,4,FALSE)</f>
        <v>0</v>
      </c>
      <c r="L416" s="438">
        <f>VLOOKUP(H416,'Full Trial Balance'!$A$4:$G$2306,5,FALSE)</f>
        <v>864.53</v>
      </c>
      <c r="M416" s="438">
        <f>VLOOKUP(H416,'Full Trial Balance'!$A$4:$G$2306,6,FALSE)</f>
        <v>0</v>
      </c>
      <c r="N416" s="438">
        <f>VLOOKUP(H416,'Full Trial Balance'!$A$4:$G$2306,7,FALSE)</f>
        <v>864.53</v>
      </c>
      <c r="O416" s="485">
        <f t="shared" si="53"/>
        <v>0</v>
      </c>
    </row>
    <row r="417" spans="1:15" x14ac:dyDescent="0.25">
      <c r="A417" s="241" t="str">
        <f t="shared" si="48"/>
        <v>03-02</v>
      </c>
      <c r="B417" s="241" t="str">
        <f t="shared" si="49"/>
        <v>03</v>
      </c>
      <c r="C417" s="241" t="str">
        <f t="shared" si="50"/>
        <v>02</v>
      </c>
      <c r="D417" s="235" t="str">
        <f t="shared" si="51"/>
        <v>03-</v>
      </c>
      <c r="E417" s="241" t="s">
        <v>1250</v>
      </c>
      <c r="F417" s="241" t="str">
        <f t="shared" si="52"/>
        <v>-050-130</v>
      </c>
      <c r="G417" s="235" t="s">
        <v>1256</v>
      </c>
      <c r="H417" s="241" t="s">
        <v>312</v>
      </c>
      <c r="I417" s="435" t="s">
        <v>84</v>
      </c>
      <c r="J417" s="438">
        <f>VLOOKUP(H417,'Full Trial Balance'!$A$4:$G$2306,3,FALSE)</f>
        <v>30000</v>
      </c>
      <c r="K417" s="438">
        <f>VLOOKUP(H417,'Full Trial Balance'!$A$4:$G$2306,4,FALSE)</f>
        <v>0</v>
      </c>
      <c r="L417" s="438">
        <f>VLOOKUP(H417,'Full Trial Balance'!$A$4:$G$2306,5,FALSE)</f>
        <v>20951.849999999999</v>
      </c>
      <c r="M417" s="438">
        <f>VLOOKUP(H417,'Full Trial Balance'!$A$4:$G$2306,6,FALSE)</f>
        <v>0</v>
      </c>
      <c r="N417" s="438">
        <f>VLOOKUP(H417,'Full Trial Balance'!$A$4:$G$2306,7,FALSE)</f>
        <v>20951.849999999999</v>
      </c>
      <c r="O417" s="485">
        <f t="shared" si="53"/>
        <v>0</v>
      </c>
    </row>
    <row r="418" spans="1:15" x14ac:dyDescent="0.25">
      <c r="A418" s="241" t="str">
        <f t="shared" si="48"/>
        <v>03-02</v>
      </c>
      <c r="B418" s="241" t="str">
        <f t="shared" si="49"/>
        <v>03</v>
      </c>
      <c r="C418" s="241" t="str">
        <f t="shared" si="50"/>
        <v>02</v>
      </c>
      <c r="D418" s="235" t="str">
        <f t="shared" si="51"/>
        <v>03-</v>
      </c>
      <c r="E418" s="241" t="s">
        <v>1250</v>
      </c>
      <c r="F418" s="241" t="str">
        <f t="shared" si="52"/>
        <v>-050-133</v>
      </c>
      <c r="G418" s="235" t="s">
        <v>1256</v>
      </c>
      <c r="H418" s="241" t="s">
        <v>958</v>
      </c>
      <c r="I418" s="435" t="s">
        <v>1086</v>
      </c>
      <c r="J418" s="438">
        <f>VLOOKUP(H418,'Full Trial Balance'!$A$4:$G$2306,3,FALSE)</f>
        <v>20800</v>
      </c>
      <c r="K418" s="438">
        <f>VLOOKUP(H418,'Full Trial Balance'!$A$4:$G$2306,4,FALSE)</f>
        <v>0</v>
      </c>
      <c r="L418" s="438">
        <f>VLOOKUP(H418,'Full Trial Balance'!$A$4:$G$2306,5,FALSE)</f>
        <v>1974.69</v>
      </c>
      <c r="M418" s="438">
        <f>VLOOKUP(H418,'Full Trial Balance'!$A$4:$G$2306,6,FALSE)</f>
        <v>0</v>
      </c>
      <c r="N418" s="438">
        <f>VLOOKUP(H418,'Full Trial Balance'!$A$4:$G$2306,7,FALSE)</f>
        <v>1974.69</v>
      </c>
      <c r="O418" s="485">
        <f t="shared" si="53"/>
        <v>0</v>
      </c>
    </row>
    <row r="419" spans="1:15" x14ac:dyDescent="0.25">
      <c r="A419" s="241" t="str">
        <f t="shared" si="48"/>
        <v>03-02</v>
      </c>
      <c r="B419" s="241" t="str">
        <f t="shared" si="49"/>
        <v>03</v>
      </c>
      <c r="C419" s="241" t="str">
        <f t="shared" si="50"/>
        <v>02</v>
      </c>
      <c r="D419" s="235" t="str">
        <f t="shared" si="51"/>
        <v>03-</v>
      </c>
      <c r="E419" s="241" t="s">
        <v>1250</v>
      </c>
      <c r="F419" s="241" t="str">
        <f t="shared" si="52"/>
        <v>-050-135</v>
      </c>
      <c r="G419" s="235" t="s">
        <v>1256</v>
      </c>
      <c r="H419" s="241" t="s">
        <v>313</v>
      </c>
      <c r="I419" s="435" t="s">
        <v>85</v>
      </c>
      <c r="J419" s="438">
        <f>VLOOKUP(H419,'Full Trial Balance'!$A$4:$G$2306,3,FALSE)</f>
        <v>20800</v>
      </c>
      <c r="K419" s="438">
        <f>VLOOKUP(H419,'Full Trial Balance'!$A$4:$G$2306,4,FALSE)</f>
        <v>0</v>
      </c>
      <c r="L419" s="438">
        <f>VLOOKUP(H419,'Full Trial Balance'!$A$4:$G$2306,5,FALSE)</f>
        <v>5890.84</v>
      </c>
      <c r="M419" s="438">
        <f>VLOOKUP(H419,'Full Trial Balance'!$A$4:$G$2306,6,FALSE)</f>
        <v>0</v>
      </c>
      <c r="N419" s="438">
        <f>VLOOKUP(H419,'Full Trial Balance'!$A$4:$G$2306,7,FALSE)</f>
        <v>5890.84</v>
      </c>
      <c r="O419" s="485">
        <f t="shared" si="53"/>
        <v>0</v>
      </c>
    </row>
    <row r="420" spans="1:15" x14ac:dyDescent="0.25">
      <c r="A420" s="241" t="str">
        <f t="shared" si="48"/>
        <v>03-02</v>
      </c>
      <c r="B420" s="241" t="str">
        <f t="shared" si="49"/>
        <v>03</v>
      </c>
      <c r="C420" s="241" t="str">
        <f t="shared" si="50"/>
        <v>02</v>
      </c>
      <c r="D420" s="235" t="str">
        <f t="shared" si="51"/>
        <v>03-</v>
      </c>
      <c r="E420" s="241" t="s">
        <v>1250</v>
      </c>
      <c r="F420" s="241" t="str">
        <f t="shared" si="52"/>
        <v>-059-000</v>
      </c>
      <c r="G420" s="235" t="s">
        <v>1256</v>
      </c>
      <c r="H420" s="241" t="s">
        <v>314</v>
      </c>
      <c r="I420" s="435" t="s">
        <v>1170</v>
      </c>
      <c r="J420" s="438">
        <f>VLOOKUP(H420,'Full Trial Balance'!$A$4:$G$2306,3,FALSE)</f>
        <v>20800</v>
      </c>
      <c r="K420" s="438">
        <f>VLOOKUP(H420,'Full Trial Balance'!$A$4:$G$2306,4,FALSE)</f>
        <v>0</v>
      </c>
      <c r="L420" s="438">
        <f>VLOOKUP(H420,'Full Trial Balance'!$A$4:$G$2306,5,FALSE)</f>
        <v>5507.52</v>
      </c>
      <c r="M420" s="438">
        <f>VLOOKUP(H420,'Full Trial Balance'!$A$4:$G$2306,6,FALSE)</f>
        <v>0</v>
      </c>
      <c r="N420" s="438">
        <f>VLOOKUP(H420,'Full Trial Balance'!$A$4:$G$2306,7,FALSE)</f>
        <v>5507.52</v>
      </c>
      <c r="O420" s="485">
        <f t="shared" si="53"/>
        <v>0</v>
      </c>
    </row>
    <row r="421" spans="1:15" x14ac:dyDescent="0.25">
      <c r="A421" s="241" t="str">
        <f t="shared" si="48"/>
        <v>03-02</v>
      </c>
      <c r="B421" s="241" t="str">
        <f t="shared" si="49"/>
        <v>03</v>
      </c>
      <c r="C421" s="241" t="str">
        <f t="shared" si="50"/>
        <v>02</v>
      </c>
      <c r="D421" s="235" t="str">
        <f t="shared" si="51"/>
        <v>03-</v>
      </c>
      <c r="E421" s="241" t="s">
        <v>1250</v>
      </c>
      <c r="F421" s="241" t="str">
        <f t="shared" si="52"/>
        <v>-068-000</v>
      </c>
      <c r="G421" s="235" t="s">
        <v>1256</v>
      </c>
      <c r="H421" s="241" t="s">
        <v>315</v>
      </c>
      <c r="I421" s="435" t="s">
        <v>55</v>
      </c>
      <c r="J421" s="438">
        <f>VLOOKUP(H421,'Full Trial Balance'!$A$4:$G$2306,3,FALSE)</f>
        <v>31200</v>
      </c>
      <c r="K421" s="438">
        <f>VLOOKUP(H421,'Full Trial Balance'!$A$4:$G$2306,4,FALSE)</f>
        <v>0</v>
      </c>
      <c r="L421" s="438">
        <f>VLOOKUP(H421,'Full Trial Balance'!$A$4:$G$2306,5,FALSE)</f>
        <v>12826.14</v>
      </c>
      <c r="M421" s="438">
        <f>VLOOKUP(H421,'Full Trial Balance'!$A$4:$G$2306,6,FALSE)</f>
        <v>430.55</v>
      </c>
      <c r="N421" s="438">
        <f>VLOOKUP(H421,'Full Trial Balance'!$A$4:$G$2306,7,FALSE)</f>
        <v>12395.59</v>
      </c>
      <c r="O421" s="485">
        <f t="shared" si="53"/>
        <v>7.3896444519050419E-13</v>
      </c>
    </row>
    <row r="422" spans="1:15" x14ac:dyDescent="0.25">
      <c r="A422" s="241" t="str">
        <f t="shared" si="48"/>
        <v>03-02</v>
      </c>
      <c r="B422" s="241" t="str">
        <f t="shared" si="49"/>
        <v>03</v>
      </c>
      <c r="C422" s="241" t="str">
        <f t="shared" si="50"/>
        <v>02</v>
      </c>
      <c r="D422" s="235" t="str">
        <f t="shared" si="51"/>
        <v>03-</v>
      </c>
      <c r="E422" s="241" t="s">
        <v>1250</v>
      </c>
      <c r="F422" s="241" t="str">
        <f t="shared" si="52"/>
        <v>-071-000</v>
      </c>
      <c r="G422" s="235" t="s">
        <v>1256</v>
      </c>
      <c r="H422" s="241" t="s">
        <v>316</v>
      </c>
      <c r="I422" s="435" t="s">
        <v>104</v>
      </c>
      <c r="J422" s="438">
        <f>VLOOKUP(H422,'Full Trial Balance'!$A$4:$G$2306,3,FALSE)</f>
        <v>39000</v>
      </c>
      <c r="K422" s="438">
        <f>VLOOKUP(H422,'Full Trial Balance'!$A$4:$G$2306,4,FALSE)</f>
        <v>0</v>
      </c>
      <c r="L422" s="438">
        <f>VLOOKUP(H422,'Full Trial Balance'!$A$4:$G$2306,5,FALSE)</f>
        <v>0</v>
      </c>
      <c r="M422" s="438">
        <f>VLOOKUP(H422,'Full Trial Balance'!$A$4:$G$2306,6,FALSE)</f>
        <v>0</v>
      </c>
      <c r="N422" s="438">
        <f>VLOOKUP(H422,'Full Trial Balance'!$A$4:$G$2306,7,FALSE)</f>
        <v>0</v>
      </c>
      <c r="O422" s="485">
        <f t="shared" si="53"/>
        <v>0</v>
      </c>
    </row>
    <row r="423" spans="1:15" x14ac:dyDescent="0.25">
      <c r="A423" s="241" t="str">
        <f t="shared" si="48"/>
        <v>03-02</v>
      </c>
      <c r="B423" s="241" t="str">
        <f t="shared" si="49"/>
        <v>03</v>
      </c>
      <c r="C423" s="241" t="str">
        <f t="shared" si="50"/>
        <v>02</v>
      </c>
      <c r="D423" s="235" t="str">
        <f t="shared" si="51"/>
        <v>03-</v>
      </c>
      <c r="E423" s="241" t="s">
        <v>1250</v>
      </c>
      <c r="F423" s="241" t="str">
        <f t="shared" si="52"/>
        <v>-081-121</v>
      </c>
      <c r="G423" s="235" t="s">
        <v>1256</v>
      </c>
      <c r="H423" s="241" t="s">
        <v>317</v>
      </c>
      <c r="I423" s="435" t="s">
        <v>105</v>
      </c>
      <c r="J423" s="438">
        <f>VLOOKUP(H423,'Full Trial Balance'!$A$4:$G$2306,3,FALSE)</f>
        <v>5000</v>
      </c>
      <c r="K423" s="438">
        <f>VLOOKUP(H423,'Full Trial Balance'!$A$4:$G$2306,4,FALSE)</f>
        <v>0</v>
      </c>
      <c r="L423" s="438">
        <f>VLOOKUP(H423,'Full Trial Balance'!$A$4:$G$2306,5,FALSE)</f>
        <v>0</v>
      </c>
      <c r="M423" s="438">
        <f>VLOOKUP(H423,'Full Trial Balance'!$A$4:$G$2306,6,FALSE)</f>
        <v>0</v>
      </c>
      <c r="N423" s="438">
        <f>VLOOKUP(H423,'Full Trial Balance'!$A$4:$G$2306,7,FALSE)</f>
        <v>0</v>
      </c>
      <c r="O423" s="485">
        <f t="shared" si="53"/>
        <v>0</v>
      </c>
    </row>
    <row r="424" spans="1:15" x14ac:dyDescent="0.25">
      <c r="A424" s="241" t="str">
        <f t="shared" si="48"/>
        <v>03-02</v>
      </c>
      <c r="B424" s="241" t="str">
        <f t="shared" si="49"/>
        <v>03</v>
      </c>
      <c r="C424" s="241" t="str">
        <f t="shared" si="50"/>
        <v>02</v>
      </c>
      <c r="D424" s="235" t="str">
        <f t="shared" si="51"/>
        <v>03-</v>
      </c>
      <c r="E424" s="241" t="s">
        <v>1250</v>
      </c>
      <c r="F424" s="241" t="str">
        <f t="shared" si="52"/>
        <v>-081-122</v>
      </c>
      <c r="G424" s="235" t="s">
        <v>1255</v>
      </c>
      <c r="H424" s="241" t="s">
        <v>318</v>
      </c>
      <c r="I424" s="435" t="s">
        <v>106</v>
      </c>
      <c r="J424" s="438">
        <f>VLOOKUP(H424,'Full Trial Balance'!$A$4:$G$2306,3,FALSE)</f>
        <v>35000</v>
      </c>
      <c r="K424" s="438">
        <f>VLOOKUP(H424,'Full Trial Balance'!$A$4:$G$2306,4,FALSE)</f>
        <v>0</v>
      </c>
      <c r="L424" s="438">
        <f>VLOOKUP(H424,'Full Trial Balance'!$A$4:$G$2306,5,FALSE)</f>
        <v>14665.16</v>
      </c>
      <c r="M424" s="438">
        <f>VLOOKUP(H424,'Full Trial Balance'!$A$4:$G$2306,6,FALSE)</f>
        <v>0</v>
      </c>
      <c r="N424" s="438">
        <f>VLOOKUP(H424,'Full Trial Balance'!$A$4:$G$2306,7,FALSE)</f>
        <v>14665.16</v>
      </c>
      <c r="O424" s="485">
        <f t="shared" si="53"/>
        <v>0</v>
      </c>
    </row>
    <row r="425" spans="1:15" x14ac:dyDescent="0.25">
      <c r="A425" s="241" t="str">
        <f t="shared" si="48"/>
        <v>03-02</v>
      </c>
      <c r="B425" s="241" t="str">
        <f t="shared" si="49"/>
        <v>03</v>
      </c>
      <c r="C425" s="241" t="str">
        <f t="shared" si="50"/>
        <v>02</v>
      </c>
      <c r="D425" s="235" t="str">
        <f t="shared" si="51"/>
        <v>03-</v>
      </c>
      <c r="E425" s="241" t="s">
        <v>1250</v>
      </c>
      <c r="F425" s="241" t="str">
        <f t="shared" si="52"/>
        <v>-082-121</v>
      </c>
      <c r="G425" s="235" t="s">
        <v>1256</v>
      </c>
      <c r="H425" s="241" t="s">
        <v>319</v>
      </c>
      <c r="I425" s="435" t="s">
        <v>107</v>
      </c>
      <c r="J425" s="438">
        <f>VLOOKUP(H425,'Full Trial Balance'!$A$4:$G$2306,3,FALSE)</f>
        <v>5000</v>
      </c>
      <c r="K425" s="438">
        <f>VLOOKUP(H425,'Full Trial Balance'!$A$4:$G$2306,4,FALSE)</f>
        <v>0</v>
      </c>
      <c r="L425" s="438">
        <f>VLOOKUP(H425,'Full Trial Balance'!$A$4:$G$2306,5,FALSE)</f>
        <v>241</v>
      </c>
      <c r="M425" s="438">
        <f>VLOOKUP(H425,'Full Trial Balance'!$A$4:$G$2306,6,FALSE)</f>
        <v>0</v>
      </c>
      <c r="N425" s="438">
        <f>VLOOKUP(H425,'Full Trial Balance'!$A$4:$G$2306,7,FALSE)</f>
        <v>241</v>
      </c>
      <c r="O425" s="485">
        <f t="shared" si="53"/>
        <v>0</v>
      </c>
    </row>
    <row r="426" spans="1:15" x14ac:dyDescent="0.25">
      <c r="A426" s="241" t="str">
        <f t="shared" si="48"/>
        <v>03-02</v>
      </c>
      <c r="B426" s="241" t="str">
        <f t="shared" si="49"/>
        <v>03</v>
      </c>
      <c r="C426" s="241" t="str">
        <f t="shared" si="50"/>
        <v>02</v>
      </c>
      <c r="D426" s="235" t="str">
        <f t="shared" si="51"/>
        <v>03-</v>
      </c>
      <c r="E426" s="241" t="s">
        <v>1250</v>
      </c>
      <c r="F426" s="241" t="str">
        <f t="shared" si="52"/>
        <v>-082-122</v>
      </c>
      <c r="G426" s="235" t="s">
        <v>1255</v>
      </c>
      <c r="H426" s="241" t="s">
        <v>320</v>
      </c>
      <c r="I426" s="435" t="s">
        <v>108</v>
      </c>
      <c r="J426" s="438">
        <f>VLOOKUP(H426,'Full Trial Balance'!$A$4:$G$2306,3,FALSE)</f>
        <v>60000</v>
      </c>
      <c r="K426" s="438">
        <f>VLOOKUP(H426,'Full Trial Balance'!$A$4:$G$2306,4,FALSE)</f>
        <v>0</v>
      </c>
      <c r="L426" s="438">
        <f>VLOOKUP(H426,'Full Trial Balance'!$A$4:$G$2306,5,FALSE)</f>
        <v>286.94</v>
      </c>
      <c r="M426" s="438">
        <f>VLOOKUP(H426,'Full Trial Balance'!$A$4:$G$2306,6,FALSE)</f>
        <v>0</v>
      </c>
      <c r="N426" s="438">
        <f>VLOOKUP(H426,'Full Trial Balance'!$A$4:$G$2306,7,FALSE)</f>
        <v>286.94</v>
      </c>
      <c r="O426" s="485">
        <f t="shared" si="53"/>
        <v>0</v>
      </c>
    </row>
    <row r="427" spans="1:15" x14ac:dyDescent="0.25">
      <c r="A427" s="241" t="str">
        <f t="shared" si="48"/>
        <v>03-02</v>
      </c>
      <c r="B427" s="241" t="str">
        <f t="shared" si="49"/>
        <v>03</v>
      </c>
      <c r="C427" s="241" t="str">
        <f t="shared" si="50"/>
        <v>02</v>
      </c>
      <c r="D427" s="235" t="str">
        <f t="shared" si="51"/>
        <v>03-</v>
      </c>
      <c r="E427" s="241" t="s">
        <v>1250</v>
      </c>
      <c r="F427" s="241" t="str">
        <f t="shared" si="52"/>
        <v>-083-121</v>
      </c>
      <c r="G427" s="235" t="s">
        <v>1256</v>
      </c>
      <c r="H427" s="241" t="s">
        <v>321</v>
      </c>
      <c r="I427" s="435" t="s">
        <v>109</v>
      </c>
      <c r="J427" s="438">
        <f>VLOOKUP(H427,'Full Trial Balance'!$A$4:$G$2306,3,FALSE)</f>
        <v>5000</v>
      </c>
      <c r="K427" s="438">
        <f>VLOOKUP(H427,'Full Trial Balance'!$A$4:$G$2306,4,FALSE)</f>
        <v>0</v>
      </c>
      <c r="L427" s="438">
        <f>VLOOKUP(H427,'Full Trial Balance'!$A$4:$G$2306,5,FALSE)</f>
        <v>241</v>
      </c>
      <c r="M427" s="438">
        <f>VLOOKUP(H427,'Full Trial Balance'!$A$4:$G$2306,6,FALSE)</f>
        <v>0</v>
      </c>
      <c r="N427" s="438">
        <f>VLOOKUP(H427,'Full Trial Balance'!$A$4:$G$2306,7,FALSE)</f>
        <v>241</v>
      </c>
      <c r="O427" s="485">
        <f t="shared" si="53"/>
        <v>0</v>
      </c>
    </row>
    <row r="428" spans="1:15" x14ac:dyDescent="0.25">
      <c r="A428" s="241" t="str">
        <f t="shared" si="48"/>
        <v>03-02</v>
      </c>
      <c r="B428" s="241" t="str">
        <f t="shared" si="49"/>
        <v>03</v>
      </c>
      <c r="C428" s="241" t="str">
        <f t="shared" si="50"/>
        <v>02</v>
      </c>
      <c r="D428" s="235" t="str">
        <f t="shared" si="51"/>
        <v>03-</v>
      </c>
      <c r="E428" s="241" t="s">
        <v>1250</v>
      </c>
      <c r="F428" s="241" t="str">
        <f t="shared" si="52"/>
        <v>-083-122</v>
      </c>
      <c r="G428" s="235" t="s">
        <v>1255</v>
      </c>
      <c r="H428" s="241" t="s">
        <v>322</v>
      </c>
      <c r="I428" s="435" t="s">
        <v>110</v>
      </c>
      <c r="J428" s="438">
        <f>VLOOKUP(H428,'Full Trial Balance'!$A$4:$G$2306,3,FALSE)</f>
        <v>75000</v>
      </c>
      <c r="K428" s="438">
        <f>VLOOKUP(H428,'Full Trial Balance'!$A$4:$G$2306,4,FALSE)</f>
        <v>0</v>
      </c>
      <c r="L428" s="438">
        <f>VLOOKUP(H428,'Full Trial Balance'!$A$4:$G$2306,5,FALSE)</f>
        <v>18732.939999999999</v>
      </c>
      <c r="M428" s="438">
        <f>VLOOKUP(H428,'Full Trial Balance'!$A$4:$G$2306,6,FALSE)</f>
        <v>0</v>
      </c>
      <c r="N428" s="438">
        <f>VLOOKUP(H428,'Full Trial Balance'!$A$4:$G$2306,7,FALSE)</f>
        <v>18732.939999999999</v>
      </c>
      <c r="O428" s="485">
        <f t="shared" si="53"/>
        <v>0</v>
      </c>
    </row>
    <row r="429" spans="1:15" x14ac:dyDescent="0.25">
      <c r="A429" s="241" t="str">
        <f t="shared" si="48"/>
        <v>03-02</v>
      </c>
      <c r="B429" s="241" t="str">
        <f t="shared" si="49"/>
        <v>03</v>
      </c>
      <c r="C429" s="241" t="str">
        <f t="shared" si="50"/>
        <v>02</v>
      </c>
      <c r="D429" s="235" t="str">
        <f t="shared" si="51"/>
        <v>03-</v>
      </c>
      <c r="E429" s="241" t="s">
        <v>1250</v>
      </c>
      <c r="F429" s="241" t="str">
        <f t="shared" si="52"/>
        <v>-084-121</v>
      </c>
      <c r="G429" s="256" t="s">
        <v>1256</v>
      </c>
      <c r="H429" s="241" t="s">
        <v>323</v>
      </c>
      <c r="I429" s="435" t="s">
        <v>111</v>
      </c>
      <c r="J429" s="438">
        <f>VLOOKUP(H429,'Full Trial Balance'!$A$4:$G$2306,3,FALSE)</f>
        <v>250</v>
      </c>
      <c r="K429" s="438">
        <f>VLOOKUP(H429,'Full Trial Balance'!$A$4:$G$2306,4,FALSE)</f>
        <v>0</v>
      </c>
      <c r="L429" s="438">
        <f>VLOOKUP(H429,'Full Trial Balance'!$A$4:$G$2306,5,FALSE)</f>
        <v>0</v>
      </c>
      <c r="M429" s="438">
        <f>VLOOKUP(H429,'Full Trial Balance'!$A$4:$G$2306,6,FALSE)</f>
        <v>0</v>
      </c>
      <c r="N429" s="438">
        <f>VLOOKUP(H429,'Full Trial Balance'!$A$4:$G$2306,7,FALSE)</f>
        <v>0</v>
      </c>
      <c r="O429" s="485">
        <f t="shared" si="53"/>
        <v>0</v>
      </c>
    </row>
    <row r="430" spans="1:15" x14ac:dyDescent="0.25">
      <c r="A430" s="241" t="str">
        <f t="shared" si="48"/>
        <v>03-02</v>
      </c>
      <c r="B430" s="241" t="str">
        <f t="shared" si="49"/>
        <v>03</v>
      </c>
      <c r="C430" s="241" t="str">
        <f t="shared" si="50"/>
        <v>02</v>
      </c>
      <c r="D430" s="235" t="str">
        <f t="shared" si="51"/>
        <v>03-</v>
      </c>
      <c r="E430" s="241" t="s">
        <v>1250</v>
      </c>
      <c r="F430" s="241" t="str">
        <f t="shared" si="52"/>
        <v>-084-122</v>
      </c>
      <c r="G430" s="256" t="s">
        <v>1255</v>
      </c>
      <c r="H430" s="241" t="s">
        <v>324</v>
      </c>
      <c r="I430" s="435" t="s">
        <v>112</v>
      </c>
      <c r="J430" s="438">
        <f>VLOOKUP(H430,'Full Trial Balance'!$A$4:$G$2306,3,FALSE)</f>
        <v>500</v>
      </c>
      <c r="K430" s="438">
        <f>VLOOKUP(H430,'Full Trial Balance'!$A$4:$G$2306,4,FALSE)</f>
        <v>0</v>
      </c>
      <c r="L430" s="438">
        <f>VLOOKUP(H430,'Full Trial Balance'!$A$4:$G$2306,5,FALSE)</f>
        <v>173.72</v>
      </c>
      <c r="M430" s="438">
        <f>VLOOKUP(H430,'Full Trial Balance'!$A$4:$G$2306,6,FALSE)</f>
        <v>0</v>
      </c>
      <c r="N430" s="438">
        <f>VLOOKUP(H430,'Full Trial Balance'!$A$4:$G$2306,7,FALSE)</f>
        <v>173.72</v>
      </c>
      <c r="O430" s="485">
        <f t="shared" si="53"/>
        <v>0</v>
      </c>
    </row>
    <row r="431" spans="1:15" x14ac:dyDescent="0.25">
      <c r="A431" s="241" t="str">
        <f t="shared" si="48"/>
        <v>03-02</v>
      </c>
      <c r="B431" s="241" t="str">
        <f t="shared" si="49"/>
        <v>03</v>
      </c>
      <c r="C431" s="241" t="str">
        <f t="shared" si="50"/>
        <v>02</v>
      </c>
      <c r="D431" s="235" t="str">
        <f t="shared" si="51"/>
        <v>03-</v>
      </c>
      <c r="E431" s="241" t="s">
        <v>1250</v>
      </c>
      <c r="F431" s="241" t="str">
        <f t="shared" si="52"/>
        <v>-085-121</v>
      </c>
      <c r="G431" s="256" t="s">
        <v>1256</v>
      </c>
      <c r="H431" s="241" t="s">
        <v>325</v>
      </c>
      <c r="I431" s="435" t="s">
        <v>113</v>
      </c>
      <c r="J431" s="438">
        <f>VLOOKUP(H431,'Full Trial Balance'!$A$4:$G$2306,3,FALSE)</f>
        <v>2500</v>
      </c>
      <c r="K431" s="438">
        <f>VLOOKUP(H431,'Full Trial Balance'!$A$4:$G$2306,4,FALSE)</f>
        <v>0</v>
      </c>
      <c r="L431" s="438">
        <f>VLOOKUP(H431,'Full Trial Balance'!$A$4:$G$2306,5,FALSE)</f>
        <v>320</v>
      </c>
      <c r="M431" s="438">
        <f>VLOOKUP(H431,'Full Trial Balance'!$A$4:$G$2306,6,FALSE)</f>
        <v>0</v>
      </c>
      <c r="N431" s="438">
        <f>VLOOKUP(H431,'Full Trial Balance'!$A$4:$G$2306,7,FALSE)</f>
        <v>320</v>
      </c>
      <c r="O431" s="485">
        <f t="shared" si="53"/>
        <v>0</v>
      </c>
    </row>
    <row r="432" spans="1:15" x14ac:dyDescent="0.25">
      <c r="A432" s="241" t="str">
        <f t="shared" si="48"/>
        <v>03-02</v>
      </c>
      <c r="B432" s="241" t="str">
        <f t="shared" si="49"/>
        <v>03</v>
      </c>
      <c r="C432" s="241" t="str">
        <f t="shared" si="50"/>
        <v>02</v>
      </c>
      <c r="D432" s="235" t="str">
        <f t="shared" si="51"/>
        <v>03-</v>
      </c>
      <c r="E432" s="241" t="s">
        <v>1250</v>
      </c>
      <c r="F432" s="241" t="str">
        <f t="shared" si="52"/>
        <v>-085-122</v>
      </c>
      <c r="G432" s="235" t="s">
        <v>1255</v>
      </c>
      <c r="H432" s="241" t="s">
        <v>326</v>
      </c>
      <c r="I432" s="435" t="s">
        <v>114</v>
      </c>
      <c r="J432" s="438">
        <f>VLOOKUP(H432,'Full Trial Balance'!$A$4:$G$2306,3,FALSE)</f>
        <v>75000</v>
      </c>
      <c r="K432" s="438">
        <f>VLOOKUP(H432,'Full Trial Balance'!$A$4:$G$2306,4,FALSE)</f>
        <v>0</v>
      </c>
      <c r="L432" s="438">
        <f>VLOOKUP(H432,'Full Trial Balance'!$A$4:$G$2306,5,FALSE)</f>
        <v>23965.91</v>
      </c>
      <c r="M432" s="438">
        <f>VLOOKUP(H432,'Full Trial Balance'!$A$4:$G$2306,6,FALSE)</f>
        <v>0</v>
      </c>
      <c r="N432" s="438">
        <f>VLOOKUP(H432,'Full Trial Balance'!$A$4:$G$2306,7,FALSE)</f>
        <v>23965.91</v>
      </c>
      <c r="O432" s="485">
        <f t="shared" si="53"/>
        <v>0</v>
      </c>
    </row>
    <row r="433" spans="1:15" x14ac:dyDescent="0.25">
      <c r="A433" s="241" t="str">
        <f t="shared" si="48"/>
        <v>03-02</v>
      </c>
      <c r="B433" s="241" t="str">
        <f t="shared" si="49"/>
        <v>03</v>
      </c>
      <c r="C433" s="241" t="str">
        <f t="shared" si="50"/>
        <v>02</v>
      </c>
      <c r="D433" s="235" t="str">
        <f t="shared" si="51"/>
        <v>03-</v>
      </c>
      <c r="E433" s="241" t="s">
        <v>1250</v>
      </c>
      <c r="F433" s="241" t="str">
        <f t="shared" si="52"/>
        <v>-086-121</v>
      </c>
      <c r="G433" s="235" t="s">
        <v>1256</v>
      </c>
      <c r="H433" s="241" t="s">
        <v>327</v>
      </c>
      <c r="I433" s="435" t="s">
        <v>115</v>
      </c>
      <c r="J433" s="438">
        <f>VLOOKUP(H433,'Full Trial Balance'!$A$4:$G$2306,3,FALSE)</f>
        <v>1500</v>
      </c>
      <c r="K433" s="438">
        <f>VLOOKUP(H433,'Full Trial Balance'!$A$4:$G$2306,4,FALSE)</f>
        <v>0</v>
      </c>
      <c r="L433" s="438">
        <f>VLOOKUP(H433,'Full Trial Balance'!$A$4:$G$2306,5,FALSE)</f>
        <v>419.16</v>
      </c>
      <c r="M433" s="438">
        <f>VLOOKUP(H433,'Full Trial Balance'!$A$4:$G$2306,6,FALSE)</f>
        <v>0</v>
      </c>
      <c r="N433" s="438">
        <f>VLOOKUP(H433,'Full Trial Balance'!$A$4:$G$2306,7,FALSE)</f>
        <v>419.16</v>
      </c>
      <c r="O433" s="485">
        <f t="shared" si="53"/>
        <v>0</v>
      </c>
    </row>
    <row r="434" spans="1:15" x14ac:dyDescent="0.25">
      <c r="A434" s="241" t="str">
        <f t="shared" si="48"/>
        <v>03-02</v>
      </c>
      <c r="B434" s="241" t="str">
        <f t="shared" si="49"/>
        <v>03</v>
      </c>
      <c r="C434" s="241" t="str">
        <f t="shared" si="50"/>
        <v>02</v>
      </c>
      <c r="D434" s="235" t="str">
        <f t="shared" si="51"/>
        <v>03-</v>
      </c>
      <c r="E434" s="241" t="s">
        <v>1250</v>
      </c>
      <c r="F434" s="241" t="str">
        <f t="shared" si="52"/>
        <v>-086-122</v>
      </c>
      <c r="G434" s="235" t="s">
        <v>1255</v>
      </c>
      <c r="H434" s="241" t="s">
        <v>328</v>
      </c>
      <c r="I434" s="435" t="s">
        <v>116</v>
      </c>
      <c r="J434" s="438">
        <f>VLOOKUP(H434,'Full Trial Balance'!$A$4:$G$2306,3,FALSE)</f>
        <v>8500</v>
      </c>
      <c r="K434" s="438">
        <f>VLOOKUP(H434,'Full Trial Balance'!$A$4:$G$2306,4,FALSE)</f>
        <v>0</v>
      </c>
      <c r="L434" s="438">
        <f>VLOOKUP(H434,'Full Trial Balance'!$A$4:$G$2306,5,FALSE)</f>
        <v>2832.31</v>
      </c>
      <c r="M434" s="438">
        <f>VLOOKUP(H434,'Full Trial Balance'!$A$4:$G$2306,6,FALSE)</f>
        <v>0</v>
      </c>
      <c r="N434" s="438">
        <f>VLOOKUP(H434,'Full Trial Balance'!$A$4:$G$2306,7,FALSE)</f>
        <v>2832.31</v>
      </c>
      <c r="O434" s="485">
        <f t="shared" si="53"/>
        <v>0</v>
      </c>
    </row>
    <row r="435" spans="1:15" x14ac:dyDescent="0.25">
      <c r="A435" s="241" t="str">
        <f t="shared" si="48"/>
        <v>03-02</v>
      </c>
      <c r="B435" s="241" t="str">
        <f t="shared" si="49"/>
        <v>03</v>
      </c>
      <c r="C435" s="241" t="str">
        <f t="shared" si="50"/>
        <v>02</v>
      </c>
      <c r="D435" s="235" t="str">
        <f t="shared" si="51"/>
        <v>03-</v>
      </c>
      <c r="E435" s="241" t="s">
        <v>1250</v>
      </c>
      <c r="F435" s="241" t="str">
        <f t="shared" si="52"/>
        <v>-088-121</v>
      </c>
      <c r="G435" s="235" t="s">
        <v>1256</v>
      </c>
      <c r="H435" s="241" t="s">
        <v>329</v>
      </c>
      <c r="I435" s="435" t="s">
        <v>117</v>
      </c>
      <c r="J435" s="438">
        <f>VLOOKUP(H435,'Full Trial Balance'!$A$4:$G$2306,3,FALSE)</f>
        <v>2500</v>
      </c>
      <c r="K435" s="438">
        <f>VLOOKUP(H435,'Full Trial Balance'!$A$4:$G$2306,4,FALSE)</f>
        <v>0</v>
      </c>
      <c r="L435" s="438">
        <f>VLOOKUP(H435,'Full Trial Balance'!$A$4:$G$2306,5,FALSE)</f>
        <v>436.04</v>
      </c>
      <c r="M435" s="438">
        <f>VLOOKUP(H435,'Full Trial Balance'!$A$4:$G$2306,6,FALSE)</f>
        <v>0</v>
      </c>
      <c r="N435" s="438">
        <f>VLOOKUP(H435,'Full Trial Balance'!$A$4:$G$2306,7,FALSE)</f>
        <v>436.04</v>
      </c>
      <c r="O435" s="485">
        <f t="shared" si="53"/>
        <v>0</v>
      </c>
    </row>
    <row r="436" spans="1:15" x14ac:dyDescent="0.25">
      <c r="A436" s="241" t="str">
        <f t="shared" si="48"/>
        <v>03-02</v>
      </c>
      <c r="B436" s="241" t="str">
        <f t="shared" si="49"/>
        <v>03</v>
      </c>
      <c r="C436" s="241" t="str">
        <f t="shared" si="50"/>
        <v>02</v>
      </c>
      <c r="D436" s="235" t="str">
        <f t="shared" si="51"/>
        <v>03-</v>
      </c>
      <c r="E436" s="241" t="s">
        <v>1250</v>
      </c>
      <c r="F436" s="241" t="str">
        <f t="shared" si="52"/>
        <v>-088-122</v>
      </c>
      <c r="G436" s="235" t="s">
        <v>1255</v>
      </c>
      <c r="H436" s="241" t="s">
        <v>330</v>
      </c>
      <c r="I436" s="435" t="s">
        <v>118</v>
      </c>
      <c r="J436" s="438">
        <f>VLOOKUP(H436,'Full Trial Balance'!$A$4:$G$2306,3,FALSE)</f>
        <v>6500</v>
      </c>
      <c r="K436" s="438">
        <f>VLOOKUP(H436,'Full Trial Balance'!$A$4:$G$2306,4,FALSE)</f>
        <v>0</v>
      </c>
      <c r="L436" s="438">
        <f>VLOOKUP(H436,'Full Trial Balance'!$A$4:$G$2306,5,FALSE)</f>
        <v>3486.94</v>
      </c>
      <c r="M436" s="438">
        <f>VLOOKUP(H436,'Full Trial Balance'!$A$4:$G$2306,6,FALSE)</f>
        <v>0</v>
      </c>
      <c r="N436" s="438">
        <f>VLOOKUP(H436,'Full Trial Balance'!$A$4:$G$2306,7,FALSE)</f>
        <v>3486.94</v>
      </c>
      <c r="O436" s="485">
        <f t="shared" si="53"/>
        <v>0</v>
      </c>
    </row>
    <row r="437" spans="1:15" x14ac:dyDescent="0.25">
      <c r="A437" s="241" t="str">
        <f t="shared" si="48"/>
        <v>03-02</v>
      </c>
      <c r="B437" s="241" t="str">
        <f t="shared" si="49"/>
        <v>03</v>
      </c>
      <c r="C437" s="241" t="str">
        <f t="shared" si="50"/>
        <v>02</v>
      </c>
      <c r="D437" s="235" t="str">
        <f t="shared" si="51"/>
        <v>03-</v>
      </c>
      <c r="E437" s="241" t="s">
        <v>1250</v>
      </c>
      <c r="F437" s="241" t="str">
        <f t="shared" si="52"/>
        <v>-090-121</v>
      </c>
      <c r="G437" s="235" t="s">
        <v>1256</v>
      </c>
      <c r="H437" s="241" t="s">
        <v>331</v>
      </c>
      <c r="I437" s="435" t="s">
        <v>119</v>
      </c>
      <c r="J437" s="438">
        <f>VLOOKUP(H437,'Full Trial Balance'!$A$4:$G$2306,3,FALSE)</f>
        <v>5000</v>
      </c>
      <c r="K437" s="438">
        <f>VLOOKUP(H437,'Full Trial Balance'!$A$4:$G$2306,4,FALSE)</f>
        <v>0</v>
      </c>
      <c r="L437" s="438">
        <f>VLOOKUP(H437,'Full Trial Balance'!$A$4:$G$2306,5,FALSE)</f>
        <v>0</v>
      </c>
      <c r="M437" s="438">
        <f>VLOOKUP(H437,'Full Trial Balance'!$A$4:$G$2306,6,FALSE)</f>
        <v>0</v>
      </c>
      <c r="N437" s="438">
        <f>VLOOKUP(H437,'Full Trial Balance'!$A$4:$G$2306,7,FALSE)</f>
        <v>0</v>
      </c>
      <c r="O437" s="485">
        <f t="shared" si="53"/>
        <v>0</v>
      </c>
    </row>
    <row r="438" spans="1:15" x14ac:dyDescent="0.25">
      <c r="A438" s="241" t="str">
        <f t="shared" si="48"/>
        <v>03-02</v>
      </c>
      <c r="B438" s="241" t="str">
        <f t="shared" si="49"/>
        <v>03</v>
      </c>
      <c r="C438" s="241" t="str">
        <f t="shared" si="50"/>
        <v>02</v>
      </c>
      <c r="D438" s="235" t="str">
        <f t="shared" si="51"/>
        <v>03-</v>
      </c>
      <c r="E438" s="241" t="s">
        <v>1250</v>
      </c>
      <c r="F438" s="241" t="str">
        <f t="shared" si="52"/>
        <v>-090-122</v>
      </c>
      <c r="G438" s="235" t="s">
        <v>1255</v>
      </c>
      <c r="H438" s="241" t="s">
        <v>332</v>
      </c>
      <c r="I438" s="435" t="s">
        <v>120</v>
      </c>
      <c r="J438" s="438">
        <f>VLOOKUP(H438,'Full Trial Balance'!$A$4:$G$2306,3,FALSE)</f>
        <v>200000</v>
      </c>
      <c r="K438" s="438">
        <f>VLOOKUP(H438,'Full Trial Balance'!$A$4:$G$2306,4,FALSE)</f>
        <v>0</v>
      </c>
      <c r="L438" s="438">
        <f>VLOOKUP(H438,'Full Trial Balance'!$A$4:$G$2306,5,FALSE)</f>
        <v>91977.73</v>
      </c>
      <c r="M438" s="438">
        <f>VLOOKUP(H438,'Full Trial Balance'!$A$4:$G$2306,6,FALSE)</f>
        <v>0</v>
      </c>
      <c r="N438" s="438">
        <f>VLOOKUP(H438,'Full Trial Balance'!$A$4:$G$2306,7,FALSE)</f>
        <v>91977.73</v>
      </c>
      <c r="O438" s="485">
        <f t="shared" si="53"/>
        <v>0</v>
      </c>
    </row>
    <row r="439" spans="1:15" x14ac:dyDescent="0.25">
      <c r="A439" s="241" t="str">
        <f t="shared" si="48"/>
        <v>03-02</v>
      </c>
      <c r="B439" s="241" t="str">
        <f t="shared" si="49"/>
        <v>03</v>
      </c>
      <c r="C439" s="241" t="str">
        <f t="shared" si="50"/>
        <v>02</v>
      </c>
      <c r="D439" s="235" t="str">
        <f t="shared" si="51"/>
        <v>03-</v>
      </c>
      <c r="E439" s="241" t="s">
        <v>1250</v>
      </c>
      <c r="F439" s="241" t="str">
        <f t="shared" si="52"/>
        <v>-091-121</v>
      </c>
      <c r="G439" s="235" t="s">
        <v>1256</v>
      </c>
      <c r="H439" s="241" t="s">
        <v>333</v>
      </c>
      <c r="I439" s="435" t="s">
        <v>919</v>
      </c>
      <c r="J439" s="438">
        <f>VLOOKUP(H439,'Full Trial Balance'!$A$4:$G$2306,3,FALSE)</f>
        <v>2000</v>
      </c>
      <c r="K439" s="438">
        <f>VLOOKUP(H439,'Full Trial Balance'!$A$4:$G$2306,4,FALSE)</f>
        <v>0</v>
      </c>
      <c r="L439" s="438">
        <f>VLOOKUP(H439,'Full Trial Balance'!$A$4:$G$2306,5,FALSE)</f>
        <v>350.36</v>
      </c>
      <c r="M439" s="438">
        <f>VLOOKUP(H439,'Full Trial Balance'!$A$4:$G$2306,6,FALSE)</f>
        <v>0</v>
      </c>
      <c r="N439" s="438">
        <f>VLOOKUP(H439,'Full Trial Balance'!$A$4:$G$2306,7,FALSE)</f>
        <v>350.36</v>
      </c>
      <c r="O439" s="485">
        <f t="shared" si="53"/>
        <v>0</v>
      </c>
    </row>
    <row r="440" spans="1:15" s="258" customFormat="1" x14ac:dyDescent="0.25">
      <c r="A440" s="241" t="str">
        <f t="shared" si="48"/>
        <v>03-02</v>
      </c>
      <c r="B440" s="241" t="str">
        <f t="shared" si="49"/>
        <v>03</v>
      </c>
      <c r="C440" s="241" t="str">
        <f t="shared" si="50"/>
        <v>02</v>
      </c>
      <c r="D440" s="489" t="str">
        <f t="shared" si="51"/>
        <v>03-</v>
      </c>
      <c r="E440" s="241" t="s">
        <v>1250</v>
      </c>
      <c r="F440" s="241" t="str">
        <f t="shared" si="52"/>
        <v>-091-122</v>
      </c>
      <c r="G440" s="489" t="s">
        <v>1255</v>
      </c>
      <c r="H440" s="241" t="s">
        <v>334</v>
      </c>
      <c r="I440" s="435" t="s">
        <v>920</v>
      </c>
      <c r="J440" s="438">
        <f>VLOOKUP(H440,'Full Trial Balance'!$A$4:$G$2306,3,FALSE)</f>
        <v>140000</v>
      </c>
      <c r="K440" s="438">
        <f>VLOOKUP(H440,'Full Trial Balance'!$A$4:$G$2306,4,FALSE)</f>
        <v>0</v>
      </c>
      <c r="L440" s="438">
        <f>VLOOKUP(H440,'Full Trial Balance'!$A$4:$G$2306,5,FALSE)</f>
        <v>51502.1</v>
      </c>
      <c r="M440" s="438">
        <f>VLOOKUP(H440,'Full Trial Balance'!$A$4:$G$2306,6,FALSE)</f>
        <v>0</v>
      </c>
      <c r="N440" s="438">
        <f>VLOOKUP(H440,'Full Trial Balance'!$A$4:$G$2306,7,FALSE)</f>
        <v>51502.1</v>
      </c>
      <c r="O440" s="485">
        <f t="shared" si="53"/>
        <v>0</v>
      </c>
    </row>
    <row r="441" spans="1:15" x14ac:dyDescent="0.25">
      <c r="A441" s="241" t="str">
        <f t="shared" si="48"/>
        <v>03-02</v>
      </c>
      <c r="B441" s="241" t="str">
        <f t="shared" si="49"/>
        <v>03</v>
      </c>
      <c r="C441" s="241" t="str">
        <f t="shared" si="50"/>
        <v>02</v>
      </c>
      <c r="D441" s="235" t="str">
        <f t="shared" si="51"/>
        <v>03-</v>
      </c>
      <c r="E441" s="241" t="s">
        <v>1250</v>
      </c>
      <c r="F441" s="241" t="str">
        <f t="shared" si="52"/>
        <v>-092-121</v>
      </c>
      <c r="G441" s="256" t="s">
        <v>1256</v>
      </c>
      <c r="H441" s="241" t="s">
        <v>336</v>
      </c>
      <c r="I441" s="435" t="s">
        <v>335</v>
      </c>
      <c r="J441" s="438">
        <f>VLOOKUP(H441,'Full Trial Balance'!$A$4:$G$2306,3,FALSE)</f>
        <v>2500</v>
      </c>
      <c r="K441" s="438">
        <f>VLOOKUP(H441,'Full Trial Balance'!$A$4:$G$2306,4,FALSE)</f>
        <v>0</v>
      </c>
      <c r="L441" s="438">
        <f>VLOOKUP(H441,'Full Trial Balance'!$A$4:$G$2306,5,FALSE)</f>
        <v>0</v>
      </c>
      <c r="M441" s="438">
        <f>VLOOKUP(H441,'Full Trial Balance'!$A$4:$G$2306,6,FALSE)</f>
        <v>0</v>
      </c>
      <c r="N441" s="438">
        <f>VLOOKUP(H441,'Full Trial Balance'!$A$4:$G$2306,7,FALSE)</f>
        <v>0</v>
      </c>
      <c r="O441" s="485">
        <f t="shared" si="53"/>
        <v>0</v>
      </c>
    </row>
    <row r="442" spans="1:15" x14ac:dyDescent="0.25">
      <c r="A442" s="241" t="str">
        <f t="shared" si="48"/>
        <v>03-02</v>
      </c>
      <c r="B442" s="241" t="str">
        <f t="shared" si="49"/>
        <v>03</v>
      </c>
      <c r="C442" s="241" t="str">
        <f t="shared" si="50"/>
        <v>02</v>
      </c>
      <c r="D442" s="235" t="str">
        <f t="shared" si="51"/>
        <v>03-</v>
      </c>
      <c r="E442" s="241" t="s">
        <v>1250</v>
      </c>
      <c r="F442" s="241" t="str">
        <f t="shared" si="52"/>
        <v>-092-122</v>
      </c>
      <c r="G442" s="256" t="s">
        <v>1255</v>
      </c>
      <c r="H442" s="241" t="s">
        <v>338</v>
      </c>
      <c r="I442" s="435" t="s">
        <v>337</v>
      </c>
      <c r="J442" s="438">
        <f>VLOOKUP(H442,'Full Trial Balance'!$A$4:$G$2306,3,FALSE)</f>
        <v>140000</v>
      </c>
      <c r="K442" s="438">
        <f>VLOOKUP(H442,'Full Trial Balance'!$A$4:$G$2306,4,FALSE)</f>
        <v>0</v>
      </c>
      <c r="L442" s="438">
        <f>VLOOKUP(H442,'Full Trial Balance'!$A$4:$G$2306,5,FALSE)</f>
        <v>41842.160000000003</v>
      </c>
      <c r="M442" s="438">
        <f>VLOOKUP(H442,'Full Trial Balance'!$A$4:$G$2306,6,FALSE)</f>
        <v>0</v>
      </c>
      <c r="N442" s="438">
        <f>VLOOKUP(H442,'Full Trial Balance'!$A$4:$G$2306,7,FALSE)</f>
        <v>41842.160000000003</v>
      </c>
      <c r="O442" s="485">
        <f t="shared" si="53"/>
        <v>0</v>
      </c>
    </row>
    <row r="443" spans="1:15" x14ac:dyDescent="0.25">
      <c r="A443" s="241" t="str">
        <f t="shared" si="48"/>
        <v>04-02</v>
      </c>
      <c r="B443" s="241" t="str">
        <f t="shared" si="49"/>
        <v>04</v>
      </c>
      <c r="C443" s="241" t="str">
        <f t="shared" si="50"/>
        <v>02</v>
      </c>
      <c r="D443" s="235" t="str">
        <f t="shared" si="51"/>
        <v>04-</v>
      </c>
      <c r="E443" s="241" t="s">
        <v>1250</v>
      </c>
      <c r="F443" s="241" t="str">
        <f t="shared" si="52"/>
        <v>-010-000</v>
      </c>
      <c r="G443" s="256" t="str">
        <f t="shared" ref="G443:G458" si="54">CONCATENATE(D443,E443,F443)</f>
        <v>04-0x-010-000</v>
      </c>
      <c r="H443" s="241" t="s">
        <v>339</v>
      </c>
      <c r="I443" s="435" t="s">
        <v>76</v>
      </c>
      <c r="J443" s="438">
        <f>VLOOKUP(H443,'Full Trial Balance'!$A$4:$G$2306,3,FALSE)</f>
        <v>187821.76</v>
      </c>
      <c r="K443" s="438">
        <f>VLOOKUP(H443,'Full Trial Balance'!$A$4:$G$2306,4,FALSE)</f>
        <v>0</v>
      </c>
      <c r="L443" s="438">
        <f>VLOOKUP(H443,'Full Trial Balance'!$A$4:$G$2306,5,FALSE)</f>
        <v>97535.32</v>
      </c>
      <c r="M443" s="438">
        <f>VLOOKUP(H443,'Full Trial Balance'!$A$4:$G$2306,6,FALSE)</f>
        <v>4258.25</v>
      </c>
      <c r="N443" s="438">
        <f>VLOOKUP(H443,'Full Trial Balance'!$A$4:$G$2306,7,FALSE)</f>
        <v>93277.07</v>
      </c>
      <c r="O443" s="485">
        <f t="shared" si="53"/>
        <v>0</v>
      </c>
    </row>
    <row r="444" spans="1:15" x14ac:dyDescent="0.25">
      <c r="A444" s="241" t="str">
        <f t="shared" si="48"/>
        <v>04-02</v>
      </c>
      <c r="B444" s="241" t="str">
        <f t="shared" si="49"/>
        <v>04</v>
      </c>
      <c r="C444" s="241" t="str">
        <f t="shared" si="50"/>
        <v>02</v>
      </c>
      <c r="D444" s="235" t="str">
        <f t="shared" si="51"/>
        <v>04-</v>
      </c>
      <c r="E444" s="241" t="s">
        <v>1250</v>
      </c>
      <c r="F444" s="241" t="str">
        <f t="shared" si="52"/>
        <v>-010-005</v>
      </c>
      <c r="G444" s="256" t="str">
        <f t="shared" si="54"/>
        <v>04-0x-010-005</v>
      </c>
      <c r="H444" s="241" t="s">
        <v>1104</v>
      </c>
      <c r="I444" s="435" t="s">
        <v>667</v>
      </c>
      <c r="J444" s="438">
        <f>VLOOKUP(H444,'Full Trial Balance'!$A$4:$G$2306,3,FALSE)</f>
        <v>0</v>
      </c>
      <c r="K444" s="438">
        <f>VLOOKUP(H444,'Full Trial Balance'!$A$4:$G$2306,4,FALSE)</f>
        <v>0</v>
      </c>
      <c r="L444" s="438">
        <f>VLOOKUP(H444,'Full Trial Balance'!$A$4:$G$2306,5,FALSE)</f>
        <v>0</v>
      </c>
      <c r="M444" s="438">
        <f>VLOOKUP(H444,'Full Trial Balance'!$A$4:$G$2306,6,FALSE)</f>
        <v>0</v>
      </c>
      <c r="N444" s="438">
        <f>VLOOKUP(H444,'Full Trial Balance'!$A$4:$G$2306,7,FALSE)</f>
        <v>0</v>
      </c>
      <c r="O444" s="485">
        <f t="shared" si="53"/>
        <v>0</v>
      </c>
    </row>
    <row r="445" spans="1:15" x14ac:dyDescent="0.25">
      <c r="A445" s="241" t="str">
        <f t="shared" si="48"/>
        <v>04-02</v>
      </c>
      <c r="B445" s="241" t="str">
        <f t="shared" si="49"/>
        <v>04</v>
      </c>
      <c r="C445" s="241" t="str">
        <f t="shared" si="50"/>
        <v>02</v>
      </c>
      <c r="D445" s="235" t="str">
        <f t="shared" si="51"/>
        <v>04-</v>
      </c>
      <c r="E445" s="241" t="s">
        <v>1250</v>
      </c>
      <c r="F445" s="241" t="str">
        <f t="shared" si="52"/>
        <v>-015-000</v>
      </c>
      <c r="G445" s="235" t="str">
        <f t="shared" si="54"/>
        <v>04-0x-015-000</v>
      </c>
      <c r="H445" s="241" t="s">
        <v>340</v>
      </c>
      <c r="I445" s="435" t="s">
        <v>37</v>
      </c>
      <c r="J445" s="438">
        <f>VLOOKUP(H445,'Full Trial Balance'!$A$4:$G$2306,3,FALSE)</f>
        <v>5896.32</v>
      </c>
      <c r="K445" s="438">
        <f>VLOOKUP(H445,'Full Trial Balance'!$A$4:$G$2306,4,FALSE)</f>
        <v>0</v>
      </c>
      <c r="L445" s="438">
        <f>VLOOKUP(H445,'Full Trial Balance'!$A$4:$G$2306,5,FALSE)</f>
        <v>817</v>
      </c>
      <c r="M445" s="438">
        <f>VLOOKUP(H445,'Full Trial Balance'!$A$4:$G$2306,6,FALSE)</f>
        <v>0</v>
      </c>
      <c r="N445" s="438">
        <f>VLOOKUP(H445,'Full Trial Balance'!$A$4:$G$2306,7,FALSE)</f>
        <v>817</v>
      </c>
      <c r="O445" s="485">
        <f t="shared" si="53"/>
        <v>0</v>
      </c>
    </row>
    <row r="446" spans="1:15" x14ac:dyDescent="0.25">
      <c r="A446" s="241" t="str">
        <f t="shared" si="48"/>
        <v>04-02</v>
      </c>
      <c r="B446" s="241" t="str">
        <f t="shared" si="49"/>
        <v>04</v>
      </c>
      <c r="C446" s="241" t="str">
        <f t="shared" si="50"/>
        <v>02</v>
      </c>
      <c r="D446" s="235" t="str">
        <f t="shared" si="51"/>
        <v>04-</v>
      </c>
      <c r="E446" s="241" t="s">
        <v>1250</v>
      </c>
      <c r="F446" s="241" t="str">
        <f t="shared" si="52"/>
        <v>-016-000</v>
      </c>
      <c r="G446" s="256" t="str">
        <f t="shared" si="54"/>
        <v>04-0x-016-000</v>
      </c>
      <c r="H446" s="241" t="s">
        <v>341</v>
      </c>
      <c r="I446" s="435" t="s">
        <v>1076</v>
      </c>
      <c r="J446" s="438">
        <f>VLOOKUP(H446,'Full Trial Balance'!$A$4:$G$2306,3,FALSE)</f>
        <v>4659.2</v>
      </c>
      <c r="K446" s="438">
        <f>VLOOKUP(H446,'Full Trial Balance'!$A$4:$G$2306,4,FALSE)</f>
        <v>0</v>
      </c>
      <c r="L446" s="438">
        <f>VLOOKUP(H446,'Full Trial Balance'!$A$4:$G$2306,5,FALSE)</f>
        <v>3640</v>
      </c>
      <c r="M446" s="438">
        <f>VLOOKUP(H446,'Full Trial Balance'!$A$4:$G$2306,6,FALSE)</f>
        <v>280</v>
      </c>
      <c r="N446" s="438">
        <f>VLOOKUP(H446,'Full Trial Balance'!$A$4:$G$2306,7,FALSE)</f>
        <v>3360</v>
      </c>
      <c r="O446" s="485">
        <f t="shared" si="53"/>
        <v>0</v>
      </c>
    </row>
    <row r="447" spans="1:15" x14ac:dyDescent="0.25">
      <c r="A447" s="241" t="str">
        <f t="shared" si="48"/>
        <v>04-02</v>
      </c>
      <c r="B447" s="241" t="str">
        <f t="shared" si="49"/>
        <v>04</v>
      </c>
      <c r="C447" s="241" t="str">
        <f t="shared" si="50"/>
        <v>02</v>
      </c>
      <c r="D447" s="235" t="str">
        <f t="shared" si="51"/>
        <v>04-</v>
      </c>
      <c r="E447" s="241" t="s">
        <v>1250</v>
      </c>
      <c r="F447" s="241" t="str">
        <f t="shared" si="52"/>
        <v>-020-202</v>
      </c>
      <c r="G447" s="235" t="str">
        <f t="shared" si="54"/>
        <v>04-0x-020-202</v>
      </c>
      <c r="H447" s="241" t="s">
        <v>342</v>
      </c>
      <c r="I447" s="435" t="s">
        <v>153</v>
      </c>
      <c r="J447" s="438">
        <f>VLOOKUP(H447,'Full Trial Balance'!$A$4:$G$2306,3,FALSE)</f>
        <v>12299.36</v>
      </c>
      <c r="K447" s="438">
        <f>VLOOKUP(H447,'Full Trial Balance'!$A$4:$G$2306,4,FALSE)</f>
        <v>0</v>
      </c>
      <c r="L447" s="438">
        <f>VLOOKUP(H447,'Full Trial Balance'!$A$4:$G$2306,5,FALSE)</f>
        <v>6106.42</v>
      </c>
      <c r="M447" s="438">
        <f>VLOOKUP(H447,'Full Trial Balance'!$A$4:$G$2306,6,FALSE)</f>
        <v>248.8</v>
      </c>
      <c r="N447" s="438">
        <f>VLOOKUP(H447,'Full Trial Balance'!$A$4:$G$2306,7,FALSE)</f>
        <v>5857.62</v>
      </c>
      <c r="O447" s="485">
        <f t="shared" si="53"/>
        <v>0</v>
      </c>
    </row>
    <row r="448" spans="1:15" x14ac:dyDescent="0.25">
      <c r="A448" s="241" t="str">
        <f t="shared" si="48"/>
        <v>04-02</v>
      </c>
      <c r="B448" s="241" t="str">
        <f t="shared" si="49"/>
        <v>04</v>
      </c>
      <c r="C448" s="241" t="str">
        <f t="shared" si="50"/>
        <v>02</v>
      </c>
      <c r="D448" s="235" t="str">
        <f t="shared" si="51"/>
        <v>04-</v>
      </c>
      <c r="E448" s="241" t="s">
        <v>1250</v>
      </c>
      <c r="F448" s="241" t="str">
        <f t="shared" si="52"/>
        <v>-020-203</v>
      </c>
      <c r="G448" s="235" t="str">
        <f t="shared" si="54"/>
        <v>04-0x-020-203</v>
      </c>
      <c r="H448" s="241" t="s">
        <v>343</v>
      </c>
      <c r="I448" s="435" t="s">
        <v>154</v>
      </c>
      <c r="J448" s="438">
        <f>VLOOKUP(H448,'Full Trial Balance'!$A$4:$G$2306,3,FALSE)</f>
        <v>2876.48</v>
      </c>
      <c r="K448" s="438">
        <f>VLOOKUP(H448,'Full Trial Balance'!$A$4:$G$2306,4,FALSE)</f>
        <v>0</v>
      </c>
      <c r="L448" s="438">
        <f>VLOOKUP(H448,'Full Trial Balance'!$A$4:$G$2306,5,FALSE)</f>
        <v>1452.78</v>
      </c>
      <c r="M448" s="438">
        <f>VLOOKUP(H448,'Full Trial Balance'!$A$4:$G$2306,6,FALSE)</f>
        <v>58.19</v>
      </c>
      <c r="N448" s="438">
        <f>VLOOKUP(H448,'Full Trial Balance'!$A$4:$G$2306,7,FALSE)</f>
        <v>1394.59</v>
      </c>
      <c r="O448" s="485">
        <f t="shared" si="53"/>
        <v>-5.6843418860808015E-14</v>
      </c>
    </row>
    <row r="449" spans="1:15" x14ac:dyDescent="0.25">
      <c r="A449" s="241" t="str">
        <f t="shared" si="48"/>
        <v>04-02</v>
      </c>
      <c r="B449" s="241" t="str">
        <f t="shared" si="49"/>
        <v>04</v>
      </c>
      <c r="C449" s="241" t="str">
        <f t="shared" si="50"/>
        <v>02</v>
      </c>
      <c r="D449" s="235" t="str">
        <f t="shared" si="51"/>
        <v>04-</v>
      </c>
      <c r="E449" s="241" t="s">
        <v>1250</v>
      </c>
      <c r="F449" s="241" t="str">
        <f t="shared" si="52"/>
        <v>-020-204</v>
      </c>
      <c r="G449" s="235" t="str">
        <f t="shared" si="54"/>
        <v>04-0x-020-204</v>
      </c>
      <c r="H449" s="241" t="s">
        <v>344</v>
      </c>
      <c r="I449" s="435" t="s">
        <v>38</v>
      </c>
      <c r="J449" s="438">
        <f>VLOOKUP(H449,'Full Trial Balance'!$A$4:$G$2306,3,FALSE)</f>
        <v>54671.839999999997</v>
      </c>
      <c r="K449" s="438">
        <f>VLOOKUP(H449,'Full Trial Balance'!$A$4:$G$2306,4,FALSE)</f>
        <v>0</v>
      </c>
      <c r="L449" s="438">
        <f>VLOOKUP(H449,'Full Trial Balance'!$A$4:$G$2306,5,FALSE)</f>
        <v>17428.169999999998</v>
      </c>
      <c r="M449" s="438">
        <f>VLOOKUP(H449,'Full Trial Balance'!$A$4:$G$2306,6,FALSE)</f>
        <v>0</v>
      </c>
      <c r="N449" s="438">
        <f>VLOOKUP(H449,'Full Trial Balance'!$A$4:$G$2306,7,FALSE)</f>
        <v>17428.169999999998</v>
      </c>
      <c r="O449" s="485">
        <f t="shared" si="53"/>
        <v>0</v>
      </c>
    </row>
    <row r="450" spans="1:15" x14ac:dyDescent="0.25">
      <c r="A450" s="241" t="str">
        <f t="shared" si="48"/>
        <v>04-02</v>
      </c>
      <c r="B450" s="241" t="str">
        <f t="shared" si="49"/>
        <v>04</v>
      </c>
      <c r="C450" s="241" t="str">
        <f t="shared" si="50"/>
        <v>02</v>
      </c>
      <c r="D450" s="235" t="str">
        <f t="shared" si="51"/>
        <v>04-</v>
      </c>
      <c r="E450" s="241" t="s">
        <v>1250</v>
      </c>
      <c r="F450" s="241" t="str">
        <f t="shared" si="52"/>
        <v>-020-205</v>
      </c>
      <c r="G450" s="235" t="str">
        <f t="shared" si="54"/>
        <v>04-0x-020-205</v>
      </c>
      <c r="H450" s="241" t="s">
        <v>345</v>
      </c>
      <c r="I450" s="435" t="s">
        <v>77</v>
      </c>
      <c r="J450" s="438">
        <f>VLOOKUP(H450,'Full Trial Balance'!$A$4:$G$2306,3,FALSE)</f>
        <v>3124.8</v>
      </c>
      <c r="K450" s="438">
        <f>VLOOKUP(H450,'Full Trial Balance'!$A$4:$G$2306,4,FALSE)</f>
        <v>0</v>
      </c>
      <c r="L450" s="438">
        <f>VLOOKUP(H450,'Full Trial Balance'!$A$4:$G$2306,5,FALSE)</f>
        <v>1012.14</v>
      </c>
      <c r="M450" s="438">
        <f>VLOOKUP(H450,'Full Trial Balance'!$A$4:$G$2306,6,FALSE)</f>
        <v>0</v>
      </c>
      <c r="N450" s="438">
        <f>VLOOKUP(H450,'Full Trial Balance'!$A$4:$G$2306,7,FALSE)</f>
        <v>1012.14</v>
      </c>
      <c r="O450" s="485">
        <f t="shared" si="53"/>
        <v>0</v>
      </c>
    </row>
    <row r="451" spans="1:15" x14ac:dyDescent="0.25">
      <c r="A451" s="241" t="str">
        <f t="shared" ref="A451:A514" si="55">LEFT(H451,5)</f>
        <v>04-02</v>
      </c>
      <c r="B451" s="241" t="str">
        <f t="shared" ref="B451:B514" si="56">LEFT(H451,2)</f>
        <v>04</v>
      </c>
      <c r="C451" s="241" t="str">
        <f t="shared" ref="C451:C514" si="57">RIGHT(A451,2)</f>
        <v>02</v>
      </c>
      <c r="D451" s="235" t="str">
        <f t="shared" ref="D451:D514" si="58">LEFT(A451,3)</f>
        <v>04-</v>
      </c>
      <c r="E451" s="241" t="s">
        <v>1250</v>
      </c>
      <c r="F451" s="241" t="str">
        <f t="shared" ref="F451:F514" si="59">RIGHT(H451,8)</f>
        <v>-020-206</v>
      </c>
      <c r="G451" s="235" t="str">
        <f t="shared" si="54"/>
        <v>04-0x-020-206</v>
      </c>
      <c r="H451" s="241" t="s">
        <v>346</v>
      </c>
      <c r="I451" s="435" t="s">
        <v>78</v>
      </c>
      <c r="J451" s="438">
        <f>VLOOKUP(H451,'Full Trial Balance'!$A$4:$G$2306,3,FALSE)</f>
        <v>551.84</v>
      </c>
      <c r="K451" s="438">
        <f>VLOOKUP(H451,'Full Trial Balance'!$A$4:$G$2306,4,FALSE)</f>
        <v>0</v>
      </c>
      <c r="L451" s="438">
        <f>VLOOKUP(H451,'Full Trial Balance'!$A$4:$G$2306,5,FALSE)</f>
        <v>198.67</v>
      </c>
      <c r="M451" s="438">
        <f>VLOOKUP(H451,'Full Trial Balance'!$A$4:$G$2306,6,FALSE)</f>
        <v>0</v>
      </c>
      <c r="N451" s="438">
        <f>VLOOKUP(H451,'Full Trial Balance'!$A$4:$G$2306,7,FALSE)</f>
        <v>198.67</v>
      </c>
      <c r="O451" s="485">
        <f t="shared" ref="O451:O514" si="60">N451-L451+M451</f>
        <v>0</v>
      </c>
    </row>
    <row r="452" spans="1:15" x14ac:dyDescent="0.25">
      <c r="A452" s="241" t="str">
        <f t="shared" si="55"/>
        <v>04-02</v>
      </c>
      <c r="B452" s="241" t="str">
        <f t="shared" si="56"/>
        <v>04</v>
      </c>
      <c r="C452" s="241" t="str">
        <f t="shared" si="57"/>
        <v>02</v>
      </c>
      <c r="D452" s="235" t="str">
        <f t="shared" si="58"/>
        <v>04-</v>
      </c>
      <c r="E452" s="241" t="s">
        <v>1250</v>
      </c>
      <c r="F452" s="241" t="str">
        <f t="shared" si="59"/>
        <v>-020-208</v>
      </c>
      <c r="G452" s="235" t="str">
        <f t="shared" si="54"/>
        <v>04-0x-020-208</v>
      </c>
      <c r="H452" s="241" t="s">
        <v>347</v>
      </c>
      <c r="I452" s="435" t="s">
        <v>893</v>
      </c>
      <c r="J452" s="438">
        <f>VLOOKUP(H452,'Full Trial Balance'!$A$4:$G$2306,3,FALSE)</f>
        <v>7659.2</v>
      </c>
      <c r="K452" s="438">
        <f>VLOOKUP(H452,'Full Trial Balance'!$A$4:$G$2306,4,FALSE)</f>
        <v>0</v>
      </c>
      <c r="L452" s="438">
        <f>VLOOKUP(H452,'Full Trial Balance'!$A$4:$G$2306,5,FALSE)</f>
        <v>3920.35</v>
      </c>
      <c r="M452" s="438">
        <f>VLOOKUP(H452,'Full Trial Balance'!$A$4:$G$2306,6,FALSE)</f>
        <v>172.88</v>
      </c>
      <c r="N452" s="438">
        <f>VLOOKUP(H452,'Full Trial Balance'!$A$4:$G$2306,7,FALSE)</f>
        <v>3747.47</v>
      </c>
      <c r="O452" s="485">
        <f t="shared" si="60"/>
        <v>0</v>
      </c>
    </row>
    <row r="453" spans="1:15" x14ac:dyDescent="0.25">
      <c r="A453" s="241" t="str">
        <f t="shared" si="55"/>
        <v>04-02</v>
      </c>
      <c r="B453" s="241" t="str">
        <f t="shared" si="56"/>
        <v>04</v>
      </c>
      <c r="C453" s="241" t="str">
        <f t="shared" si="57"/>
        <v>02</v>
      </c>
      <c r="D453" s="235" t="str">
        <f t="shared" si="58"/>
        <v>04-</v>
      </c>
      <c r="E453" s="241" t="s">
        <v>1250</v>
      </c>
      <c r="F453" s="241" t="str">
        <f t="shared" si="59"/>
        <v>-020-209</v>
      </c>
      <c r="G453" s="235" t="str">
        <f t="shared" si="54"/>
        <v>04-0x-020-209</v>
      </c>
      <c r="H453" s="241" t="s">
        <v>348</v>
      </c>
      <c r="I453" s="435" t="s">
        <v>39</v>
      </c>
      <c r="J453" s="438">
        <f>VLOOKUP(H453,'Full Trial Balance'!$A$4:$G$2306,3,FALSE)</f>
        <v>743.84</v>
      </c>
      <c r="K453" s="438">
        <f>VLOOKUP(H453,'Full Trial Balance'!$A$4:$G$2306,4,FALSE)</f>
        <v>0</v>
      </c>
      <c r="L453" s="438">
        <f>VLOOKUP(H453,'Full Trial Balance'!$A$4:$G$2306,5,FALSE)</f>
        <v>342.35</v>
      </c>
      <c r="M453" s="438">
        <f>VLOOKUP(H453,'Full Trial Balance'!$A$4:$G$2306,6,FALSE)</f>
        <v>95.85</v>
      </c>
      <c r="N453" s="438">
        <f>VLOOKUP(H453,'Full Trial Balance'!$A$4:$G$2306,7,FALSE)</f>
        <v>246.5</v>
      </c>
      <c r="O453" s="485">
        <f t="shared" si="60"/>
        <v>0</v>
      </c>
    </row>
    <row r="454" spans="1:15" x14ac:dyDescent="0.25">
      <c r="A454" s="241" t="str">
        <f t="shared" si="55"/>
        <v>04-02</v>
      </c>
      <c r="B454" s="241" t="str">
        <f t="shared" si="56"/>
        <v>04</v>
      </c>
      <c r="C454" s="241" t="str">
        <f t="shared" si="57"/>
        <v>02</v>
      </c>
      <c r="D454" s="489" t="str">
        <f t="shared" si="58"/>
        <v>04-</v>
      </c>
      <c r="E454" s="241" t="s">
        <v>1250</v>
      </c>
      <c r="F454" s="241" t="str">
        <f t="shared" si="59"/>
        <v>-020-210</v>
      </c>
      <c r="G454" s="489" t="str">
        <f t="shared" si="54"/>
        <v>04-0x-020-210</v>
      </c>
      <c r="H454" s="241" t="s">
        <v>349</v>
      </c>
      <c r="I454" s="435" t="s">
        <v>64</v>
      </c>
      <c r="J454" s="438">
        <f>VLOOKUP(H454,'Full Trial Balance'!$A$4:$G$2306,3,FALSE)</f>
        <v>1088</v>
      </c>
      <c r="K454" s="438">
        <f>VLOOKUP(H454,'Full Trial Balance'!$A$4:$G$2306,4,FALSE)</f>
        <v>0</v>
      </c>
      <c r="L454" s="438">
        <f>VLOOKUP(H454,'Full Trial Balance'!$A$4:$G$2306,5,FALSE)</f>
        <v>362.09</v>
      </c>
      <c r="M454" s="438">
        <f>VLOOKUP(H454,'Full Trial Balance'!$A$4:$G$2306,6,FALSE)</f>
        <v>0</v>
      </c>
      <c r="N454" s="438">
        <f>VLOOKUP(H454,'Full Trial Balance'!$A$4:$G$2306,7,FALSE)</f>
        <v>362.09</v>
      </c>
      <c r="O454" s="485">
        <f t="shared" si="60"/>
        <v>0</v>
      </c>
    </row>
    <row r="455" spans="1:15" x14ac:dyDescent="0.25">
      <c r="A455" s="241" t="str">
        <f t="shared" si="55"/>
        <v>04-02</v>
      </c>
      <c r="B455" s="241" t="str">
        <f t="shared" si="56"/>
        <v>04</v>
      </c>
      <c r="C455" s="241" t="str">
        <f t="shared" si="57"/>
        <v>02</v>
      </c>
      <c r="D455" s="235" t="str">
        <f t="shared" si="58"/>
        <v>04-</v>
      </c>
      <c r="E455" s="241" t="s">
        <v>1250</v>
      </c>
      <c r="F455" s="241" t="str">
        <f t="shared" si="59"/>
        <v>-020-211</v>
      </c>
      <c r="G455" s="235" t="str">
        <f t="shared" si="54"/>
        <v>04-0x-020-211</v>
      </c>
      <c r="H455" s="241" t="s">
        <v>350</v>
      </c>
      <c r="I455" s="435" t="s">
        <v>65</v>
      </c>
      <c r="J455" s="438">
        <f>VLOOKUP(H455,'Full Trial Balance'!$A$4:$G$2306,3,FALSE)</f>
        <v>544</v>
      </c>
      <c r="K455" s="438">
        <f>VLOOKUP(H455,'Full Trial Balance'!$A$4:$G$2306,4,FALSE)</f>
        <v>0</v>
      </c>
      <c r="L455" s="438">
        <f>VLOOKUP(H455,'Full Trial Balance'!$A$4:$G$2306,5,FALSE)</f>
        <v>95.81</v>
      </c>
      <c r="M455" s="438">
        <f>VLOOKUP(H455,'Full Trial Balance'!$A$4:$G$2306,6,FALSE)</f>
        <v>0</v>
      </c>
      <c r="N455" s="438">
        <f>VLOOKUP(H455,'Full Trial Balance'!$A$4:$G$2306,7,FALSE)</f>
        <v>95.81</v>
      </c>
      <c r="O455" s="485">
        <f t="shared" si="60"/>
        <v>0</v>
      </c>
    </row>
    <row r="456" spans="1:15" x14ac:dyDescent="0.25">
      <c r="A456" s="241" t="str">
        <f t="shared" si="55"/>
        <v>04-02</v>
      </c>
      <c r="B456" s="241" t="str">
        <f t="shared" si="56"/>
        <v>04</v>
      </c>
      <c r="C456" s="241" t="str">
        <f t="shared" si="57"/>
        <v>02</v>
      </c>
      <c r="D456" s="235" t="str">
        <f t="shared" si="58"/>
        <v>04-</v>
      </c>
      <c r="E456" s="241" t="s">
        <v>1250</v>
      </c>
      <c r="F456" s="241" t="str">
        <f t="shared" si="59"/>
        <v>-020-212</v>
      </c>
      <c r="G456" s="235" t="str">
        <f t="shared" si="54"/>
        <v>04-0x-020-212</v>
      </c>
      <c r="H456" s="241" t="s">
        <v>351</v>
      </c>
      <c r="I456" s="435" t="s">
        <v>40</v>
      </c>
      <c r="J456" s="438">
        <f>VLOOKUP(H456,'Full Trial Balance'!$A$4:$G$2306,3,FALSE)</f>
        <v>841.76</v>
      </c>
      <c r="K456" s="438">
        <f>VLOOKUP(H456,'Full Trial Balance'!$A$4:$G$2306,4,FALSE)</f>
        <v>0</v>
      </c>
      <c r="L456" s="438">
        <f>VLOOKUP(H456,'Full Trial Balance'!$A$4:$G$2306,5,FALSE)</f>
        <v>2.63</v>
      </c>
      <c r="M456" s="438">
        <f>VLOOKUP(H456,'Full Trial Balance'!$A$4:$G$2306,6,FALSE)</f>
        <v>0</v>
      </c>
      <c r="N456" s="438">
        <f>VLOOKUP(H456,'Full Trial Balance'!$A$4:$G$2306,7,FALSE)</f>
        <v>2.63</v>
      </c>
      <c r="O456" s="485">
        <f t="shared" si="60"/>
        <v>0</v>
      </c>
    </row>
    <row r="457" spans="1:15" x14ac:dyDescent="0.25">
      <c r="A457" s="241" t="str">
        <f t="shared" si="55"/>
        <v>04-02</v>
      </c>
      <c r="B457" s="241" t="str">
        <f t="shared" si="56"/>
        <v>04</v>
      </c>
      <c r="C457" s="241" t="str">
        <f t="shared" si="57"/>
        <v>02</v>
      </c>
      <c r="D457" s="235" t="str">
        <f t="shared" si="58"/>
        <v>04-</v>
      </c>
      <c r="E457" s="241" t="s">
        <v>1250</v>
      </c>
      <c r="F457" s="241" t="str">
        <f t="shared" si="59"/>
        <v>-020-213</v>
      </c>
      <c r="G457" s="235" t="str">
        <f t="shared" si="54"/>
        <v>04-0x-020-213</v>
      </c>
      <c r="H457" s="241" t="s">
        <v>352</v>
      </c>
      <c r="I457" s="435" t="s">
        <v>41</v>
      </c>
      <c r="J457" s="438">
        <f>VLOOKUP(H457,'Full Trial Balance'!$A$4:$G$2306,3,FALSE)</f>
        <v>18.72</v>
      </c>
      <c r="K457" s="438">
        <f>VLOOKUP(H457,'Full Trial Balance'!$A$4:$G$2306,4,FALSE)</f>
        <v>0</v>
      </c>
      <c r="L457" s="438">
        <f>VLOOKUP(H457,'Full Trial Balance'!$A$4:$G$2306,5,FALSE)</f>
        <v>0</v>
      </c>
      <c r="M457" s="438">
        <f>VLOOKUP(H457,'Full Trial Balance'!$A$4:$G$2306,6,FALSE)</f>
        <v>0</v>
      </c>
      <c r="N457" s="438">
        <f>VLOOKUP(H457,'Full Trial Balance'!$A$4:$G$2306,7,FALSE)</f>
        <v>0</v>
      </c>
      <c r="O457" s="485">
        <f t="shared" si="60"/>
        <v>0</v>
      </c>
    </row>
    <row r="458" spans="1:15" x14ac:dyDescent="0.25">
      <c r="A458" s="241" t="str">
        <f t="shared" si="55"/>
        <v>04-02</v>
      </c>
      <c r="B458" s="241" t="str">
        <f t="shared" si="56"/>
        <v>04</v>
      </c>
      <c r="C458" s="241" t="str">
        <f t="shared" si="57"/>
        <v>02</v>
      </c>
      <c r="D458" s="235" t="str">
        <f t="shared" si="58"/>
        <v>04-</v>
      </c>
      <c r="E458" s="241" t="s">
        <v>1250</v>
      </c>
      <c r="F458" s="241" t="str">
        <f t="shared" si="59"/>
        <v>-020-215</v>
      </c>
      <c r="G458" s="235" t="str">
        <f t="shared" si="54"/>
        <v>04-0x-020-215</v>
      </c>
      <c r="H458" s="241" t="s">
        <v>353</v>
      </c>
      <c r="I458" s="435" t="s">
        <v>42</v>
      </c>
      <c r="J458" s="438">
        <f>VLOOKUP(H458,'Full Trial Balance'!$A$4:$G$2306,3,FALSE)</f>
        <v>584.64</v>
      </c>
      <c r="K458" s="438">
        <f>VLOOKUP(H458,'Full Trial Balance'!$A$4:$G$2306,4,FALSE)</f>
        <v>0</v>
      </c>
      <c r="L458" s="438">
        <f>VLOOKUP(H458,'Full Trial Balance'!$A$4:$G$2306,5,FALSE)</f>
        <v>182.1</v>
      </c>
      <c r="M458" s="438">
        <f>VLOOKUP(H458,'Full Trial Balance'!$A$4:$G$2306,6,FALSE)</f>
        <v>9.77</v>
      </c>
      <c r="N458" s="438">
        <f>VLOOKUP(H458,'Full Trial Balance'!$A$4:$G$2306,7,FALSE)</f>
        <v>172.33</v>
      </c>
      <c r="O458" s="485">
        <f t="shared" si="60"/>
        <v>1.7763568394002505E-14</v>
      </c>
    </row>
    <row r="459" spans="1:15" x14ac:dyDescent="0.25">
      <c r="A459" s="241" t="str">
        <f t="shared" si="55"/>
        <v>04-02</v>
      </c>
      <c r="B459" s="241" t="str">
        <f t="shared" si="56"/>
        <v>04</v>
      </c>
      <c r="C459" s="241" t="str">
        <f t="shared" si="57"/>
        <v>02</v>
      </c>
      <c r="D459" s="235" t="str">
        <f t="shared" si="58"/>
        <v>04-</v>
      </c>
      <c r="E459" s="241" t="s">
        <v>1250</v>
      </c>
      <c r="F459" s="241" t="str">
        <f t="shared" si="59"/>
        <v>-020-217</v>
      </c>
      <c r="G459" s="489" t="s">
        <v>3439</v>
      </c>
      <c r="H459" s="241" t="s">
        <v>354</v>
      </c>
      <c r="I459" s="435" t="s">
        <v>43</v>
      </c>
      <c r="J459" s="438">
        <f>VLOOKUP(H459,'Full Trial Balance'!$A$4:$G$2306,3,FALSE)</f>
        <v>17029.439999999999</v>
      </c>
      <c r="K459" s="438">
        <f>VLOOKUP(H459,'Full Trial Balance'!$A$4:$G$2306,4,FALSE)</f>
        <v>0</v>
      </c>
      <c r="L459" s="438">
        <f>VLOOKUP(H459,'Full Trial Balance'!$A$4:$G$2306,5,FALSE)</f>
        <v>8442.1299999999992</v>
      </c>
      <c r="M459" s="438">
        <f>VLOOKUP(H459,'Full Trial Balance'!$A$4:$G$2306,6,FALSE)</f>
        <v>298.98</v>
      </c>
      <c r="N459" s="438">
        <f>VLOOKUP(H459,'Full Trial Balance'!$A$4:$G$2306,7,FALSE)</f>
        <v>8143.15</v>
      </c>
      <c r="O459" s="485">
        <f t="shared" si="60"/>
        <v>4.5474735088646412E-13</v>
      </c>
    </row>
    <row r="460" spans="1:15" x14ac:dyDescent="0.25">
      <c r="A460" s="241" t="str">
        <f t="shared" si="55"/>
        <v>04-02</v>
      </c>
      <c r="B460" s="241" t="str">
        <f t="shared" si="56"/>
        <v>04</v>
      </c>
      <c r="C460" s="241" t="str">
        <f t="shared" si="57"/>
        <v>02</v>
      </c>
      <c r="D460" s="235" t="str">
        <f t="shared" si="58"/>
        <v>04-</v>
      </c>
      <c r="E460" s="241" t="s">
        <v>1250</v>
      </c>
      <c r="F460" s="241" t="str">
        <f t="shared" si="59"/>
        <v>-020-218</v>
      </c>
      <c r="G460" s="489" t="s">
        <v>3440</v>
      </c>
      <c r="H460" s="241" t="s">
        <v>355</v>
      </c>
      <c r="I460" s="435" t="s">
        <v>44</v>
      </c>
      <c r="J460" s="438">
        <f>VLOOKUP(H460,'Full Trial Balance'!$A$4:$G$2306,3,FALSE)</f>
        <v>14067.84</v>
      </c>
      <c r="K460" s="438">
        <f>VLOOKUP(H460,'Full Trial Balance'!$A$4:$G$2306,4,FALSE)</f>
        <v>0</v>
      </c>
      <c r="L460" s="438">
        <f>VLOOKUP(H460,'Full Trial Balance'!$A$4:$G$2306,5,FALSE)</f>
        <v>7007.75</v>
      </c>
      <c r="M460" s="438">
        <f>VLOOKUP(H460,'Full Trial Balance'!$A$4:$G$2306,6,FALSE)</f>
        <v>248.52</v>
      </c>
      <c r="N460" s="438">
        <f>VLOOKUP(H460,'Full Trial Balance'!$A$4:$G$2306,7,FALSE)</f>
        <v>6759.23</v>
      </c>
      <c r="O460" s="485">
        <f t="shared" si="60"/>
        <v>-4.2632564145606011E-13</v>
      </c>
    </row>
    <row r="461" spans="1:15" x14ac:dyDescent="0.25">
      <c r="A461" s="241" t="str">
        <f t="shared" si="55"/>
        <v>04-02</v>
      </c>
      <c r="B461" s="241" t="str">
        <f t="shared" si="56"/>
        <v>04</v>
      </c>
      <c r="C461" s="241" t="str">
        <f t="shared" si="57"/>
        <v>02</v>
      </c>
      <c r="D461" s="235" t="str">
        <f t="shared" si="58"/>
        <v>04-</v>
      </c>
      <c r="E461" s="241" t="s">
        <v>1250</v>
      </c>
      <c r="F461" s="241" t="str">
        <f t="shared" si="59"/>
        <v>-020-220</v>
      </c>
      <c r="G461" s="235" t="str">
        <f>CONCATENATE(D461,E461,F461)</f>
        <v>04-0x-020-220</v>
      </c>
      <c r="H461" s="241" t="s">
        <v>356</v>
      </c>
      <c r="I461" s="435" t="s">
        <v>183</v>
      </c>
      <c r="J461" s="438">
        <f>VLOOKUP(H461,'Full Trial Balance'!$A$4:$G$2306,3,FALSE)</f>
        <v>7200</v>
      </c>
      <c r="K461" s="438">
        <f>VLOOKUP(H461,'Full Trial Balance'!$A$4:$G$2306,4,FALSE)</f>
        <v>0</v>
      </c>
      <c r="L461" s="438">
        <f>VLOOKUP(H461,'Full Trial Balance'!$A$4:$G$2306,5,FALSE)</f>
        <v>0</v>
      </c>
      <c r="M461" s="438">
        <f>VLOOKUP(H461,'Full Trial Balance'!$A$4:$G$2306,6,FALSE)</f>
        <v>0</v>
      </c>
      <c r="N461" s="438">
        <f>VLOOKUP(H461,'Full Trial Balance'!$A$4:$G$2306,7,FALSE)</f>
        <v>0</v>
      </c>
      <c r="O461" s="485">
        <f t="shared" si="60"/>
        <v>0</v>
      </c>
    </row>
    <row r="462" spans="1:15" x14ac:dyDescent="0.25">
      <c r="A462" s="241" t="str">
        <f t="shared" si="55"/>
        <v>04-02</v>
      </c>
      <c r="B462" s="241" t="str">
        <f t="shared" si="56"/>
        <v>04</v>
      </c>
      <c r="C462" s="241" t="str">
        <f t="shared" si="57"/>
        <v>02</v>
      </c>
      <c r="D462" s="235" t="str">
        <f t="shared" si="58"/>
        <v>04-</v>
      </c>
      <c r="E462" s="241" t="s">
        <v>1250</v>
      </c>
      <c r="F462" s="241" t="str">
        <f t="shared" si="59"/>
        <v>-033-106</v>
      </c>
      <c r="G462" s="235" t="s">
        <v>1456</v>
      </c>
      <c r="H462" s="241" t="s">
        <v>357</v>
      </c>
      <c r="I462" s="435" t="s">
        <v>1161</v>
      </c>
      <c r="J462" s="438">
        <f>VLOOKUP(H462,'Full Trial Balance'!$A$4:$G$2306,3,FALSE)</f>
        <v>187</v>
      </c>
      <c r="K462" s="438">
        <f>VLOOKUP(H462,'Full Trial Balance'!$A$4:$G$2306,4,FALSE)</f>
        <v>0</v>
      </c>
      <c r="L462" s="438">
        <f>VLOOKUP(H462,'Full Trial Balance'!$A$4:$G$2306,5,FALSE)</f>
        <v>0</v>
      </c>
      <c r="M462" s="438">
        <f>VLOOKUP(H462,'Full Trial Balance'!$A$4:$G$2306,6,FALSE)</f>
        <v>0</v>
      </c>
      <c r="N462" s="438">
        <f>VLOOKUP(H462,'Full Trial Balance'!$A$4:$G$2306,7,FALSE)</f>
        <v>0</v>
      </c>
      <c r="O462" s="485">
        <f t="shared" si="60"/>
        <v>0</v>
      </c>
    </row>
    <row r="463" spans="1:15" x14ac:dyDescent="0.25">
      <c r="A463" s="241" t="str">
        <f t="shared" si="55"/>
        <v>04-02</v>
      </c>
      <c r="B463" s="241" t="str">
        <f t="shared" si="56"/>
        <v>04</v>
      </c>
      <c r="C463" s="241" t="str">
        <f t="shared" si="57"/>
        <v>02</v>
      </c>
      <c r="D463" s="235" t="str">
        <f t="shared" si="58"/>
        <v>04-</v>
      </c>
      <c r="E463" s="241" t="s">
        <v>1250</v>
      </c>
      <c r="F463" s="241" t="str">
        <f t="shared" si="59"/>
        <v>-035-003</v>
      </c>
      <c r="G463" s="235" t="s">
        <v>1456</v>
      </c>
      <c r="H463" s="241" t="s">
        <v>358</v>
      </c>
      <c r="I463" s="435" t="s">
        <v>48</v>
      </c>
      <c r="J463" s="438">
        <f>VLOOKUP(H463,'Full Trial Balance'!$A$4:$G$2306,3,FALSE)</f>
        <v>110</v>
      </c>
      <c r="K463" s="438">
        <f>VLOOKUP(H463,'Full Trial Balance'!$A$4:$G$2306,4,FALSE)</f>
        <v>0</v>
      </c>
      <c r="L463" s="438">
        <f>VLOOKUP(H463,'Full Trial Balance'!$A$4:$G$2306,5,FALSE)</f>
        <v>0</v>
      </c>
      <c r="M463" s="438">
        <f>VLOOKUP(H463,'Full Trial Balance'!$A$4:$G$2306,6,FALSE)</f>
        <v>0</v>
      </c>
      <c r="N463" s="438">
        <f>VLOOKUP(H463,'Full Trial Balance'!$A$4:$G$2306,7,FALSE)</f>
        <v>0</v>
      </c>
      <c r="O463" s="485">
        <f t="shared" si="60"/>
        <v>0</v>
      </c>
    </row>
    <row r="464" spans="1:15" x14ac:dyDescent="0.25">
      <c r="A464" s="241" t="str">
        <f t="shared" si="55"/>
        <v>04-02</v>
      </c>
      <c r="B464" s="241" t="str">
        <f t="shared" si="56"/>
        <v>04</v>
      </c>
      <c r="C464" s="241" t="str">
        <f t="shared" si="57"/>
        <v>02</v>
      </c>
      <c r="D464" s="235" t="str">
        <f t="shared" si="58"/>
        <v>04-</v>
      </c>
      <c r="E464" s="241" t="s">
        <v>1250</v>
      </c>
      <c r="F464" s="241" t="str">
        <f t="shared" si="59"/>
        <v>-035-005</v>
      </c>
      <c r="G464" s="235" t="s">
        <v>1461</v>
      </c>
      <c r="H464" s="241" t="s">
        <v>359</v>
      </c>
      <c r="I464" s="435" t="s">
        <v>50</v>
      </c>
      <c r="J464" s="438">
        <f>VLOOKUP(H464,'Full Trial Balance'!$A$4:$G$2306,3,FALSE)</f>
        <v>0</v>
      </c>
      <c r="K464" s="438">
        <f>VLOOKUP(H464,'Full Trial Balance'!$A$4:$G$2306,4,FALSE)</f>
        <v>0</v>
      </c>
      <c r="L464" s="438">
        <f>VLOOKUP(H464,'Full Trial Balance'!$A$4:$G$2306,5,FALSE)</f>
        <v>0</v>
      </c>
      <c r="M464" s="438">
        <f>VLOOKUP(H464,'Full Trial Balance'!$A$4:$G$2306,6,FALSE)</f>
        <v>0</v>
      </c>
      <c r="N464" s="438">
        <f>VLOOKUP(H464,'Full Trial Balance'!$A$4:$G$2306,7,FALSE)</f>
        <v>0</v>
      </c>
      <c r="O464" s="485">
        <f t="shared" si="60"/>
        <v>0</v>
      </c>
    </row>
    <row r="465" spans="1:15" x14ac:dyDescent="0.25">
      <c r="A465" s="241" t="str">
        <f t="shared" si="55"/>
        <v>04-02</v>
      </c>
      <c r="B465" s="241" t="str">
        <f t="shared" si="56"/>
        <v>04</v>
      </c>
      <c r="C465" s="241" t="str">
        <f t="shared" si="57"/>
        <v>02</v>
      </c>
      <c r="D465" s="235" t="str">
        <f t="shared" si="58"/>
        <v>04-</v>
      </c>
      <c r="E465" s="241" t="s">
        <v>1250</v>
      </c>
      <c r="F465" s="241" t="str">
        <f t="shared" si="59"/>
        <v>-038-111</v>
      </c>
      <c r="G465" s="235" t="str">
        <f>CONCATENATE(D465,E465,F465)</f>
        <v>04-0x-038-111</v>
      </c>
      <c r="H465" s="241" t="s">
        <v>1200</v>
      </c>
      <c r="I465" s="435" t="s">
        <v>52</v>
      </c>
      <c r="J465" s="438">
        <f>VLOOKUP(H465,'Full Trial Balance'!$A$4:$G$2306,3,FALSE)</f>
        <v>0</v>
      </c>
      <c r="K465" s="438">
        <f>VLOOKUP(H465,'Full Trial Balance'!$A$4:$G$2306,4,FALSE)</f>
        <v>0</v>
      </c>
      <c r="L465" s="438">
        <f>VLOOKUP(H465,'Full Trial Balance'!$A$4:$G$2306,5,FALSE)</f>
        <v>0</v>
      </c>
      <c r="M465" s="438">
        <f>VLOOKUP(H465,'Full Trial Balance'!$A$4:$G$2306,6,FALSE)</f>
        <v>0</v>
      </c>
      <c r="N465" s="438">
        <f>VLOOKUP(H465,'Full Trial Balance'!$A$4:$G$2306,7,FALSE)</f>
        <v>0</v>
      </c>
      <c r="O465" s="485">
        <f t="shared" si="60"/>
        <v>0</v>
      </c>
    </row>
    <row r="466" spans="1:15" x14ac:dyDescent="0.25">
      <c r="A466" s="241" t="str">
        <f t="shared" si="55"/>
        <v>04-02</v>
      </c>
      <c r="B466" s="241" t="str">
        <f t="shared" si="56"/>
        <v>04</v>
      </c>
      <c r="C466" s="241" t="str">
        <f t="shared" si="57"/>
        <v>02</v>
      </c>
      <c r="D466" s="235" t="str">
        <f t="shared" si="58"/>
        <v>04-</v>
      </c>
      <c r="E466" s="241" t="s">
        <v>1250</v>
      </c>
      <c r="F466" s="241" t="str">
        <f t="shared" si="59"/>
        <v>-040-019</v>
      </c>
      <c r="G466" s="235" t="s">
        <v>1395</v>
      </c>
      <c r="H466" s="241" t="s">
        <v>360</v>
      </c>
      <c r="I466" s="435" t="s">
        <v>54</v>
      </c>
      <c r="J466" s="438">
        <f>VLOOKUP(H466,'Full Trial Balance'!$A$4:$G$2306,3,FALSE)</f>
        <v>715</v>
      </c>
      <c r="K466" s="438">
        <f>VLOOKUP(H466,'Full Trial Balance'!$A$4:$G$2306,4,FALSE)</f>
        <v>0</v>
      </c>
      <c r="L466" s="438">
        <f>VLOOKUP(H466,'Full Trial Balance'!$A$4:$G$2306,5,FALSE)</f>
        <v>647.34</v>
      </c>
      <c r="M466" s="438">
        <f>VLOOKUP(H466,'Full Trial Balance'!$A$4:$G$2306,6,FALSE)</f>
        <v>0</v>
      </c>
      <c r="N466" s="438">
        <f>VLOOKUP(H466,'Full Trial Balance'!$A$4:$G$2306,7,FALSE)</f>
        <v>647.34</v>
      </c>
      <c r="O466" s="485">
        <f t="shared" si="60"/>
        <v>0</v>
      </c>
    </row>
    <row r="467" spans="1:15" x14ac:dyDescent="0.25">
      <c r="A467" s="241" t="str">
        <f t="shared" si="55"/>
        <v>04-02</v>
      </c>
      <c r="B467" s="241" t="str">
        <f t="shared" si="56"/>
        <v>04</v>
      </c>
      <c r="C467" s="241" t="str">
        <f t="shared" si="57"/>
        <v>02</v>
      </c>
      <c r="D467" s="235" t="str">
        <f t="shared" si="58"/>
        <v>04-</v>
      </c>
      <c r="E467" s="241" t="s">
        <v>1250</v>
      </c>
      <c r="F467" s="241" t="str">
        <f t="shared" si="59"/>
        <v>-040-024</v>
      </c>
      <c r="G467" s="235" t="str">
        <f>CONCATENATE(D467,E467,F467)</f>
        <v>04-0x-040-024</v>
      </c>
      <c r="H467" s="241" t="s">
        <v>361</v>
      </c>
      <c r="I467" s="435" t="s">
        <v>71</v>
      </c>
      <c r="J467" s="438">
        <f>VLOOKUP(H467,'Full Trial Balance'!$A$4:$G$2306,3,FALSE)</f>
        <v>1320</v>
      </c>
      <c r="K467" s="438">
        <f>VLOOKUP(H467,'Full Trial Balance'!$A$4:$G$2306,4,FALSE)</f>
        <v>0</v>
      </c>
      <c r="L467" s="438">
        <f>VLOOKUP(H467,'Full Trial Balance'!$A$4:$G$2306,5,FALSE)</f>
        <v>368.13</v>
      </c>
      <c r="M467" s="438">
        <f>VLOOKUP(H467,'Full Trial Balance'!$A$4:$G$2306,6,FALSE)</f>
        <v>0</v>
      </c>
      <c r="N467" s="438">
        <f>VLOOKUP(H467,'Full Trial Balance'!$A$4:$G$2306,7,FALSE)</f>
        <v>368.13</v>
      </c>
      <c r="O467" s="485">
        <f t="shared" si="60"/>
        <v>0</v>
      </c>
    </row>
    <row r="468" spans="1:15" x14ac:dyDescent="0.25">
      <c r="A468" s="241" t="str">
        <f t="shared" si="55"/>
        <v>04-02</v>
      </c>
      <c r="B468" s="241" t="str">
        <f t="shared" si="56"/>
        <v>04</v>
      </c>
      <c r="C468" s="241" t="str">
        <f t="shared" si="57"/>
        <v>02</v>
      </c>
      <c r="D468" s="235" t="str">
        <f t="shared" si="58"/>
        <v>04-</v>
      </c>
      <c r="E468" s="241" t="s">
        <v>1250</v>
      </c>
      <c r="F468" s="241" t="str">
        <f t="shared" si="59"/>
        <v>-050-120</v>
      </c>
      <c r="G468" s="235" t="s">
        <v>1258</v>
      </c>
      <c r="H468" s="241" t="s">
        <v>362</v>
      </c>
      <c r="I468" s="435" t="s">
        <v>80</v>
      </c>
      <c r="J468" s="438">
        <f>VLOOKUP(H468,'Full Trial Balance'!$A$4:$G$2306,3,FALSE)</f>
        <v>550</v>
      </c>
      <c r="K468" s="438">
        <f>VLOOKUP(H468,'Full Trial Balance'!$A$4:$G$2306,4,FALSE)</f>
        <v>0</v>
      </c>
      <c r="L468" s="438">
        <f>VLOOKUP(H468,'Full Trial Balance'!$A$4:$G$2306,5,FALSE)</f>
        <v>361.5</v>
      </c>
      <c r="M468" s="438">
        <f>VLOOKUP(H468,'Full Trial Balance'!$A$4:$G$2306,6,FALSE)</f>
        <v>0</v>
      </c>
      <c r="N468" s="438">
        <f>VLOOKUP(H468,'Full Trial Balance'!$A$4:$G$2306,7,FALSE)</f>
        <v>361.5</v>
      </c>
      <c r="O468" s="485">
        <f t="shared" si="60"/>
        <v>0</v>
      </c>
    </row>
    <row r="469" spans="1:15" x14ac:dyDescent="0.25">
      <c r="A469" s="241" t="str">
        <f t="shared" si="55"/>
        <v>04-02</v>
      </c>
      <c r="B469" s="241" t="str">
        <f t="shared" si="56"/>
        <v>04</v>
      </c>
      <c r="C469" s="241" t="str">
        <f t="shared" si="57"/>
        <v>02</v>
      </c>
      <c r="D469" s="235" t="str">
        <f t="shared" si="58"/>
        <v>04-</v>
      </c>
      <c r="E469" s="241" t="s">
        <v>1250</v>
      </c>
      <c r="F469" s="241" t="str">
        <f t="shared" si="59"/>
        <v>-050-121</v>
      </c>
      <c r="G469" s="235" t="s">
        <v>1258</v>
      </c>
      <c r="H469" s="241" t="s">
        <v>363</v>
      </c>
      <c r="I469" s="435" t="s">
        <v>1163</v>
      </c>
      <c r="J469" s="438">
        <f>VLOOKUP(H469,'Full Trial Balance'!$A$4:$G$2306,3,FALSE)</f>
        <v>18150</v>
      </c>
      <c r="K469" s="438">
        <f>VLOOKUP(H469,'Full Trial Balance'!$A$4:$G$2306,4,FALSE)</f>
        <v>0</v>
      </c>
      <c r="L469" s="438">
        <f>VLOOKUP(H469,'Full Trial Balance'!$A$4:$G$2306,5,FALSE)</f>
        <v>4490.08</v>
      </c>
      <c r="M469" s="438">
        <f>VLOOKUP(H469,'Full Trial Balance'!$A$4:$G$2306,6,FALSE)</f>
        <v>5.95</v>
      </c>
      <c r="N469" s="438">
        <f>VLOOKUP(H469,'Full Trial Balance'!$A$4:$G$2306,7,FALSE)</f>
        <v>4484.13</v>
      </c>
      <c r="O469" s="485">
        <f t="shared" si="60"/>
        <v>1.8207657603852567E-13</v>
      </c>
    </row>
    <row r="470" spans="1:15" x14ac:dyDescent="0.25">
      <c r="A470" s="241" t="str">
        <f t="shared" si="55"/>
        <v>04-02</v>
      </c>
      <c r="B470" s="241" t="str">
        <f t="shared" si="56"/>
        <v>04</v>
      </c>
      <c r="C470" s="241" t="str">
        <f t="shared" si="57"/>
        <v>02</v>
      </c>
      <c r="D470" s="235" t="str">
        <f t="shared" si="58"/>
        <v>04-</v>
      </c>
      <c r="E470" s="241" t="s">
        <v>1250</v>
      </c>
      <c r="F470" s="241" t="str">
        <f t="shared" si="59"/>
        <v>-050-122</v>
      </c>
      <c r="G470" s="235" t="s">
        <v>1257</v>
      </c>
      <c r="H470" s="241" t="s">
        <v>364</v>
      </c>
      <c r="I470" s="435" t="s">
        <v>81</v>
      </c>
      <c r="J470" s="438">
        <f>VLOOKUP(H470,'Full Trial Balance'!$A$4:$G$2306,3,FALSE)</f>
        <v>16.5</v>
      </c>
      <c r="K470" s="438">
        <f>VLOOKUP(H470,'Full Trial Balance'!$A$4:$G$2306,4,FALSE)</f>
        <v>0</v>
      </c>
      <c r="L470" s="438">
        <f>VLOOKUP(H470,'Full Trial Balance'!$A$4:$G$2306,5,FALSE)</f>
        <v>0</v>
      </c>
      <c r="M470" s="438">
        <f>VLOOKUP(H470,'Full Trial Balance'!$A$4:$G$2306,6,FALSE)</f>
        <v>0</v>
      </c>
      <c r="N470" s="438">
        <f>VLOOKUP(H470,'Full Trial Balance'!$A$4:$G$2306,7,FALSE)</f>
        <v>0</v>
      </c>
      <c r="O470" s="485">
        <f t="shared" si="60"/>
        <v>0</v>
      </c>
    </row>
    <row r="471" spans="1:15" x14ac:dyDescent="0.25">
      <c r="A471" s="241" t="str">
        <f t="shared" si="55"/>
        <v>04-02</v>
      </c>
      <c r="B471" s="241" t="str">
        <f t="shared" si="56"/>
        <v>04</v>
      </c>
      <c r="C471" s="241" t="str">
        <f t="shared" si="57"/>
        <v>02</v>
      </c>
      <c r="D471" s="235" t="str">
        <f t="shared" si="58"/>
        <v>04-</v>
      </c>
      <c r="E471" s="241" t="s">
        <v>1250</v>
      </c>
      <c r="F471" s="241" t="str">
        <f t="shared" si="59"/>
        <v>-050-124</v>
      </c>
      <c r="G471" s="235" t="s">
        <v>1258</v>
      </c>
      <c r="H471" s="241" t="s">
        <v>365</v>
      </c>
      <c r="I471" s="435" t="s">
        <v>82</v>
      </c>
      <c r="J471" s="438">
        <f>VLOOKUP(H471,'Full Trial Balance'!$A$4:$G$2306,3,FALSE)</f>
        <v>1815</v>
      </c>
      <c r="K471" s="438">
        <f>VLOOKUP(H471,'Full Trial Balance'!$A$4:$G$2306,4,FALSE)</f>
        <v>0</v>
      </c>
      <c r="L471" s="438">
        <f>VLOOKUP(H471,'Full Trial Balance'!$A$4:$G$2306,5,FALSE)</f>
        <v>627.16999999999996</v>
      </c>
      <c r="M471" s="438">
        <f>VLOOKUP(H471,'Full Trial Balance'!$A$4:$G$2306,6,FALSE)</f>
        <v>0</v>
      </c>
      <c r="N471" s="438">
        <f>VLOOKUP(H471,'Full Trial Balance'!$A$4:$G$2306,7,FALSE)</f>
        <v>627.16999999999996</v>
      </c>
      <c r="O471" s="485">
        <f t="shared" si="60"/>
        <v>0</v>
      </c>
    </row>
    <row r="472" spans="1:15" x14ac:dyDescent="0.25">
      <c r="A472" s="241" t="str">
        <f t="shared" si="55"/>
        <v>04-02</v>
      </c>
      <c r="B472" s="241" t="str">
        <f t="shared" si="56"/>
        <v>04</v>
      </c>
      <c r="C472" s="241" t="str">
        <f t="shared" si="57"/>
        <v>02</v>
      </c>
      <c r="D472" s="235" t="str">
        <f t="shared" si="58"/>
        <v>04-</v>
      </c>
      <c r="E472" s="241" t="s">
        <v>1250</v>
      </c>
      <c r="F472" s="241" t="str">
        <f t="shared" si="59"/>
        <v>-050-125</v>
      </c>
      <c r="G472" s="235" t="s">
        <v>1258</v>
      </c>
      <c r="H472" s="241" t="s">
        <v>366</v>
      </c>
      <c r="I472" s="435" t="s">
        <v>221</v>
      </c>
      <c r="J472" s="438">
        <f>VLOOKUP(H472,'Full Trial Balance'!$A$4:$G$2306,3,FALSE)</f>
        <v>0</v>
      </c>
      <c r="K472" s="438">
        <f>VLOOKUP(H472,'Full Trial Balance'!$A$4:$G$2306,4,FALSE)</f>
        <v>0</v>
      </c>
      <c r="L472" s="438">
        <f>VLOOKUP(H472,'Full Trial Balance'!$A$4:$G$2306,5,FALSE)</f>
        <v>0</v>
      </c>
      <c r="M472" s="438">
        <f>VLOOKUP(H472,'Full Trial Balance'!$A$4:$G$2306,6,FALSE)</f>
        <v>0</v>
      </c>
      <c r="N472" s="438">
        <f>VLOOKUP(H472,'Full Trial Balance'!$A$4:$G$2306,7,FALSE)</f>
        <v>0</v>
      </c>
      <c r="O472" s="485">
        <f t="shared" si="60"/>
        <v>0</v>
      </c>
    </row>
    <row r="473" spans="1:15" x14ac:dyDescent="0.25">
      <c r="A473" s="430" t="str">
        <f t="shared" si="55"/>
        <v>04-02</v>
      </c>
      <c r="B473" s="430" t="str">
        <f t="shared" si="56"/>
        <v>04</v>
      </c>
      <c r="C473" s="430" t="str">
        <f t="shared" si="57"/>
        <v>02</v>
      </c>
      <c r="D473" s="429" t="str">
        <f t="shared" si="58"/>
        <v>04-</v>
      </c>
      <c r="E473" s="430" t="s">
        <v>1250</v>
      </c>
      <c r="F473" s="430" t="str">
        <f t="shared" si="59"/>
        <v>-050-127</v>
      </c>
      <c r="G473" s="429" t="s">
        <v>1445</v>
      </c>
      <c r="H473" s="241" t="s">
        <v>935</v>
      </c>
      <c r="I473" s="435" t="s">
        <v>83</v>
      </c>
      <c r="J473" s="438">
        <f>VLOOKUP(H473,'Full Trial Balance'!$A$4:$G$2306,3,FALSE)</f>
        <v>385</v>
      </c>
      <c r="K473" s="438">
        <f>VLOOKUP(H473,'Full Trial Balance'!$A$4:$G$2306,4,FALSE)</f>
        <v>0</v>
      </c>
      <c r="L473" s="438">
        <f>VLOOKUP(H473,'Full Trial Balance'!$A$4:$G$2306,5,FALSE)</f>
        <v>42.81</v>
      </c>
      <c r="M473" s="438">
        <f>VLOOKUP(H473,'Full Trial Balance'!$A$4:$G$2306,6,FALSE)</f>
        <v>0</v>
      </c>
      <c r="N473" s="438">
        <f>VLOOKUP(H473,'Full Trial Balance'!$A$4:$G$2306,7,FALSE)</f>
        <v>42.81</v>
      </c>
      <c r="O473" s="485">
        <f t="shared" si="60"/>
        <v>0</v>
      </c>
    </row>
    <row r="474" spans="1:15" x14ac:dyDescent="0.25">
      <c r="A474" s="241" t="str">
        <f t="shared" si="55"/>
        <v>04-02</v>
      </c>
      <c r="B474" s="241" t="str">
        <f t="shared" si="56"/>
        <v>04</v>
      </c>
      <c r="C474" s="241" t="str">
        <f t="shared" si="57"/>
        <v>02</v>
      </c>
      <c r="D474" s="235" t="str">
        <f t="shared" si="58"/>
        <v>04-</v>
      </c>
      <c r="E474" s="241" t="s">
        <v>1250</v>
      </c>
      <c r="F474" s="241" t="str">
        <f t="shared" si="59"/>
        <v>-050-133</v>
      </c>
      <c r="G474" s="235" t="s">
        <v>1258</v>
      </c>
      <c r="H474" s="241" t="s">
        <v>959</v>
      </c>
      <c r="I474" s="435" t="s">
        <v>1086</v>
      </c>
      <c r="J474" s="438">
        <f>VLOOKUP(H474,'Full Trial Balance'!$A$4:$G$2306,3,FALSE)</f>
        <v>4400</v>
      </c>
      <c r="K474" s="438">
        <f>VLOOKUP(H474,'Full Trial Balance'!$A$4:$G$2306,4,FALSE)</f>
        <v>0</v>
      </c>
      <c r="L474" s="438">
        <f>VLOOKUP(H474,'Full Trial Balance'!$A$4:$G$2306,5,FALSE)</f>
        <v>417.74</v>
      </c>
      <c r="M474" s="438">
        <f>VLOOKUP(H474,'Full Trial Balance'!$A$4:$G$2306,6,FALSE)</f>
        <v>0</v>
      </c>
      <c r="N474" s="438">
        <f>VLOOKUP(H474,'Full Trial Balance'!$A$4:$G$2306,7,FALSE)</f>
        <v>417.74</v>
      </c>
      <c r="O474" s="485">
        <f t="shared" si="60"/>
        <v>0</v>
      </c>
    </row>
    <row r="475" spans="1:15" x14ac:dyDescent="0.25">
      <c r="A475" s="241" t="str">
        <f t="shared" si="55"/>
        <v>04-02</v>
      </c>
      <c r="B475" s="241" t="str">
        <f t="shared" si="56"/>
        <v>04</v>
      </c>
      <c r="C475" s="241" t="str">
        <f t="shared" si="57"/>
        <v>02</v>
      </c>
      <c r="D475" s="235" t="str">
        <f t="shared" si="58"/>
        <v>04-</v>
      </c>
      <c r="E475" s="241" t="s">
        <v>1250</v>
      </c>
      <c r="F475" s="241" t="str">
        <f t="shared" si="59"/>
        <v>-050-135</v>
      </c>
      <c r="G475" s="235" t="s">
        <v>1258</v>
      </c>
      <c r="H475" s="241" t="s">
        <v>367</v>
      </c>
      <c r="I475" s="435" t="s">
        <v>85</v>
      </c>
      <c r="J475" s="438">
        <f>VLOOKUP(H475,'Full Trial Balance'!$A$4:$G$2306,3,FALSE)</f>
        <v>4400</v>
      </c>
      <c r="K475" s="438">
        <f>VLOOKUP(H475,'Full Trial Balance'!$A$4:$G$2306,4,FALSE)</f>
        <v>0</v>
      </c>
      <c r="L475" s="438">
        <f>VLOOKUP(H475,'Full Trial Balance'!$A$4:$G$2306,5,FALSE)</f>
        <v>4919.6099999999997</v>
      </c>
      <c r="M475" s="438">
        <f>VLOOKUP(H475,'Full Trial Balance'!$A$4:$G$2306,6,FALSE)</f>
        <v>0</v>
      </c>
      <c r="N475" s="438">
        <f>VLOOKUP(H475,'Full Trial Balance'!$A$4:$G$2306,7,FALSE)</f>
        <v>4919.6099999999997</v>
      </c>
      <c r="O475" s="485">
        <f t="shared" si="60"/>
        <v>0</v>
      </c>
    </row>
    <row r="476" spans="1:15" x14ac:dyDescent="0.25">
      <c r="A476" s="241" t="str">
        <f t="shared" si="55"/>
        <v>04-02</v>
      </c>
      <c r="B476" s="241" t="str">
        <f t="shared" si="56"/>
        <v>04</v>
      </c>
      <c r="C476" s="241" t="str">
        <f t="shared" si="57"/>
        <v>02</v>
      </c>
      <c r="D476" s="235" t="str">
        <f t="shared" si="58"/>
        <v>04-</v>
      </c>
      <c r="E476" s="241" t="s">
        <v>1250</v>
      </c>
      <c r="F476" s="241" t="str">
        <f t="shared" si="59"/>
        <v>-059-000</v>
      </c>
      <c r="G476" s="235" t="s">
        <v>1258</v>
      </c>
      <c r="H476" s="241" t="s">
        <v>368</v>
      </c>
      <c r="I476" s="435" t="s">
        <v>1170</v>
      </c>
      <c r="J476" s="438">
        <f>VLOOKUP(H476,'Full Trial Balance'!$A$4:$G$2306,3,FALSE)</f>
        <v>4400</v>
      </c>
      <c r="K476" s="438">
        <f>VLOOKUP(H476,'Full Trial Balance'!$A$4:$G$2306,4,FALSE)</f>
        <v>0</v>
      </c>
      <c r="L476" s="438">
        <f>VLOOKUP(H476,'Full Trial Balance'!$A$4:$G$2306,5,FALSE)</f>
        <v>1177.6099999999999</v>
      </c>
      <c r="M476" s="438">
        <f>VLOOKUP(H476,'Full Trial Balance'!$A$4:$G$2306,6,FALSE)</f>
        <v>0</v>
      </c>
      <c r="N476" s="438">
        <f>VLOOKUP(H476,'Full Trial Balance'!$A$4:$G$2306,7,FALSE)</f>
        <v>1177.6099999999999</v>
      </c>
      <c r="O476" s="485">
        <f t="shared" si="60"/>
        <v>0</v>
      </c>
    </row>
    <row r="477" spans="1:15" x14ac:dyDescent="0.25">
      <c r="A477" s="241" t="str">
        <f t="shared" si="55"/>
        <v>04-02</v>
      </c>
      <c r="B477" s="241" t="str">
        <f t="shared" si="56"/>
        <v>04</v>
      </c>
      <c r="C477" s="241" t="str">
        <f t="shared" si="57"/>
        <v>02</v>
      </c>
      <c r="D477" s="235" t="str">
        <f t="shared" si="58"/>
        <v>04-</v>
      </c>
      <c r="E477" s="241" t="s">
        <v>1250</v>
      </c>
      <c r="F477" s="241" t="str">
        <f t="shared" si="59"/>
        <v>-068-000</v>
      </c>
      <c r="G477" s="235" t="s">
        <v>1258</v>
      </c>
      <c r="H477" s="241" t="s">
        <v>369</v>
      </c>
      <c r="I477" s="435" t="s">
        <v>55</v>
      </c>
      <c r="J477" s="438">
        <f>VLOOKUP(H477,'Full Trial Balance'!$A$4:$G$2306,3,FALSE)</f>
        <v>6600</v>
      </c>
      <c r="K477" s="438">
        <f>VLOOKUP(H477,'Full Trial Balance'!$A$4:$G$2306,4,FALSE)</f>
        <v>0</v>
      </c>
      <c r="L477" s="438">
        <f>VLOOKUP(H477,'Full Trial Balance'!$A$4:$G$2306,5,FALSE)</f>
        <v>5037.6099999999997</v>
      </c>
      <c r="M477" s="438">
        <f>VLOOKUP(H477,'Full Trial Balance'!$A$4:$G$2306,6,FALSE)</f>
        <v>91.08</v>
      </c>
      <c r="N477" s="438">
        <f>VLOOKUP(H477,'Full Trial Balance'!$A$4:$G$2306,7,FALSE)</f>
        <v>4946.53</v>
      </c>
      <c r="O477" s="485">
        <f t="shared" si="60"/>
        <v>0</v>
      </c>
    </row>
    <row r="478" spans="1:15" x14ac:dyDescent="0.25">
      <c r="A478" s="241" t="str">
        <f t="shared" si="55"/>
        <v>04-02</v>
      </c>
      <c r="B478" s="241" t="str">
        <f t="shared" si="56"/>
        <v>04</v>
      </c>
      <c r="C478" s="241" t="str">
        <f t="shared" si="57"/>
        <v>02</v>
      </c>
      <c r="D478" s="235" t="str">
        <f t="shared" si="58"/>
        <v>04-</v>
      </c>
      <c r="E478" s="241" t="s">
        <v>1250</v>
      </c>
      <c r="F478" s="241" t="str">
        <f t="shared" si="59"/>
        <v>-071-000</v>
      </c>
      <c r="G478" s="235" t="s">
        <v>1258</v>
      </c>
      <c r="H478" s="241" t="s">
        <v>370</v>
      </c>
      <c r="I478" s="435" t="s">
        <v>104</v>
      </c>
      <c r="J478" s="438">
        <f>VLOOKUP(H478,'Full Trial Balance'!$A$4:$G$2306,3,FALSE)</f>
        <v>8250</v>
      </c>
      <c r="K478" s="438">
        <f>VLOOKUP(H478,'Full Trial Balance'!$A$4:$G$2306,4,FALSE)</f>
        <v>0</v>
      </c>
      <c r="L478" s="438">
        <f>VLOOKUP(H478,'Full Trial Balance'!$A$4:$G$2306,5,FALSE)</f>
        <v>0</v>
      </c>
      <c r="M478" s="438">
        <f>VLOOKUP(H478,'Full Trial Balance'!$A$4:$G$2306,6,FALSE)</f>
        <v>0</v>
      </c>
      <c r="N478" s="438">
        <f>VLOOKUP(H478,'Full Trial Balance'!$A$4:$G$2306,7,FALSE)</f>
        <v>0</v>
      </c>
      <c r="O478" s="485">
        <f t="shared" si="60"/>
        <v>0</v>
      </c>
    </row>
    <row r="479" spans="1:15" x14ac:dyDescent="0.25">
      <c r="A479" s="241" t="str">
        <f t="shared" si="55"/>
        <v>04-02</v>
      </c>
      <c r="B479" s="241" t="str">
        <f t="shared" si="56"/>
        <v>04</v>
      </c>
      <c r="C479" s="241" t="str">
        <f t="shared" si="57"/>
        <v>02</v>
      </c>
      <c r="D479" s="235" t="str">
        <f t="shared" si="58"/>
        <v>04-</v>
      </c>
      <c r="E479" s="241" t="s">
        <v>1250</v>
      </c>
      <c r="F479" s="241" t="str">
        <f t="shared" si="59"/>
        <v>-100-121</v>
      </c>
      <c r="G479" s="235" t="s">
        <v>1258</v>
      </c>
      <c r="H479" s="241" t="s">
        <v>371</v>
      </c>
      <c r="I479" s="435" t="s">
        <v>121</v>
      </c>
      <c r="J479" s="438">
        <f>VLOOKUP(H479,'Full Trial Balance'!$A$4:$G$2306,3,FALSE)</f>
        <v>5500</v>
      </c>
      <c r="K479" s="438">
        <f>VLOOKUP(H479,'Full Trial Balance'!$A$4:$G$2306,4,FALSE)</f>
        <v>0</v>
      </c>
      <c r="L479" s="438">
        <f>VLOOKUP(H479,'Full Trial Balance'!$A$4:$G$2306,5,FALSE)</f>
        <v>324</v>
      </c>
      <c r="M479" s="438">
        <f>VLOOKUP(H479,'Full Trial Balance'!$A$4:$G$2306,6,FALSE)</f>
        <v>2</v>
      </c>
      <c r="N479" s="438">
        <f>VLOOKUP(H479,'Full Trial Balance'!$A$4:$G$2306,7,FALSE)</f>
        <v>322</v>
      </c>
      <c r="O479" s="485">
        <f t="shared" si="60"/>
        <v>0</v>
      </c>
    </row>
    <row r="480" spans="1:15" x14ac:dyDescent="0.25">
      <c r="A480" s="241" t="str">
        <f t="shared" si="55"/>
        <v>04-02</v>
      </c>
      <c r="B480" s="241" t="str">
        <f t="shared" si="56"/>
        <v>04</v>
      </c>
      <c r="C480" s="241" t="str">
        <f t="shared" si="57"/>
        <v>02</v>
      </c>
      <c r="D480" s="235" t="str">
        <f t="shared" si="58"/>
        <v>04-</v>
      </c>
      <c r="E480" s="241" t="s">
        <v>1250</v>
      </c>
      <c r="F480" s="241" t="str">
        <f t="shared" si="59"/>
        <v>-100-122</v>
      </c>
      <c r="G480" s="235" t="s">
        <v>1257</v>
      </c>
      <c r="H480" s="241" t="s">
        <v>372</v>
      </c>
      <c r="I480" s="435" t="s">
        <v>122</v>
      </c>
      <c r="J480" s="438">
        <f>VLOOKUP(H480,'Full Trial Balance'!$A$4:$G$2306,3,FALSE)</f>
        <v>2500</v>
      </c>
      <c r="K480" s="438">
        <f>VLOOKUP(H480,'Full Trial Balance'!$A$4:$G$2306,4,FALSE)</f>
        <v>0</v>
      </c>
      <c r="L480" s="438">
        <f>VLOOKUP(H480,'Full Trial Balance'!$A$4:$G$2306,5,FALSE)</f>
        <v>671.46</v>
      </c>
      <c r="M480" s="438">
        <f>VLOOKUP(H480,'Full Trial Balance'!$A$4:$G$2306,6,FALSE)</f>
        <v>0</v>
      </c>
      <c r="N480" s="438">
        <f>VLOOKUP(H480,'Full Trial Balance'!$A$4:$G$2306,7,FALSE)</f>
        <v>671.46</v>
      </c>
      <c r="O480" s="485">
        <f t="shared" si="60"/>
        <v>0</v>
      </c>
    </row>
    <row r="481" spans="1:15" x14ac:dyDescent="0.25">
      <c r="A481" s="241" t="str">
        <f t="shared" si="55"/>
        <v>04-02</v>
      </c>
      <c r="B481" s="241" t="str">
        <f t="shared" si="56"/>
        <v>04</v>
      </c>
      <c r="C481" s="241" t="str">
        <f t="shared" si="57"/>
        <v>02</v>
      </c>
      <c r="D481" s="235" t="str">
        <f t="shared" si="58"/>
        <v>04-</v>
      </c>
      <c r="E481" s="241" t="s">
        <v>1250</v>
      </c>
      <c r="F481" s="241" t="str">
        <f t="shared" si="59"/>
        <v>-101-121</v>
      </c>
      <c r="G481" s="235" t="s">
        <v>1258</v>
      </c>
      <c r="H481" s="241" t="s">
        <v>373</v>
      </c>
      <c r="I481" s="435" t="s">
        <v>123</v>
      </c>
      <c r="J481" s="438">
        <f>VLOOKUP(H481,'Full Trial Balance'!$A$4:$G$2306,3,FALSE)</f>
        <v>1500</v>
      </c>
      <c r="K481" s="438">
        <f>VLOOKUP(H481,'Full Trial Balance'!$A$4:$G$2306,4,FALSE)</f>
        <v>0</v>
      </c>
      <c r="L481" s="438">
        <f>VLOOKUP(H481,'Full Trial Balance'!$A$4:$G$2306,5,FALSE)</f>
        <v>0</v>
      </c>
      <c r="M481" s="438">
        <f>VLOOKUP(H481,'Full Trial Balance'!$A$4:$G$2306,6,FALSE)</f>
        <v>0</v>
      </c>
      <c r="N481" s="438">
        <f>VLOOKUP(H481,'Full Trial Balance'!$A$4:$G$2306,7,FALSE)</f>
        <v>0</v>
      </c>
      <c r="O481" s="485">
        <f t="shared" si="60"/>
        <v>0</v>
      </c>
    </row>
    <row r="482" spans="1:15" x14ac:dyDescent="0.25">
      <c r="A482" s="241" t="str">
        <f t="shared" si="55"/>
        <v>04-02</v>
      </c>
      <c r="B482" s="241" t="str">
        <f t="shared" si="56"/>
        <v>04</v>
      </c>
      <c r="C482" s="241" t="str">
        <f t="shared" si="57"/>
        <v>02</v>
      </c>
      <c r="D482" s="235" t="str">
        <f t="shared" si="58"/>
        <v>04-</v>
      </c>
      <c r="E482" s="241" t="s">
        <v>1250</v>
      </c>
      <c r="F482" s="241" t="str">
        <f t="shared" si="59"/>
        <v>-101-122</v>
      </c>
      <c r="G482" s="235" t="s">
        <v>1257</v>
      </c>
      <c r="H482" s="241" t="s">
        <v>374</v>
      </c>
      <c r="I482" s="435" t="s">
        <v>124</v>
      </c>
      <c r="J482" s="438">
        <f>VLOOKUP(H482,'Full Trial Balance'!$A$4:$G$2306,3,FALSE)</f>
        <v>450</v>
      </c>
      <c r="K482" s="438">
        <f>VLOOKUP(H482,'Full Trial Balance'!$A$4:$G$2306,4,FALSE)</f>
        <v>0</v>
      </c>
      <c r="L482" s="438">
        <f>VLOOKUP(H482,'Full Trial Balance'!$A$4:$G$2306,5,FALSE)</f>
        <v>132.85</v>
      </c>
      <c r="M482" s="438">
        <f>VLOOKUP(H482,'Full Trial Balance'!$A$4:$G$2306,6,FALSE)</f>
        <v>0</v>
      </c>
      <c r="N482" s="438">
        <f>VLOOKUP(H482,'Full Trial Balance'!$A$4:$G$2306,7,FALSE)</f>
        <v>132.85</v>
      </c>
      <c r="O482" s="485">
        <f t="shared" si="60"/>
        <v>0</v>
      </c>
    </row>
    <row r="483" spans="1:15" x14ac:dyDescent="0.25">
      <c r="A483" s="241" t="str">
        <f t="shared" si="55"/>
        <v>04-02</v>
      </c>
      <c r="B483" s="241" t="str">
        <f t="shared" si="56"/>
        <v>04</v>
      </c>
      <c r="C483" s="241" t="str">
        <f t="shared" si="57"/>
        <v>02</v>
      </c>
      <c r="D483" s="235" t="str">
        <f t="shared" si="58"/>
        <v>04-</v>
      </c>
      <c r="E483" s="241" t="s">
        <v>1250</v>
      </c>
      <c r="F483" s="241" t="str">
        <f t="shared" si="59"/>
        <v>-102-121</v>
      </c>
      <c r="G483" s="235" t="s">
        <v>1258</v>
      </c>
      <c r="H483" s="241" t="s">
        <v>375</v>
      </c>
      <c r="I483" s="435" t="s">
        <v>125</v>
      </c>
      <c r="J483" s="438">
        <f>VLOOKUP(H483,'Full Trial Balance'!$A$4:$G$2306,3,FALSE)</f>
        <v>7500</v>
      </c>
      <c r="K483" s="438">
        <f>VLOOKUP(H483,'Full Trial Balance'!$A$4:$G$2306,4,FALSE)</f>
        <v>0</v>
      </c>
      <c r="L483" s="438">
        <f>VLOOKUP(H483,'Full Trial Balance'!$A$4:$G$2306,5,FALSE)</f>
        <v>320</v>
      </c>
      <c r="M483" s="438">
        <f>VLOOKUP(H483,'Full Trial Balance'!$A$4:$G$2306,6,FALSE)</f>
        <v>0</v>
      </c>
      <c r="N483" s="438">
        <f>VLOOKUP(H483,'Full Trial Balance'!$A$4:$G$2306,7,FALSE)</f>
        <v>320</v>
      </c>
      <c r="O483" s="485">
        <f t="shared" si="60"/>
        <v>0</v>
      </c>
    </row>
    <row r="484" spans="1:15" x14ac:dyDescent="0.25">
      <c r="A484" s="241" t="str">
        <f t="shared" si="55"/>
        <v>04-02</v>
      </c>
      <c r="B484" s="241" t="str">
        <f t="shared" si="56"/>
        <v>04</v>
      </c>
      <c r="C484" s="241" t="str">
        <f t="shared" si="57"/>
        <v>02</v>
      </c>
      <c r="D484" s="235" t="str">
        <f t="shared" si="58"/>
        <v>04-</v>
      </c>
      <c r="E484" s="241" t="s">
        <v>1250</v>
      </c>
      <c r="F484" s="241" t="str">
        <f t="shared" si="59"/>
        <v>-102-122</v>
      </c>
      <c r="G484" s="256" t="s">
        <v>1257</v>
      </c>
      <c r="H484" s="241" t="s">
        <v>376</v>
      </c>
      <c r="I484" s="435" t="s">
        <v>126</v>
      </c>
      <c r="J484" s="438">
        <f>VLOOKUP(H484,'Full Trial Balance'!$A$4:$G$2306,3,FALSE)</f>
        <v>2750</v>
      </c>
      <c r="K484" s="438">
        <f>VLOOKUP(H484,'Full Trial Balance'!$A$4:$G$2306,4,FALSE)</f>
        <v>0</v>
      </c>
      <c r="L484" s="438">
        <f>VLOOKUP(H484,'Full Trial Balance'!$A$4:$G$2306,5,FALSE)</f>
        <v>1179.8699999999999</v>
      </c>
      <c r="M484" s="438">
        <f>VLOOKUP(H484,'Full Trial Balance'!$A$4:$G$2306,6,FALSE)</f>
        <v>0</v>
      </c>
      <c r="N484" s="438">
        <f>VLOOKUP(H484,'Full Trial Balance'!$A$4:$G$2306,7,FALSE)</f>
        <v>1179.8699999999999</v>
      </c>
      <c r="O484" s="485">
        <f t="shared" si="60"/>
        <v>0</v>
      </c>
    </row>
    <row r="485" spans="1:15" x14ac:dyDescent="0.25">
      <c r="A485" s="241" t="str">
        <f t="shared" si="55"/>
        <v>04-02</v>
      </c>
      <c r="B485" s="241" t="str">
        <f t="shared" si="56"/>
        <v>04</v>
      </c>
      <c r="C485" s="241" t="str">
        <f t="shared" si="57"/>
        <v>02</v>
      </c>
      <c r="D485" s="235" t="str">
        <f t="shared" si="58"/>
        <v>04-</v>
      </c>
      <c r="E485" s="241" t="s">
        <v>1250</v>
      </c>
      <c r="F485" s="241" t="str">
        <f t="shared" si="59"/>
        <v>-103-121</v>
      </c>
      <c r="G485" s="256" t="s">
        <v>1258</v>
      </c>
      <c r="H485" s="241" t="s">
        <v>938</v>
      </c>
      <c r="I485" s="435" t="s">
        <v>939</v>
      </c>
      <c r="J485" s="438">
        <f>VLOOKUP(H485,'Full Trial Balance'!$A$4:$G$2306,3,FALSE)</f>
        <v>0</v>
      </c>
      <c r="K485" s="438">
        <f>VLOOKUP(H485,'Full Trial Balance'!$A$4:$G$2306,4,FALSE)</f>
        <v>0</v>
      </c>
      <c r="L485" s="438">
        <f>VLOOKUP(H485,'Full Trial Balance'!$A$4:$G$2306,5,FALSE)</f>
        <v>0</v>
      </c>
      <c r="M485" s="438">
        <f>VLOOKUP(H485,'Full Trial Balance'!$A$4:$G$2306,6,FALSE)</f>
        <v>0</v>
      </c>
      <c r="N485" s="438">
        <f>VLOOKUP(H485,'Full Trial Balance'!$A$4:$G$2306,7,FALSE)</f>
        <v>0</v>
      </c>
      <c r="O485" s="485">
        <f t="shared" si="60"/>
        <v>0</v>
      </c>
    </row>
    <row r="486" spans="1:15" x14ac:dyDescent="0.25">
      <c r="A486" s="241" t="str">
        <f t="shared" si="55"/>
        <v>04-02</v>
      </c>
      <c r="B486" s="241" t="str">
        <f t="shared" si="56"/>
        <v>04</v>
      </c>
      <c r="C486" s="241" t="str">
        <f t="shared" si="57"/>
        <v>02</v>
      </c>
      <c r="D486" s="235" t="str">
        <f t="shared" si="58"/>
        <v>04-</v>
      </c>
      <c r="E486" s="241" t="s">
        <v>1250</v>
      </c>
      <c r="F486" s="241" t="str">
        <f t="shared" si="59"/>
        <v>-103-122</v>
      </c>
      <c r="G486" s="256" t="s">
        <v>1257</v>
      </c>
      <c r="H486" s="241" t="s">
        <v>1201</v>
      </c>
      <c r="I486" s="435" t="s">
        <v>1202</v>
      </c>
      <c r="J486" s="438">
        <f>VLOOKUP(H486,'Full Trial Balance'!$A$4:$G$2306,3,FALSE)</f>
        <v>0</v>
      </c>
      <c r="K486" s="438">
        <f>VLOOKUP(H486,'Full Trial Balance'!$A$4:$G$2306,4,FALSE)</f>
        <v>0</v>
      </c>
      <c r="L486" s="438">
        <f>VLOOKUP(H486,'Full Trial Balance'!$A$4:$G$2306,5,FALSE)</f>
        <v>0</v>
      </c>
      <c r="M486" s="438">
        <f>VLOOKUP(H486,'Full Trial Balance'!$A$4:$G$2306,6,FALSE)</f>
        <v>0</v>
      </c>
      <c r="N486" s="438">
        <f>VLOOKUP(H486,'Full Trial Balance'!$A$4:$G$2306,7,FALSE)</f>
        <v>0</v>
      </c>
      <c r="O486" s="485">
        <f t="shared" si="60"/>
        <v>0</v>
      </c>
    </row>
    <row r="487" spans="1:15" x14ac:dyDescent="0.25">
      <c r="A487" s="241" t="str">
        <f t="shared" si="55"/>
        <v>04-02</v>
      </c>
      <c r="B487" s="241" t="str">
        <f t="shared" si="56"/>
        <v>04</v>
      </c>
      <c r="C487" s="241" t="str">
        <f t="shared" si="57"/>
        <v>02</v>
      </c>
      <c r="D487" s="235" t="str">
        <f t="shared" si="58"/>
        <v>04-</v>
      </c>
      <c r="E487" s="241" t="s">
        <v>1250</v>
      </c>
      <c r="F487" s="241" t="str">
        <f t="shared" si="59"/>
        <v>-104-121</v>
      </c>
      <c r="G487" s="256" t="s">
        <v>1258</v>
      </c>
      <c r="H487" s="241" t="s">
        <v>1203</v>
      </c>
      <c r="I487" s="435" t="s">
        <v>1204</v>
      </c>
      <c r="J487" s="438">
        <f>VLOOKUP(H487,'Full Trial Balance'!$A$4:$G$2306,3,FALSE)</f>
        <v>0</v>
      </c>
      <c r="K487" s="438">
        <f>VLOOKUP(H487,'Full Trial Balance'!$A$4:$G$2306,4,FALSE)</f>
        <v>0</v>
      </c>
      <c r="L487" s="438">
        <f>VLOOKUP(H487,'Full Trial Balance'!$A$4:$G$2306,5,FALSE)</f>
        <v>7278.18</v>
      </c>
      <c r="M487" s="438">
        <f>VLOOKUP(H487,'Full Trial Balance'!$A$4:$G$2306,6,FALSE)</f>
        <v>7278.18</v>
      </c>
      <c r="N487" s="438">
        <f>VLOOKUP(H487,'Full Trial Balance'!$A$4:$G$2306,7,FALSE)</f>
        <v>0</v>
      </c>
      <c r="O487" s="485">
        <f t="shared" si="60"/>
        <v>0</v>
      </c>
    </row>
    <row r="488" spans="1:15" x14ac:dyDescent="0.25">
      <c r="A488" s="241" t="str">
        <f t="shared" si="55"/>
        <v>04-02</v>
      </c>
      <c r="B488" s="241" t="str">
        <f t="shared" si="56"/>
        <v>04</v>
      </c>
      <c r="C488" s="241" t="str">
        <f t="shared" si="57"/>
        <v>02</v>
      </c>
      <c r="D488" s="235" t="str">
        <f t="shared" si="58"/>
        <v>04-</v>
      </c>
      <c r="E488" s="241" t="s">
        <v>1250</v>
      </c>
      <c r="F488" s="241" t="str">
        <f t="shared" si="59"/>
        <v>-104-122</v>
      </c>
      <c r="G488" s="256" t="s">
        <v>1257</v>
      </c>
      <c r="H488" s="241" t="s">
        <v>1205</v>
      </c>
      <c r="I488" s="435" t="s">
        <v>1206</v>
      </c>
      <c r="J488" s="438">
        <f>VLOOKUP(H488,'Full Trial Balance'!$A$4:$G$2306,3,FALSE)</f>
        <v>0</v>
      </c>
      <c r="K488" s="438">
        <f>VLOOKUP(H488,'Full Trial Balance'!$A$4:$G$2306,4,FALSE)</f>
        <v>0</v>
      </c>
      <c r="L488" s="438">
        <f>VLOOKUP(H488,'Full Trial Balance'!$A$4:$G$2306,5,FALSE)</f>
        <v>0</v>
      </c>
      <c r="M488" s="438">
        <f>VLOOKUP(H488,'Full Trial Balance'!$A$4:$G$2306,6,FALSE)</f>
        <v>0</v>
      </c>
      <c r="N488" s="438">
        <f>VLOOKUP(H488,'Full Trial Balance'!$A$4:$G$2306,7,FALSE)</f>
        <v>0</v>
      </c>
      <c r="O488" s="485">
        <f t="shared" si="60"/>
        <v>0</v>
      </c>
    </row>
    <row r="489" spans="1:15" x14ac:dyDescent="0.25">
      <c r="A489" s="241" t="str">
        <f t="shared" si="55"/>
        <v>04-02</v>
      </c>
      <c r="B489" s="241" t="str">
        <f t="shared" si="56"/>
        <v>04</v>
      </c>
      <c r="C489" s="241" t="str">
        <f t="shared" si="57"/>
        <v>02</v>
      </c>
      <c r="D489" s="235" t="str">
        <f t="shared" si="58"/>
        <v>04-</v>
      </c>
      <c r="E489" s="241" t="s">
        <v>1250</v>
      </c>
      <c r="F489" s="241" t="str">
        <f t="shared" si="59"/>
        <v>-105-121</v>
      </c>
      <c r="G489" s="256" t="s">
        <v>1258</v>
      </c>
      <c r="H489" s="241" t="s">
        <v>1207</v>
      </c>
      <c r="I489" s="435" t="s">
        <v>1208</v>
      </c>
      <c r="J489" s="438">
        <f>VLOOKUP(H489,'Full Trial Balance'!$A$4:$G$2306,3,FALSE)</f>
        <v>0</v>
      </c>
      <c r="K489" s="438">
        <f>VLOOKUP(H489,'Full Trial Balance'!$A$4:$G$2306,4,FALSE)</f>
        <v>0</v>
      </c>
      <c r="L489" s="438">
        <f>VLOOKUP(H489,'Full Trial Balance'!$A$4:$G$2306,5,FALSE)</f>
        <v>0</v>
      </c>
      <c r="M489" s="438">
        <f>VLOOKUP(H489,'Full Trial Balance'!$A$4:$G$2306,6,FALSE)</f>
        <v>0</v>
      </c>
      <c r="N489" s="438">
        <f>VLOOKUP(H489,'Full Trial Balance'!$A$4:$G$2306,7,FALSE)</f>
        <v>0</v>
      </c>
      <c r="O489" s="485">
        <f t="shared" si="60"/>
        <v>0</v>
      </c>
    </row>
    <row r="490" spans="1:15" x14ac:dyDescent="0.25">
      <c r="A490" s="241" t="str">
        <f t="shared" si="55"/>
        <v>04-02</v>
      </c>
      <c r="B490" s="241" t="str">
        <f t="shared" si="56"/>
        <v>04</v>
      </c>
      <c r="C490" s="241" t="str">
        <f t="shared" si="57"/>
        <v>02</v>
      </c>
      <c r="D490" s="235" t="str">
        <f t="shared" si="58"/>
        <v>04-</v>
      </c>
      <c r="E490" s="241" t="s">
        <v>1250</v>
      </c>
      <c r="F490" s="241" t="str">
        <f t="shared" si="59"/>
        <v>-105-122</v>
      </c>
      <c r="G490" s="235" t="s">
        <v>1257</v>
      </c>
      <c r="H490" s="241" t="s">
        <v>1209</v>
      </c>
      <c r="I490" s="435" t="s">
        <v>1210</v>
      </c>
      <c r="J490" s="438">
        <f>VLOOKUP(H490,'Full Trial Balance'!$A$4:$G$2306,3,FALSE)</f>
        <v>0</v>
      </c>
      <c r="K490" s="438">
        <f>VLOOKUP(H490,'Full Trial Balance'!$A$4:$G$2306,4,FALSE)</f>
        <v>0</v>
      </c>
      <c r="L490" s="438">
        <f>VLOOKUP(H490,'Full Trial Balance'!$A$4:$G$2306,5,FALSE)</f>
        <v>0</v>
      </c>
      <c r="M490" s="438">
        <f>VLOOKUP(H490,'Full Trial Balance'!$A$4:$G$2306,6,FALSE)</f>
        <v>0</v>
      </c>
      <c r="N490" s="438">
        <f>VLOOKUP(H490,'Full Trial Balance'!$A$4:$G$2306,7,FALSE)</f>
        <v>0</v>
      </c>
      <c r="O490" s="485">
        <f t="shared" si="60"/>
        <v>0</v>
      </c>
    </row>
    <row r="491" spans="1:15" x14ac:dyDescent="0.25">
      <c r="A491" s="241" t="str">
        <f t="shared" si="55"/>
        <v>04-02</v>
      </c>
      <c r="B491" s="241" t="str">
        <f t="shared" si="56"/>
        <v>04</v>
      </c>
      <c r="C491" s="241" t="str">
        <f t="shared" si="57"/>
        <v>02</v>
      </c>
      <c r="D491" s="235" t="str">
        <f t="shared" si="58"/>
        <v>04-</v>
      </c>
      <c r="E491" s="241" t="s">
        <v>1250</v>
      </c>
      <c r="F491" s="241" t="str">
        <f t="shared" si="59"/>
        <v>-106-121</v>
      </c>
      <c r="G491" s="235" t="s">
        <v>1258</v>
      </c>
      <c r="H491" s="241" t="s">
        <v>1211</v>
      </c>
      <c r="I491" s="435" t="s">
        <v>1212</v>
      </c>
      <c r="J491" s="438">
        <f>VLOOKUP(H491,'Full Trial Balance'!$A$4:$G$2306,3,FALSE)</f>
        <v>0</v>
      </c>
      <c r="K491" s="438">
        <f>VLOOKUP(H491,'Full Trial Balance'!$A$4:$G$2306,4,FALSE)</f>
        <v>0</v>
      </c>
      <c r="L491" s="438">
        <f>VLOOKUP(H491,'Full Trial Balance'!$A$4:$G$2306,5,FALSE)</f>
        <v>0</v>
      </c>
      <c r="M491" s="438">
        <f>VLOOKUP(H491,'Full Trial Balance'!$A$4:$G$2306,6,FALSE)</f>
        <v>0</v>
      </c>
      <c r="N491" s="438">
        <f>VLOOKUP(H491,'Full Trial Balance'!$A$4:$G$2306,7,FALSE)</f>
        <v>0</v>
      </c>
      <c r="O491" s="485">
        <f t="shared" si="60"/>
        <v>0</v>
      </c>
    </row>
    <row r="492" spans="1:15" x14ac:dyDescent="0.25">
      <c r="A492" s="241" t="str">
        <f t="shared" si="55"/>
        <v>04-02</v>
      </c>
      <c r="B492" s="241" t="str">
        <f t="shared" si="56"/>
        <v>04</v>
      </c>
      <c r="C492" s="241" t="str">
        <f t="shared" si="57"/>
        <v>02</v>
      </c>
      <c r="D492" s="235" t="str">
        <f t="shared" si="58"/>
        <v>04-</v>
      </c>
      <c r="E492" s="241" t="s">
        <v>1250</v>
      </c>
      <c r="F492" s="241" t="str">
        <f t="shared" si="59"/>
        <v>-106-122</v>
      </c>
      <c r="G492" s="256" t="s">
        <v>1257</v>
      </c>
      <c r="H492" s="241" t="s">
        <v>377</v>
      </c>
      <c r="I492" s="435" t="s">
        <v>127</v>
      </c>
      <c r="J492" s="438">
        <f>VLOOKUP(H492,'Full Trial Balance'!$A$4:$G$2306,3,FALSE)</f>
        <v>0</v>
      </c>
      <c r="K492" s="438">
        <f>VLOOKUP(H492,'Full Trial Balance'!$A$4:$G$2306,4,FALSE)</f>
        <v>0</v>
      </c>
      <c r="L492" s="438">
        <f>VLOOKUP(H492,'Full Trial Balance'!$A$4:$G$2306,5,FALSE)</f>
        <v>0</v>
      </c>
      <c r="M492" s="438">
        <f>VLOOKUP(H492,'Full Trial Balance'!$A$4:$G$2306,6,FALSE)</f>
        <v>0</v>
      </c>
      <c r="N492" s="438">
        <f>VLOOKUP(H492,'Full Trial Balance'!$A$4:$G$2306,7,FALSE)</f>
        <v>0</v>
      </c>
      <c r="O492" s="485">
        <f t="shared" si="60"/>
        <v>0</v>
      </c>
    </row>
    <row r="493" spans="1:15" x14ac:dyDescent="0.25">
      <c r="A493" s="241" t="str">
        <f t="shared" si="55"/>
        <v>04-02</v>
      </c>
      <c r="B493" s="241" t="str">
        <f t="shared" si="56"/>
        <v>04</v>
      </c>
      <c r="C493" s="241" t="str">
        <f t="shared" si="57"/>
        <v>02</v>
      </c>
      <c r="D493" s="235" t="str">
        <f t="shared" si="58"/>
        <v>04-</v>
      </c>
      <c r="E493" s="241" t="s">
        <v>1250</v>
      </c>
      <c r="F493" s="241" t="str">
        <f t="shared" si="59"/>
        <v>-107-121</v>
      </c>
      <c r="G493" s="256" t="s">
        <v>1258</v>
      </c>
      <c r="H493" s="241" t="s">
        <v>378</v>
      </c>
      <c r="I493" s="435" t="s">
        <v>128</v>
      </c>
      <c r="J493" s="438">
        <f>VLOOKUP(H493,'Full Trial Balance'!$A$4:$G$2306,3,FALSE)</f>
        <v>500</v>
      </c>
      <c r="K493" s="438">
        <f>VLOOKUP(H493,'Full Trial Balance'!$A$4:$G$2306,4,FALSE)</f>
        <v>0</v>
      </c>
      <c r="L493" s="438">
        <f>VLOOKUP(H493,'Full Trial Balance'!$A$4:$G$2306,5,FALSE)</f>
        <v>241</v>
      </c>
      <c r="M493" s="438">
        <f>VLOOKUP(H493,'Full Trial Balance'!$A$4:$G$2306,6,FALSE)</f>
        <v>0</v>
      </c>
      <c r="N493" s="438">
        <f>VLOOKUP(H493,'Full Trial Balance'!$A$4:$G$2306,7,FALSE)</f>
        <v>241</v>
      </c>
      <c r="O493" s="485">
        <f t="shared" si="60"/>
        <v>0</v>
      </c>
    </row>
    <row r="494" spans="1:15" x14ac:dyDescent="0.25">
      <c r="A494" s="241" t="str">
        <f t="shared" si="55"/>
        <v>04-02</v>
      </c>
      <c r="B494" s="241" t="str">
        <f t="shared" si="56"/>
        <v>04</v>
      </c>
      <c r="C494" s="241" t="str">
        <f t="shared" si="57"/>
        <v>02</v>
      </c>
      <c r="D494" s="235" t="str">
        <f t="shared" si="58"/>
        <v>04-</v>
      </c>
      <c r="E494" s="241" t="s">
        <v>1250</v>
      </c>
      <c r="F494" s="241" t="str">
        <f t="shared" si="59"/>
        <v>-107-122</v>
      </c>
      <c r="G494" s="235" t="s">
        <v>1257</v>
      </c>
      <c r="H494" s="241" t="s">
        <v>379</v>
      </c>
      <c r="I494" s="435" t="s">
        <v>129</v>
      </c>
      <c r="J494" s="438">
        <f>VLOOKUP(H494,'Full Trial Balance'!$A$4:$G$2306,3,FALSE)</f>
        <v>2250</v>
      </c>
      <c r="K494" s="438">
        <f>VLOOKUP(H494,'Full Trial Balance'!$A$4:$G$2306,4,FALSE)</f>
        <v>0</v>
      </c>
      <c r="L494" s="438">
        <f>VLOOKUP(H494,'Full Trial Balance'!$A$4:$G$2306,5,FALSE)</f>
        <v>938.74</v>
      </c>
      <c r="M494" s="438">
        <f>VLOOKUP(H494,'Full Trial Balance'!$A$4:$G$2306,6,FALSE)</f>
        <v>0</v>
      </c>
      <c r="N494" s="438">
        <f>VLOOKUP(H494,'Full Trial Balance'!$A$4:$G$2306,7,FALSE)</f>
        <v>938.74</v>
      </c>
      <c r="O494" s="485">
        <f t="shared" si="60"/>
        <v>0</v>
      </c>
    </row>
    <row r="495" spans="1:15" x14ac:dyDescent="0.25">
      <c r="A495" s="241" t="str">
        <f t="shared" si="55"/>
        <v>04-02</v>
      </c>
      <c r="B495" s="241" t="str">
        <f t="shared" si="56"/>
        <v>04</v>
      </c>
      <c r="C495" s="241" t="str">
        <f t="shared" si="57"/>
        <v>02</v>
      </c>
      <c r="D495" s="235" t="str">
        <f t="shared" si="58"/>
        <v>04-</v>
      </c>
      <c r="E495" s="241" t="s">
        <v>1250</v>
      </c>
      <c r="F495" s="241" t="str">
        <f t="shared" si="59"/>
        <v>-108-121</v>
      </c>
      <c r="G495" s="235" t="s">
        <v>1258</v>
      </c>
      <c r="H495" s="241" t="s">
        <v>380</v>
      </c>
      <c r="I495" s="435" t="s">
        <v>130</v>
      </c>
      <c r="J495" s="438">
        <f>VLOOKUP(H495,'Full Trial Balance'!$A$4:$G$2306,3,FALSE)</f>
        <v>500</v>
      </c>
      <c r="K495" s="438">
        <f>VLOOKUP(H495,'Full Trial Balance'!$A$4:$G$2306,4,FALSE)</f>
        <v>0</v>
      </c>
      <c r="L495" s="438">
        <f>VLOOKUP(H495,'Full Trial Balance'!$A$4:$G$2306,5,FALSE)</f>
        <v>241</v>
      </c>
      <c r="M495" s="438">
        <f>VLOOKUP(H495,'Full Trial Balance'!$A$4:$G$2306,6,FALSE)</f>
        <v>0</v>
      </c>
      <c r="N495" s="438">
        <f>VLOOKUP(H495,'Full Trial Balance'!$A$4:$G$2306,7,FALSE)</f>
        <v>241</v>
      </c>
      <c r="O495" s="485">
        <f t="shared" si="60"/>
        <v>0</v>
      </c>
    </row>
    <row r="496" spans="1:15" x14ac:dyDescent="0.25">
      <c r="A496" s="241" t="str">
        <f t="shared" si="55"/>
        <v>04-02</v>
      </c>
      <c r="B496" s="241" t="str">
        <f t="shared" si="56"/>
        <v>04</v>
      </c>
      <c r="C496" s="241" t="str">
        <f t="shared" si="57"/>
        <v>02</v>
      </c>
      <c r="D496" s="235" t="str">
        <f t="shared" si="58"/>
        <v>04-</v>
      </c>
      <c r="E496" s="241" t="s">
        <v>1250</v>
      </c>
      <c r="F496" s="241" t="str">
        <f t="shared" si="59"/>
        <v>-108-122</v>
      </c>
      <c r="G496" s="256" t="s">
        <v>1257</v>
      </c>
      <c r="H496" s="241" t="s">
        <v>381</v>
      </c>
      <c r="I496" s="435" t="s">
        <v>131</v>
      </c>
      <c r="J496" s="438">
        <f>VLOOKUP(H496,'Full Trial Balance'!$A$4:$G$2306,3,FALSE)</f>
        <v>2750</v>
      </c>
      <c r="K496" s="438">
        <f>VLOOKUP(H496,'Full Trial Balance'!$A$4:$G$2306,4,FALSE)</f>
        <v>0</v>
      </c>
      <c r="L496" s="438">
        <f>VLOOKUP(H496,'Full Trial Balance'!$A$4:$G$2306,5,FALSE)</f>
        <v>1202.8900000000001</v>
      </c>
      <c r="M496" s="438">
        <f>VLOOKUP(H496,'Full Trial Balance'!$A$4:$G$2306,6,FALSE)</f>
        <v>0</v>
      </c>
      <c r="N496" s="438">
        <f>VLOOKUP(H496,'Full Trial Balance'!$A$4:$G$2306,7,FALSE)</f>
        <v>1202.8900000000001</v>
      </c>
      <c r="O496" s="485">
        <f t="shared" si="60"/>
        <v>0</v>
      </c>
    </row>
    <row r="497" spans="1:15" x14ac:dyDescent="0.25">
      <c r="A497" s="241" t="str">
        <f t="shared" si="55"/>
        <v>04-02</v>
      </c>
      <c r="B497" s="241" t="str">
        <f t="shared" si="56"/>
        <v>04</v>
      </c>
      <c r="C497" s="241" t="str">
        <f t="shared" si="57"/>
        <v>02</v>
      </c>
      <c r="D497" s="235" t="str">
        <f t="shared" si="58"/>
        <v>04-</v>
      </c>
      <c r="E497" s="241" t="s">
        <v>1250</v>
      </c>
      <c r="F497" s="241" t="str">
        <f t="shared" si="59"/>
        <v>-109-121</v>
      </c>
      <c r="G497" s="256" t="s">
        <v>1258</v>
      </c>
      <c r="H497" s="241" t="s">
        <v>382</v>
      </c>
      <c r="I497" s="435" t="s">
        <v>132</v>
      </c>
      <c r="J497" s="438">
        <f>VLOOKUP(H497,'Full Trial Balance'!$A$4:$G$2306,3,FALSE)</f>
        <v>500</v>
      </c>
      <c r="K497" s="438">
        <f>VLOOKUP(H497,'Full Trial Balance'!$A$4:$G$2306,4,FALSE)</f>
        <v>0</v>
      </c>
      <c r="L497" s="438">
        <f>VLOOKUP(H497,'Full Trial Balance'!$A$4:$G$2306,5,FALSE)</f>
        <v>241</v>
      </c>
      <c r="M497" s="438">
        <f>VLOOKUP(H497,'Full Trial Balance'!$A$4:$G$2306,6,FALSE)</f>
        <v>0</v>
      </c>
      <c r="N497" s="438">
        <f>VLOOKUP(H497,'Full Trial Balance'!$A$4:$G$2306,7,FALSE)</f>
        <v>241</v>
      </c>
      <c r="O497" s="485">
        <f t="shared" si="60"/>
        <v>0</v>
      </c>
    </row>
    <row r="498" spans="1:15" x14ac:dyDescent="0.25">
      <c r="A498" s="241" t="str">
        <f t="shared" si="55"/>
        <v>04-02</v>
      </c>
      <c r="B498" s="241" t="str">
        <f t="shared" si="56"/>
        <v>04</v>
      </c>
      <c r="C498" s="241" t="str">
        <f t="shared" si="57"/>
        <v>02</v>
      </c>
      <c r="D498" s="235" t="str">
        <f t="shared" si="58"/>
        <v>04-</v>
      </c>
      <c r="E498" s="241" t="s">
        <v>1250</v>
      </c>
      <c r="F498" s="241" t="str">
        <f t="shared" si="59"/>
        <v>-109-122</v>
      </c>
      <c r="G498" s="256" t="s">
        <v>1257</v>
      </c>
      <c r="H498" s="241" t="s">
        <v>383</v>
      </c>
      <c r="I498" s="435" t="s">
        <v>133</v>
      </c>
      <c r="J498" s="438">
        <f>VLOOKUP(H498,'Full Trial Balance'!$A$4:$G$2306,3,FALSE)</f>
        <v>4200</v>
      </c>
      <c r="K498" s="438">
        <f>VLOOKUP(H498,'Full Trial Balance'!$A$4:$G$2306,4,FALSE)</f>
        <v>0</v>
      </c>
      <c r="L498" s="438">
        <f>VLOOKUP(H498,'Full Trial Balance'!$A$4:$G$2306,5,FALSE)</f>
        <v>2173.9299999999998</v>
      </c>
      <c r="M498" s="438">
        <f>VLOOKUP(H498,'Full Trial Balance'!$A$4:$G$2306,6,FALSE)</f>
        <v>0</v>
      </c>
      <c r="N498" s="438">
        <f>VLOOKUP(H498,'Full Trial Balance'!$A$4:$G$2306,7,FALSE)</f>
        <v>2173.9299999999998</v>
      </c>
      <c r="O498" s="485">
        <f t="shared" si="60"/>
        <v>0</v>
      </c>
    </row>
    <row r="499" spans="1:15" x14ac:dyDescent="0.25">
      <c r="A499" s="241" t="str">
        <f t="shared" si="55"/>
        <v>04-02</v>
      </c>
      <c r="B499" s="241" t="str">
        <f t="shared" si="56"/>
        <v>04</v>
      </c>
      <c r="C499" s="241" t="str">
        <f t="shared" si="57"/>
        <v>02</v>
      </c>
      <c r="D499" s="235" t="str">
        <f t="shared" si="58"/>
        <v>04-</v>
      </c>
      <c r="E499" s="241" t="s">
        <v>1250</v>
      </c>
      <c r="F499" s="241" t="str">
        <f t="shared" si="59"/>
        <v>-110-121</v>
      </c>
      <c r="G499" s="235" t="s">
        <v>1258</v>
      </c>
      <c r="H499" s="241" t="s">
        <v>384</v>
      </c>
      <c r="I499" s="435" t="s">
        <v>134</v>
      </c>
      <c r="J499" s="438">
        <f>VLOOKUP(H499,'Full Trial Balance'!$A$4:$G$2306,3,FALSE)</f>
        <v>500</v>
      </c>
      <c r="K499" s="438">
        <f>VLOOKUP(H499,'Full Trial Balance'!$A$4:$G$2306,4,FALSE)</f>
        <v>0</v>
      </c>
      <c r="L499" s="438">
        <f>VLOOKUP(H499,'Full Trial Balance'!$A$4:$G$2306,5,FALSE)</f>
        <v>320</v>
      </c>
      <c r="M499" s="438">
        <f>VLOOKUP(H499,'Full Trial Balance'!$A$4:$G$2306,6,FALSE)</f>
        <v>0</v>
      </c>
      <c r="N499" s="438">
        <f>VLOOKUP(H499,'Full Trial Balance'!$A$4:$G$2306,7,FALSE)</f>
        <v>320</v>
      </c>
      <c r="O499" s="485">
        <f t="shared" si="60"/>
        <v>0</v>
      </c>
    </row>
    <row r="500" spans="1:15" x14ac:dyDescent="0.25">
      <c r="A500" s="241" t="str">
        <f t="shared" si="55"/>
        <v>04-02</v>
      </c>
      <c r="B500" s="241" t="str">
        <f t="shared" si="56"/>
        <v>04</v>
      </c>
      <c r="C500" s="241" t="str">
        <f t="shared" si="57"/>
        <v>02</v>
      </c>
      <c r="D500" s="235" t="str">
        <f t="shared" si="58"/>
        <v>04-</v>
      </c>
      <c r="E500" s="241" t="s">
        <v>1250</v>
      </c>
      <c r="F500" s="241" t="str">
        <f t="shared" si="59"/>
        <v>-110-122</v>
      </c>
      <c r="G500" s="235" t="s">
        <v>1257</v>
      </c>
      <c r="H500" s="241" t="s">
        <v>385</v>
      </c>
      <c r="I500" s="435" t="s">
        <v>135</v>
      </c>
      <c r="J500" s="438">
        <f>VLOOKUP(H500,'Full Trial Balance'!$A$4:$G$2306,3,FALSE)</f>
        <v>1850</v>
      </c>
      <c r="K500" s="438">
        <f>VLOOKUP(H500,'Full Trial Balance'!$A$4:$G$2306,4,FALSE)</f>
        <v>0</v>
      </c>
      <c r="L500" s="438">
        <f>VLOOKUP(H500,'Full Trial Balance'!$A$4:$G$2306,5,FALSE)</f>
        <v>923.46</v>
      </c>
      <c r="M500" s="438">
        <f>VLOOKUP(H500,'Full Trial Balance'!$A$4:$G$2306,6,FALSE)</f>
        <v>0</v>
      </c>
      <c r="N500" s="438">
        <f>VLOOKUP(H500,'Full Trial Balance'!$A$4:$G$2306,7,FALSE)</f>
        <v>923.46</v>
      </c>
      <c r="O500" s="485">
        <f t="shared" si="60"/>
        <v>0</v>
      </c>
    </row>
    <row r="501" spans="1:15" x14ac:dyDescent="0.25">
      <c r="A501" s="241" t="str">
        <f t="shared" si="55"/>
        <v>04-02</v>
      </c>
      <c r="B501" s="241" t="str">
        <f t="shared" si="56"/>
        <v>04</v>
      </c>
      <c r="C501" s="241" t="str">
        <f t="shared" si="57"/>
        <v>02</v>
      </c>
      <c r="D501" s="235" t="str">
        <f t="shared" si="58"/>
        <v>04-</v>
      </c>
      <c r="E501" s="241" t="s">
        <v>1250</v>
      </c>
      <c r="F501" s="241" t="str">
        <f t="shared" si="59"/>
        <v>-111-121</v>
      </c>
      <c r="G501" s="235" t="s">
        <v>1258</v>
      </c>
      <c r="H501" s="241" t="s">
        <v>386</v>
      </c>
      <c r="I501" s="435" t="s">
        <v>136</v>
      </c>
      <c r="J501" s="438">
        <f>VLOOKUP(H501,'Full Trial Balance'!$A$4:$G$2306,3,FALSE)</f>
        <v>5250</v>
      </c>
      <c r="K501" s="438">
        <f>VLOOKUP(H501,'Full Trial Balance'!$A$4:$G$2306,4,FALSE)</f>
        <v>0</v>
      </c>
      <c r="L501" s="438">
        <f>VLOOKUP(H501,'Full Trial Balance'!$A$4:$G$2306,5,FALSE)</f>
        <v>2215.13</v>
      </c>
      <c r="M501" s="438">
        <f>VLOOKUP(H501,'Full Trial Balance'!$A$4:$G$2306,6,FALSE)</f>
        <v>0</v>
      </c>
      <c r="N501" s="438">
        <f>VLOOKUP(H501,'Full Trial Balance'!$A$4:$G$2306,7,FALSE)</f>
        <v>2215.13</v>
      </c>
      <c r="O501" s="485">
        <f t="shared" si="60"/>
        <v>0</v>
      </c>
    </row>
    <row r="502" spans="1:15" x14ac:dyDescent="0.25">
      <c r="A502" s="241" t="str">
        <f t="shared" si="55"/>
        <v>04-02</v>
      </c>
      <c r="B502" s="241" t="str">
        <f t="shared" si="56"/>
        <v>04</v>
      </c>
      <c r="C502" s="241" t="str">
        <f t="shared" si="57"/>
        <v>02</v>
      </c>
      <c r="D502" s="235" t="str">
        <f t="shared" si="58"/>
        <v>04-</v>
      </c>
      <c r="E502" s="241" t="s">
        <v>1250</v>
      </c>
      <c r="F502" s="241" t="str">
        <f t="shared" si="59"/>
        <v>-111-122</v>
      </c>
      <c r="G502" s="235" t="s">
        <v>1257</v>
      </c>
      <c r="H502" s="241" t="s">
        <v>387</v>
      </c>
      <c r="I502" s="435" t="s">
        <v>137</v>
      </c>
      <c r="J502" s="438">
        <f>VLOOKUP(H502,'Full Trial Balance'!$A$4:$G$2306,3,FALSE)</f>
        <v>8750</v>
      </c>
      <c r="K502" s="438">
        <f>VLOOKUP(H502,'Full Trial Balance'!$A$4:$G$2306,4,FALSE)</f>
        <v>0</v>
      </c>
      <c r="L502" s="438">
        <f>VLOOKUP(H502,'Full Trial Balance'!$A$4:$G$2306,5,FALSE)</f>
        <v>3728.84</v>
      </c>
      <c r="M502" s="438">
        <f>VLOOKUP(H502,'Full Trial Balance'!$A$4:$G$2306,6,FALSE)</f>
        <v>0</v>
      </c>
      <c r="N502" s="438">
        <f>VLOOKUP(H502,'Full Trial Balance'!$A$4:$G$2306,7,FALSE)</f>
        <v>3728.84</v>
      </c>
      <c r="O502" s="485">
        <f t="shared" si="60"/>
        <v>0</v>
      </c>
    </row>
    <row r="503" spans="1:15" x14ac:dyDescent="0.25">
      <c r="A503" s="241" t="str">
        <f t="shared" si="55"/>
        <v>04-02</v>
      </c>
      <c r="B503" s="241" t="str">
        <f t="shared" si="56"/>
        <v>04</v>
      </c>
      <c r="C503" s="241" t="str">
        <f t="shared" si="57"/>
        <v>02</v>
      </c>
      <c r="D503" s="235" t="str">
        <f t="shared" si="58"/>
        <v>04-</v>
      </c>
      <c r="E503" s="241" t="s">
        <v>1250</v>
      </c>
      <c r="F503" s="241" t="str">
        <f t="shared" si="59"/>
        <v>-112-121</v>
      </c>
      <c r="G503" s="235" t="s">
        <v>1258</v>
      </c>
      <c r="H503" s="241" t="s">
        <v>388</v>
      </c>
      <c r="I503" s="435" t="s">
        <v>138</v>
      </c>
      <c r="J503" s="438">
        <f>VLOOKUP(H503,'Full Trial Balance'!$A$4:$G$2306,3,FALSE)</f>
        <v>2000</v>
      </c>
      <c r="K503" s="438">
        <f>VLOOKUP(H503,'Full Trial Balance'!$A$4:$G$2306,4,FALSE)</f>
        <v>0</v>
      </c>
      <c r="L503" s="438">
        <f>VLOOKUP(H503,'Full Trial Balance'!$A$4:$G$2306,5,FALSE)</f>
        <v>2004.65</v>
      </c>
      <c r="M503" s="438">
        <f>VLOOKUP(H503,'Full Trial Balance'!$A$4:$G$2306,6,FALSE)</f>
        <v>0</v>
      </c>
      <c r="N503" s="438">
        <f>VLOOKUP(H503,'Full Trial Balance'!$A$4:$G$2306,7,FALSE)</f>
        <v>2004.65</v>
      </c>
      <c r="O503" s="485">
        <f t="shared" si="60"/>
        <v>0</v>
      </c>
    </row>
    <row r="504" spans="1:15" x14ac:dyDescent="0.25">
      <c r="A504" s="241" t="str">
        <f t="shared" si="55"/>
        <v>04-02</v>
      </c>
      <c r="B504" s="241" t="str">
        <f t="shared" si="56"/>
        <v>04</v>
      </c>
      <c r="C504" s="241" t="str">
        <f t="shared" si="57"/>
        <v>02</v>
      </c>
      <c r="D504" s="235" t="str">
        <f t="shared" si="58"/>
        <v>04-</v>
      </c>
      <c r="E504" s="241" t="s">
        <v>1250</v>
      </c>
      <c r="F504" s="241" t="str">
        <f t="shared" si="59"/>
        <v>-112-122</v>
      </c>
      <c r="G504" s="235" t="s">
        <v>1257</v>
      </c>
      <c r="H504" s="241" t="s">
        <v>389</v>
      </c>
      <c r="I504" s="435" t="s">
        <v>139</v>
      </c>
      <c r="J504" s="438">
        <f>VLOOKUP(H504,'Full Trial Balance'!$A$4:$G$2306,3,FALSE)</f>
        <v>11250</v>
      </c>
      <c r="K504" s="438">
        <f>VLOOKUP(H504,'Full Trial Balance'!$A$4:$G$2306,4,FALSE)</f>
        <v>0</v>
      </c>
      <c r="L504" s="438">
        <f>VLOOKUP(H504,'Full Trial Balance'!$A$4:$G$2306,5,FALSE)</f>
        <v>5264.9</v>
      </c>
      <c r="M504" s="438">
        <f>VLOOKUP(H504,'Full Trial Balance'!$A$4:$G$2306,6,FALSE)</f>
        <v>0</v>
      </c>
      <c r="N504" s="438">
        <f>VLOOKUP(H504,'Full Trial Balance'!$A$4:$G$2306,7,FALSE)</f>
        <v>5264.9</v>
      </c>
      <c r="O504" s="485">
        <f t="shared" si="60"/>
        <v>0</v>
      </c>
    </row>
    <row r="505" spans="1:15" x14ac:dyDescent="0.25">
      <c r="A505" s="241" t="str">
        <f t="shared" si="55"/>
        <v>04-02</v>
      </c>
      <c r="B505" s="241" t="str">
        <f t="shared" si="56"/>
        <v>04</v>
      </c>
      <c r="C505" s="241" t="str">
        <f t="shared" si="57"/>
        <v>02</v>
      </c>
      <c r="D505" s="235" t="str">
        <f t="shared" si="58"/>
        <v>04-</v>
      </c>
      <c r="E505" s="241" t="s">
        <v>1250</v>
      </c>
      <c r="F505" s="241" t="str">
        <f t="shared" si="59"/>
        <v>-113-121</v>
      </c>
      <c r="G505" s="235" t="s">
        <v>1258</v>
      </c>
      <c r="H505" s="241" t="s">
        <v>1213</v>
      </c>
      <c r="I505" s="435" t="s">
        <v>1214</v>
      </c>
      <c r="J505" s="438">
        <f>VLOOKUP(H505,'Full Trial Balance'!$A$4:$G$2306,3,FALSE)</f>
        <v>0</v>
      </c>
      <c r="K505" s="438">
        <f>VLOOKUP(H505,'Full Trial Balance'!$A$4:$G$2306,4,FALSE)</f>
        <v>0</v>
      </c>
      <c r="L505" s="438">
        <f>VLOOKUP(H505,'Full Trial Balance'!$A$4:$G$2306,5,FALSE)</f>
        <v>0</v>
      </c>
      <c r="M505" s="438">
        <f>VLOOKUP(H505,'Full Trial Balance'!$A$4:$G$2306,6,FALSE)</f>
        <v>0</v>
      </c>
      <c r="N505" s="438">
        <f>VLOOKUP(H505,'Full Trial Balance'!$A$4:$G$2306,7,FALSE)</f>
        <v>0</v>
      </c>
      <c r="O505" s="485">
        <f t="shared" si="60"/>
        <v>0</v>
      </c>
    </row>
    <row r="506" spans="1:15" x14ac:dyDescent="0.25">
      <c r="A506" s="241" t="str">
        <f t="shared" si="55"/>
        <v>04-02</v>
      </c>
      <c r="B506" s="241" t="str">
        <f t="shared" si="56"/>
        <v>04</v>
      </c>
      <c r="C506" s="241" t="str">
        <f t="shared" si="57"/>
        <v>02</v>
      </c>
      <c r="D506" s="235" t="str">
        <f t="shared" si="58"/>
        <v>04-</v>
      </c>
      <c r="E506" s="241" t="s">
        <v>1250</v>
      </c>
      <c r="F506" s="241" t="str">
        <f t="shared" si="59"/>
        <v>-113-122</v>
      </c>
      <c r="G506" s="235" t="s">
        <v>1257</v>
      </c>
      <c r="H506" s="241" t="s">
        <v>1215</v>
      </c>
      <c r="I506" s="435" t="s">
        <v>1216</v>
      </c>
      <c r="J506" s="438">
        <f>VLOOKUP(H506,'Full Trial Balance'!$A$4:$G$2306,3,FALSE)</f>
        <v>0</v>
      </c>
      <c r="K506" s="438">
        <f>VLOOKUP(H506,'Full Trial Balance'!$A$4:$G$2306,4,FALSE)</f>
        <v>0</v>
      </c>
      <c r="L506" s="438">
        <f>VLOOKUP(H506,'Full Trial Balance'!$A$4:$G$2306,5,FALSE)</f>
        <v>0</v>
      </c>
      <c r="M506" s="438">
        <f>VLOOKUP(H506,'Full Trial Balance'!$A$4:$G$2306,6,FALSE)</f>
        <v>0</v>
      </c>
      <c r="N506" s="438">
        <f>VLOOKUP(H506,'Full Trial Balance'!$A$4:$G$2306,7,FALSE)</f>
        <v>0</v>
      </c>
      <c r="O506" s="485">
        <f t="shared" si="60"/>
        <v>0</v>
      </c>
    </row>
    <row r="507" spans="1:15" x14ac:dyDescent="0.25">
      <c r="A507" s="241" t="str">
        <f t="shared" si="55"/>
        <v>04-02</v>
      </c>
      <c r="B507" s="241" t="str">
        <f t="shared" si="56"/>
        <v>04</v>
      </c>
      <c r="C507" s="241" t="str">
        <f t="shared" si="57"/>
        <v>02</v>
      </c>
      <c r="D507" s="235" t="str">
        <f t="shared" si="58"/>
        <v>04-</v>
      </c>
      <c r="E507" s="241" t="s">
        <v>1250</v>
      </c>
      <c r="F507" s="241" t="str">
        <f t="shared" si="59"/>
        <v>-114-121</v>
      </c>
      <c r="G507" s="235" t="s">
        <v>1258</v>
      </c>
      <c r="H507" s="241" t="s">
        <v>390</v>
      </c>
      <c r="I507" s="435" t="s">
        <v>140</v>
      </c>
      <c r="J507" s="438">
        <f>VLOOKUP(H507,'Full Trial Balance'!$A$4:$G$2306,3,FALSE)</f>
        <v>5000</v>
      </c>
      <c r="K507" s="438">
        <f>VLOOKUP(H507,'Full Trial Balance'!$A$4:$G$2306,4,FALSE)</f>
        <v>0</v>
      </c>
      <c r="L507" s="438">
        <f>VLOOKUP(H507,'Full Trial Balance'!$A$4:$G$2306,5,FALSE)</f>
        <v>359.03</v>
      </c>
      <c r="M507" s="438">
        <f>VLOOKUP(H507,'Full Trial Balance'!$A$4:$G$2306,6,FALSE)</f>
        <v>0</v>
      </c>
      <c r="N507" s="438">
        <f>VLOOKUP(H507,'Full Trial Balance'!$A$4:$G$2306,7,FALSE)</f>
        <v>359.03</v>
      </c>
      <c r="O507" s="485">
        <f t="shared" si="60"/>
        <v>0</v>
      </c>
    </row>
    <row r="508" spans="1:15" x14ac:dyDescent="0.25">
      <c r="A508" s="241" t="str">
        <f t="shared" si="55"/>
        <v>04-02</v>
      </c>
      <c r="B508" s="241" t="str">
        <f t="shared" si="56"/>
        <v>04</v>
      </c>
      <c r="C508" s="241" t="str">
        <f t="shared" si="57"/>
        <v>02</v>
      </c>
      <c r="D508" s="235" t="str">
        <f t="shared" si="58"/>
        <v>04-</v>
      </c>
      <c r="E508" s="241" t="s">
        <v>1250</v>
      </c>
      <c r="F508" s="241" t="str">
        <f t="shared" si="59"/>
        <v>-114-122</v>
      </c>
      <c r="G508" s="235" t="s">
        <v>1257</v>
      </c>
      <c r="H508" s="241" t="s">
        <v>391</v>
      </c>
      <c r="I508" s="435" t="s">
        <v>141</v>
      </c>
      <c r="J508" s="438">
        <f>VLOOKUP(H508,'Full Trial Balance'!$A$4:$G$2306,3,FALSE)</f>
        <v>2250</v>
      </c>
      <c r="K508" s="438">
        <f>VLOOKUP(H508,'Full Trial Balance'!$A$4:$G$2306,4,FALSE)</f>
        <v>0</v>
      </c>
      <c r="L508" s="438">
        <f>VLOOKUP(H508,'Full Trial Balance'!$A$4:$G$2306,5,FALSE)</f>
        <v>820.11</v>
      </c>
      <c r="M508" s="438">
        <f>VLOOKUP(H508,'Full Trial Balance'!$A$4:$G$2306,6,FALSE)</f>
        <v>0</v>
      </c>
      <c r="N508" s="438">
        <f>VLOOKUP(H508,'Full Trial Balance'!$A$4:$G$2306,7,FALSE)</f>
        <v>820.11</v>
      </c>
      <c r="O508" s="485">
        <f t="shared" si="60"/>
        <v>0</v>
      </c>
    </row>
    <row r="509" spans="1:15" x14ac:dyDescent="0.25">
      <c r="A509" s="241" t="str">
        <f t="shared" si="55"/>
        <v>04-02</v>
      </c>
      <c r="B509" s="241" t="str">
        <f t="shared" si="56"/>
        <v>04</v>
      </c>
      <c r="C509" s="241" t="str">
        <f t="shared" si="57"/>
        <v>02</v>
      </c>
      <c r="D509" s="235" t="str">
        <f t="shared" si="58"/>
        <v>04-</v>
      </c>
      <c r="E509" s="241" t="s">
        <v>1250</v>
      </c>
      <c r="F509" s="241" t="str">
        <f t="shared" si="59"/>
        <v>-115-121</v>
      </c>
      <c r="G509" s="235" t="s">
        <v>1258</v>
      </c>
      <c r="H509" s="241" t="s">
        <v>1217</v>
      </c>
      <c r="I509" s="435" t="s">
        <v>1218</v>
      </c>
      <c r="J509" s="438">
        <f>VLOOKUP(H509,'Full Trial Balance'!$A$4:$G$2306,3,FALSE)</f>
        <v>0</v>
      </c>
      <c r="K509" s="438">
        <f>VLOOKUP(H509,'Full Trial Balance'!$A$4:$G$2306,4,FALSE)</f>
        <v>0</v>
      </c>
      <c r="L509" s="438">
        <f>VLOOKUP(H509,'Full Trial Balance'!$A$4:$G$2306,5,FALSE)</f>
        <v>0</v>
      </c>
      <c r="M509" s="438">
        <f>VLOOKUP(H509,'Full Trial Balance'!$A$4:$G$2306,6,FALSE)</f>
        <v>0</v>
      </c>
      <c r="N509" s="438">
        <f>VLOOKUP(H509,'Full Trial Balance'!$A$4:$G$2306,7,FALSE)</f>
        <v>0</v>
      </c>
      <c r="O509" s="485">
        <f t="shared" si="60"/>
        <v>0</v>
      </c>
    </row>
    <row r="510" spans="1:15" x14ac:dyDescent="0.25">
      <c r="A510" s="241" t="str">
        <f t="shared" si="55"/>
        <v>04-02</v>
      </c>
      <c r="B510" s="241" t="str">
        <f t="shared" si="56"/>
        <v>04</v>
      </c>
      <c r="C510" s="241" t="str">
        <f t="shared" si="57"/>
        <v>02</v>
      </c>
      <c r="D510" s="235" t="str">
        <f t="shared" si="58"/>
        <v>04-</v>
      </c>
      <c r="E510" s="241" t="s">
        <v>1250</v>
      </c>
      <c r="F510" s="241" t="str">
        <f t="shared" si="59"/>
        <v>-115-122</v>
      </c>
      <c r="G510" s="235" t="s">
        <v>1257</v>
      </c>
      <c r="H510" s="241" t="s">
        <v>1219</v>
      </c>
      <c r="I510" s="435" t="s">
        <v>1220</v>
      </c>
      <c r="J510" s="438">
        <f>VLOOKUP(H510,'Full Trial Balance'!$A$4:$G$2306,3,FALSE)</f>
        <v>0</v>
      </c>
      <c r="K510" s="438">
        <f>VLOOKUP(H510,'Full Trial Balance'!$A$4:$G$2306,4,FALSE)</f>
        <v>0</v>
      </c>
      <c r="L510" s="438">
        <f>VLOOKUP(H510,'Full Trial Balance'!$A$4:$G$2306,5,FALSE)</f>
        <v>0</v>
      </c>
      <c r="M510" s="438">
        <f>VLOOKUP(H510,'Full Trial Balance'!$A$4:$G$2306,6,FALSE)</f>
        <v>0</v>
      </c>
      <c r="N510" s="438">
        <f>VLOOKUP(H510,'Full Trial Balance'!$A$4:$G$2306,7,FALSE)</f>
        <v>0</v>
      </c>
      <c r="O510" s="485">
        <f t="shared" si="60"/>
        <v>0</v>
      </c>
    </row>
    <row r="511" spans="1:15" x14ac:dyDescent="0.25">
      <c r="A511" s="241" t="str">
        <f t="shared" si="55"/>
        <v>04-02</v>
      </c>
      <c r="B511" s="241" t="str">
        <f t="shared" si="56"/>
        <v>04</v>
      </c>
      <c r="C511" s="241" t="str">
        <f t="shared" si="57"/>
        <v>02</v>
      </c>
      <c r="D511" s="235" t="str">
        <f t="shared" si="58"/>
        <v>04-</v>
      </c>
      <c r="E511" s="241" t="s">
        <v>1250</v>
      </c>
      <c r="F511" s="241" t="str">
        <f t="shared" si="59"/>
        <v>-116-121</v>
      </c>
      <c r="G511" s="235" t="s">
        <v>1258</v>
      </c>
      <c r="H511" s="241" t="s">
        <v>392</v>
      </c>
      <c r="I511" s="435" t="s">
        <v>142</v>
      </c>
      <c r="J511" s="438">
        <f>VLOOKUP(H511,'Full Trial Balance'!$A$4:$G$2306,3,FALSE)</f>
        <v>500</v>
      </c>
      <c r="K511" s="438">
        <f>VLOOKUP(H511,'Full Trial Balance'!$A$4:$G$2306,4,FALSE)</f>
        <v>0</v>
      </c>
      <c r="L511" s="438">
        <f>VLOOKUP(H511,'Full Trial Balance'!$A$4:$G$2306,5,FALSE)</f>
        <v>0</v>
      </c>
      <c r="M511" s="438">
        <f>VLOOKUP(H511,'Full Trial Balance'!$A$4:$G$2306,6,FALSE)</f>
        <v>0</v>
      </c>
      <c r="N511" s="438">
        <f>VLOOKUP(H511,'Full Trial Balance'!$A$4:$G$2306,7,FALSE)</f>
        <v>0</v>
      </c>
      <c r="O511" s="485">
        <f t="shared" si="60"/>
        <v>0</v>
      </c>
    </row>
    <row r="512" spans="1:15" x14ac:dyDescent="0.25">
      <c r="A512" s="241" t="str">
        <f t="shared" si="55"/>
        <v>04-02</v>
      </c>
      <c r="B512" s="241" t="str">
        <f t="shared" si="56"/>
        <v>04</v>
      </c>
      <c r="C512" s="241" t="str">
        <f t="shared" si="57"/>
        <v>02</v>
      </c>
      <c r="D512" s="235" t="str">
        <f t="shared" si="58"/>
        <v>04-</v>
      </c>
      <c r="E512" s="241" t="s">
        <v>1250</v>
      </c>
      <c r="F512" s="241" t="str">
        <f t="shared" si="59"/>
        <v>-116-122</v>
      </c>
      <c r="G512" s="235" t="s">
        <v>1257</v>
      </c>
      <c r="H512" s="241" t="s">
        <v>393</v>
      </c>
      <c r="I512" s="435" t="s">
        <v>143</v>
      </c>
      <c r="J512" s="438">
        <f>VLOOKUP(H512,'Full Trial Balance'!$A$4:$G$2306,3,FALSE)</f>
        <v>275</v>
      </c>
      <c r="K512" s="438">
        <f>VLOOKUP(H512,'Full Trial Balance'!$A$4:$G$2306,4,FALSE)</f>
        <v>0</v>
      </c>
      <c r="L512" s="438">
        <f>VLOOKUP(H512,'Full Trial Balance'!$A$4:$G$2306,5,FALSE)</f>
        <v>73.78</v>
      </c>
      <c r="M512" s="438">
        <f>VLOOKUP(H512,'Full Trial Balance'!$A$4:$G$2306,6,FALSE)</f>
        <v>0</v>
      </c>
      <c r="N512" s="438">
        <f>VLOOKUP(H512,'Full Trial Balance'!$A$4:$G$2306,7,FALSE)</f>
        <v>73.78</v>
      </c>
      <c r="O512" s="485">
        <f t="shared" si="60"/>
        <v>0</v>
      </c>
    </row>
    <row r="513" spans="1:15" x14ac:dyDescent="0.25">
      <c r="A513" s="241" t="str">
        <f t="shared" si="55"/>
        <v>04-02</v>
      </c>
      <c r="B513" s="241" t="str">
        <f t="shared" si="56"/>
        <v>04</v>
      </c>
      <c r="C513" s="241" t="str">
        <f t="shared" si="57"/>
        <v>02</v>
      </c>
      <c r="D513" s="235" t="str">
        <f t="shared" si="58"/>
        <v>04-</v>
      </c>
      <c r="E513" s="241" t="s">
        <v>1250</v>
      </c>
      <c r="F513" s="241" t="str">
        <f t="shared" si="59"/>
        <v>-117-121</v>
      </c>
      <c r="G513" s="235" t="s">
        <v>1258</v>
      </c>
      <c r="H513" s="241" t="s">
        <v>394</v>
      </c>
      <c r="I513" s="435" t="s">
        <v>144</v>
      </c>
      <c r="J513" s="438">
        <f>VLOOKUP(H513,'Full Trial Balance'!$A$4:$G$2306,3,FALSE)</f>
        <v>2000</v>
      </c>
      <c r="K513" s="438">
        <f>VLOOKUP(H513,'Full Trial Balance'!$A$4:$G$2306,4,FALSE)</f>
        <v>0</v>
      </c>
      <c r="L513" s="438">
        <f>VLOOKUP(H513,'Full Trial Balance'!$A$4:$G$2306,5,FALSE)</f>
        <v>1197</v>
      </c>
      <c r="M513" s="438">
        <f>VLOOKUP(H513,'Full Trial Balance'!$A$4:$G$2306,6,FALSE)</f>
        <v>0</v>
      </c>
      <c r="N513" s="438">
        <f>VLOOKUP(H513,'Full Trial Balance'!$A$4:$G$2306,7,FALSE)</f>
        <v>1197</v>
      </c>
      <c r="O513" s="485">
        <f t="shared" si="60"/>
        <v>0</v>
      </c>
    </row>
    <row r="514" spans="1:15" x14ac:dyDescent="0.25">
      <c r="A514" s="241" t="str">
        <f t="shared" si="55"/>
        <v>04-02</v>
      </c>
      <c r="B514" s="241" t="str">
        <f t="shared" si="56"/>
        <v>04</v>
      </c>
      <c r="C514" s="241" t="str">
        <f t="shared" si="57"/>
        <v>02</v>
      </c>
      <c r="D514" s="235" t="str">
        <f t="shared" si="58"/>
        <v>04-</v>
      </c>
      <c r="E514" s="241" t="s">
        <v>1250</v>
      </c>
      <c r="F514" s="241" t="str">
        <f t="shared" si="59"/>
        <v>-117-122</v>
      </c>
      <c r="G514" s="256" t="s">
        <v>1257</v>
      </c>
      <c r="H514" s="241" t="s">
        <v>395</v>
      </c>
      <c r="I514" s="435" t="s">
        <v>145</v>
      </c>
      <c r="J514" s="438">
        <f>VLOOKUP(H514,'Full Trial Balance'!$A$4:$G$2306,3,FALSE)</f>
        <v>10000</v>
      </c>
      <c r="K514" s="438">
        <f>VLOOKUP(H514,'Full Trial Balance'!$A$4:$G$2306,4,FALSE)</f>
        <v>0</v>
      </c>
      <c r="L514" s="438">
        <f>VLOOKUP(H514,'Full Trial Balance'!$A$4:$G$2306,5,FALSE)</f>
        <v>6331.38</v>
      </c>
      <c r="M514" s="438">
        <f>VLOOKUP(H514,'Full Trial Balance'!$A$4:$G$2306,6,FALSE)</f>
        <v>0</v>
      </c>
      <c r="N514" s="438">
        <f>VLOOKUP(H514,'Full Trial Balance'!$A$4:$G$2306,7,FALSE)</f>
        <v>6331.38</v>
      </c>
      <c r="O514" s="485">
        <f t="shared" si="60"/>
        <v>0</v>
      </c>
    </row>
    <row r="515" spans="1:15" x14ac:dyDescent="0.25">
      <c r="A515" s="241" t="str">
        <f t="shared" ref="A515:A578" si="61">LEFT(H515,5)</f>
        <v>04-02</v>
      </c>
      <c r="B515" s="241" t="str">
        <f t="shared" ref="B515:B578" si="62">LEFT(H515,2)</f>
        <v>04</v>
      </c>
      <c r="C515" s="241" t="str">
        <f t="shared" ref="C515:C578" si="63">RIGHT(A515,2)</f>
        <v>02</v>
      </c>
      <c r="D515" s="235" t="str">
        <f t="shared" ref="D515:D578" si="64">LEFT(A515,3)</f>
        <v>04-</v>
      </c>
      <c r="E515" s="241" t="s">
        <v>1250</v>
      </c>
      <c r="F515" s="241" t="str">
        <f t="shared" ref="F515:F578" si="65">RIGHT(H515,8)</f>
        <v>-118-121</v>
      </c>
      <c r="G515" s="235" t="s">
        <v>1258</v>
      </c>
      <c r="H515" s="241" t="s">
        <v>396</v>
      </c>
      <c r="I515" s="435" t="s">
        <v>146</v>
      </c>
      <c r="J515" s="438">
        <f>VLOOKUP(H515,'Full Trial Balance'!$A$4:$G$2306,3,FALSE)</f>
        <v>1000</v>
      </c>
      <c r="K515" s="438">
        <f>VLOOKUP(H515,'Full Trial Balance'!$A$4:$G$2306,4,FALSE)</f>
        <v>0</v>
      </c>
      <c r="L515" s="438">
        <f>VLOOKUP(H515,'Full Trial Balance'!$A$4:$G$2306,5,FALSE)</f>
        <v>488.12</v>
      </c>
      <c r="M515" s="438">
        <f>VLOOKUP(H515,'Full Trial Balance'!$A$4:$G$2306,6,FALSE)</f>
        <v>0</v>
      </c>
      <c r="N515" s="438">
        <f>VLOOKUP(H515,'Full Trial Balance'!$A$4:$G$2306,7,FALSE)</f>
        <v>488.12</v>
      </c>
      <c r="O515" s="485">
        <f t="shared" ref="O515:O578" si="66">N515-L515+M515</f>
        <v>0</v>
      </c>
    </row>
    <row r="516" spans="1:15" x14ac:dyDescent="0.25">
      <c r="A516" s="241" t="str">
        <f t="shared" si="61"/>
        <v>04-02</v>
      </c>
      <c r="B516" s="241" t="str">
        <f t="shared" si="62"/>
        <v>04</v>
      </c>
      <c r="C516" s="241" t="str">
        <f t="shared" si="63"/>
        <v>02</v>
      </c>
      <c r="D516" s="235" t="str">
        <f t="shared" si="64"/>
        <v>04-</v>
      </c>
      <c r="E516" s="241" t="s">
        <v>1250</v>
      </c>
      <c r="F516" s="241" t="str">
        <f t="shared" si="65"/>
        <v>-118-122</v>
      </c>
      <c r="G516" s="256" t="s">
        <v>1257</v>
      </c>
      <c r="H516" s="241" t="s">
        <v>397</v>
      </c>
      <c r="I516" s="435" t="s">
        <v>147</v>
      </c>
      <c r="J516" s="438">
        <f>VLOOKUP(H516,'Full Trial Balance'!$A$4:$G$2306,3,FALSE)</f>
        <v>1450</v>
      </c>
      <c r="K516" s="438">
        <f>VLOOKUP(H516,'Full Trial Balance'!$A$4:$G$2306,4,FALSE)</f>
        <v>0</v>
      </c>
      <c r="L516" s="438">
        <f>VLOOKUP(H516,'Full Trial Balance'!$A$4:$G$2306,5,FALSE)</f>
        <v>406.23</v>
      </c>
      <c r="M516" s="438">
        <f>VLOOKUP(H516,'Full Trial Balance'!$A$4:$G$2306,6,FALSE)</f>
        <v>0</v>
      </c>
      <c r="N516" s="438">
        <f>VLOOKUP(H516,'Full Trial Balance'!$A$4:$G$2306,7,FALSE)</f>
        <v>406.23</v>
      </c>
      <c r="O516" s="485">
        <f t="shared" si="66"/>
        <v>0</v>
      </c>
    </row>
    <row r="517" spans="1:15" x14ac:dyDescent="0.25">
      <c r="A517" s="241" t="str">
        <f t="shared" si="61"/>
        <v>04-02</v>
      </c>
      <c r="B517" s="241" t="str">
        <f t="shared" si="62"/>
        <v>04</v>
      </c>
      <c r="C517" s="241" t="str">
        <f t="shared" si="63"/>
        <v>02</v>
      </c>
      <c r="D517" s="235" t="str">
        <f t="shared" si="64"/>
        <v>04-</v>
      </c>
      <c r="E517" s="241" t="s">
        <v>1250</v>
      </c>
      <c r="F517" s="241" t="str">
        <f t="shared" si="65"/>
        <v>-119-121</v>
      </c>
      <c r="G517" s="256" t="s">
        <v>1258</v>
      </c>
      <c r="H517" s="241" t="s">
        <v>1221</v>
      </c>
      <c r="I517" s="435" t="s">
        <v>1222</v>
      </c>
      <c r="J517" s="438">
        <f>VLOOKUP(H517,'Full Trial Balance'!$A$4:$G$2306,3,FALSE)</f>
        <v>0</v>
      </c>
      <c r="K517" s="438">
        <f>VLOOKUP(H517,'Full Trial Balance'!$A$4:$G$2306,4,FALSE)</f>
        <v>0</v>
      </c>
      <c r="L517" s="438">
        <f>VLOOKUP(H517,'Full Trial Balance'!$A$4:$G$2306,5,FALSE)</f>
        <v>0</v>
      </c>
      <c r="M517" s="438">
        <f>VLOOKUP(H517,'Full Trial Balance'!$A$4:$G$2306,6,FALSE)</f>
        <v>0</v>
      </c>
      <c r="N517" s="438">
        <f>VLOOKUP(H517,'Full Trial Balance'!$A$4:$G$2306,7,FALSE)</f>
        <v>0</v>
      </c>
      <c r="O517" s="485">
        <f t="shared" si="66"/>
        <v>0</v>
      </c>
    </row>
    <row r="518" spans="1:15" x14ac:dyDescent="0.25">
      <c r="A518" s="241" t="str">
        <f t="shared" si="61"/>
        <v>04-02</v>
      </c>
      <c r="B518" s="241" t="str">
        <f t="shared" si="62"/>
        <v>04</v>
      </c>
      <c r="C518" s="241" t="str">
        <f t="shared" si="63"/>
        <v>02</v>
      </c>
      <c r="D518" s="235" t="str">
        <f t="shared" si="64"/>
        <v>04-</v>
      </c>
      <c r="E518" s="241" t="s">
        <v>1250</v>
      </c>
      <c r="F518" s="241" t="str">
        <f t="shared" si="65"/>
        <v>-119-122</v>
      </c>
      <c r="G518" s="235" t="s">
        <v>1257</v>
      </c>
      <c r="H518" s="241" t="s">
        <v>1223</v>
      </c>
      <c r="I518" s="435" t="s">
        <v>1224</v>
      </c>
      <c r="J518" s="438">
        <f>VLOOKUP(H518,'Full Trial Balance'!$A$4:$G$2306,3,FALSE)</f>
        <v>0</v>
      </c>
      <c r="K518" s="438">
        <f>VLOOKUP(H518,'Full Trial Balance'!$A$4:$G$2306,4,FALSE)</f>
        <v>0</v>
      </c>
      <c r="L518" s="438">
        <f>VLOOKUP(H518,'Full Trial Balance'!$A$4:$G$2306,5,FALSE)</f>
        <v>0</v>
      </c>
      <c r="M518" s="438">
        <f>VLOOKUP(H518,'Full Trial Balance'!$A$4:$G$2306,6,FALSE)</f>
        <v>0</v>
      </c>
      <c r="N518" s="438">
        <f>VLOOKUP(H518,'Full Trial Balance'!$A$4:$G$2306,7,FALSE)</f>
        <v>0</v>
      </c>
      <c r="O518" s="485">
        <f t="shared" si="66"/>
        <v>0</v>
      </c>
    </row>
    <row r="519" spans="1:15" x14ac:dyDescent="0.25">
      <c r="A519" s="241" t="str">
        <f t="shared" si="61"/>
        <v>04-02</v>
      </c>
      <c r="B519" s="241" t="str">
        <f t="shared" si="62"/>
        <v>04</v>
      </c>
      <c r="C519" s="241" t="str">
        <f t="shared" si="63"/>
        <v>02</v>
      </c>
      <c r="D519" s="235" t="str">
        <f t="shared" si="64"/>
        <v>04-</v>
      </c>
      <c r="E519" s="241" t="s">
        <v>1250</v>
      </c>
      <c r="F519" s="241" t="str">
        <f t="shared" si="65"/>
        <v>-120-121</v>
      </c>
      <c r="G519" s="235" t="s">
        <v>1258</v>
      </c>
      <c r="H519" s="241" t="s">
        <v>1225</v>
      </c>
      <c r="I519" s="435" t="s">
        <v>1226</v>
      </c>
      <c r="J519" s="438">
        <f>VLOOKUP(H519,'Full Trial Balance'!$A$4:$G$2306,3,FALSE)</f>
        <v>0</v>
      </c>
      <c r="K519" s="438">
        <f>VLOOKUP(H519,'Full Trial Balance'!$A$4:$G$2306,4,FALSE)</f>
        <v>0</v>
      </c>
      <c r="L519" s="438">
        <f>VLOOKUP(H519,'Full Trial Balance'!$A$4:$G$2306,5,FALSE)</f>
        <v>0</v>
      </c>
      <c r="M519" s="438">
        <f>VLOOKUP(H519,'Full Trial Balance'!$A$4:$G$2306,6,FALSE)</f>
        <v>0</v>
      </c>
      <c r="N519" s="438">
        <f>VLOOKUP(H519,'Full Trial Balance'!$A$4:$G$2306,7,FALSE)</f>
        <v>0</v>
      </c>
      <c r="O519" s="485">
        <f t="shared" si="66"/>
        <v>0</v>
      </c>
    </row>
    <row r="520" spans="1:15" x14ac:dyDescent="0.25">
      <c r="A520" s="241" t="str">
        <f t="shared" si="61"/>
        <v>04-02</v>
      </c>
      <c r="B520" s="241" t="str">
        <f t="shared" si="62"/>
        <v>04</v>
      </c>
      <c r="C520" s="241" t="str">
        <f t="shared" si="63"/>
        <v>02</v>
      </c>
      <c r="D520" s="235" t="str">
        <f t="shared" si="64"/>
        <v>04-</v>
      </c>
      <c r="E520" s="241" t="s">
        <v>1250</v>
      </c>
      <c r="F520" s="241" t="str">
        <f t="shared" si="65"/>
        <v>-120-122</v>
      </c>
      <c r="G520" s="235" t="s">
        <v>1257</v>
      </c>
      <c r="H520" s="241" t="s">
        <v>1227</v>
      </c>
      <c r="I520" s="435" t="s">
        <v>1228</v>
      </c>
      <c r="J520" s="438">
        <f>VLOOKUP(H520,'Full Trial Balance'!$A$4:$G$2306,3,FALSE)</f>
        <v>0</v>
      </c>
      <c r="K520" s="438">
        <f>VLOOKUP(H520,'Full Trial Balance'!$A$4:$G$2306,4,FALSE)</f>
        <v>0</v>
      </c>
      <c r="L520" s="438">
        <f>VLOOKUP(H520,'Full Trial Balance'!$A$4:$G$2306,5,FALSE)</f>
        <v>0</v>
      </c>
      <c r="M520" s="438">
        <f>VLOOKUP(H520,'Full Trial Balance'!$A$4:$G$2306,6,FALSE)</f>
        <v>0</v>
      </c>
      <c r="N520" s="438">
        <f>VLOOKUP(H520,'Full Trial Balance'!$A$4:$G$2306,7,FALSE)</f>
        <v>0</v>
      </c>
      <c r="O520" s="485">
        <f t="shared" si="66"/>
        <v>0</v>
      </c>
    </row>
    <row r="521" spans="1:15" x14ac:dyDescent="0.25">
      <c r="A521" s="241" t="str">
        <f t="shared" si="61"/>
        <v>04-02</v>
      </c>
      <c r="B521" s="241" t="str">
        <f t="shared" si="62"/>
        <v>04</v>
      </c>
      <c r="C521" s="241" t="str">
        <f t="shared" si="63"/>
        <v>02</v>
      </c>
      <c r="D521" s="235" t="str">
        <f t="shared" si="64"/>
        <v>04-</v>
      </c>
      <c r="E521" s="241" t="s">
        <v>1250</v>
      </c>
      <c r="F521" s="241" t="str">
        <f t="shared" si="65"/>
        <v>-121-121</v>
      </c>
      <c r="G521" s="235" t="s">
        <v>1258</v>
      </c>
      <c r="H521" s="241" t="s">
        <v>1229</v>
      </c>
      <c r="I521" s="435" t="s">
        <v>1230</v>
      </c>
      <c r="J521" s="438">
        <f>VLOOKUP(H521,'Full Trial Balance'!$A$4:$G$2306,3,FALSE)</f>
        <v>0</v>
      </c>
      <c r="K521" s="438">
        <f>VLOOKUP(H521,'Full Trial Balance'!$A$4:$G$2306,4,FALSE)</f>
        <v>0</v>
      </c>
      <c r="L521" s="438">
        <f>VLOOKUP(H521,'Full Trial Balance'!$A$4:$G$2306,5,FALSE)</f>
        <v>0</v>
      </c>
      <c r="M521" s="438">
        <f>VLOOKUP(H521,'Full Trial Balance'!$A$4:$G$2306,6,FALSE)</f>
        <v>0</v>
      </c>
      <c r="N521" s="438">
        <f>VLOOKUP(H521,'Full Trial Balance'!$A$4:$G$2306,7,FALSE)</f>
        <v>0</v>
      </c>
      <c r="O521" s="485">
        <f t="shared" si="66"/>
        <v>0</v>
      </c>
    </row>
    <row r="522" spans="1:15" x14ac:dyDescent="0.25">
      <c r="A522" s="241" t="str">
        <f t="shared" si="61"/>
        <v>04-02</v>
      </c>
      <c r="B522" s="241" t="str">
        <f t="shared" si="62"/>
        <v>04</v>
      </c>
      <c r="C522" s="241" t="str">
        <f t="shared" si="63"/>
        <v>02</v>
      </c>
      <c r="D522" s="235" t="str">
        <f t="shared" si="64"/>
        <v>04-</v>
      </c>
      <c r="E522" s="241" t="s">
        <v>1250</v>
      </c>
      <c r="F522" s="241" t="str">
        <f t="shared" si="65"/>
        <v>-121-122</v>
      </c>
      <c r="G522" s="235" t="s">
        <v>1257</v>
      </c>
      <c r="H522" s="241" t="s">
        <v>1231</v>
      </c>
      <c r="I522" s="435" t="s">
        <v>1232</v>
      </c>
      <c r="J522" s="438">
        <f>VLOOKUP(H522,'Full Trial Balance'!$A$4:$G$2306,3,FALSE)</f>
        <v>0</v>
      </c>
      <c r="K522" s="438">
        <f>VLOOKUP(H522,'Full Trial Balance'!$A$4:$G$2306,4,FALSE)</f>
        <v>0</v>
      </c>
      <c r="L522" s="438">
        <f>VLOOKUP(H522,'Full Trial Balance'!$A$4:$G$2306,5,FALSE)</f>
        <v>0</v>
      </c>
      <c r="M522" s="438">
        <f>VLOOKUP(H522,'Full Trial Balance'!$A$4:$G$2306,6,FALSE)</f>
        <v>0</v>
      </c>
      <c r="N522" s="438">
        <f>VLOOKUP(H522,'Full Trial Balance'!$A$4:$G$2306,7,FALSE)</f>
        <v>0</v>
      </c>
      <c r="O522" s="485">
        <f t="shared" si="66"/>
        <v>0</v>
      </c>
    </row>
    <row r="523" spans="1:15" x14ac:dyDescent="0.25">
      <c r="A523" s="241" t="str">
        <f t="shared" si="61"/>
        <v>04-02</v>
      </c>
      <c r="B523" s="241" t="str">
        <f t="shared" si="62"/>
        <v>04</v>
      </c>
      <c r="C523" s="241" t="str">
        <f t="shared" si="63"/>
        <v>02</v>
      </c>
      <c r="D523" s="235" t="str">
        <f t="shared" si="64"/>
        <v>04-</v>
      </c>
      <c r="E523" s="241" t="s">
        <v>1250</v>
      </c>
      <c r="F523" s="241" t="str">
        <f t="shared" si="65"/>
        <v>-122-121</v>
      </c>
      <c r="G523" s="256" t="s">
        <v>1258</v>
      </c>
      <c r="H523" s="241" t="s">
        <v>398</v>
      </c>
      <c r="I523" s="435" t="s">
        <v>148</v>
      </c>
      <c r="J523" s="438">
        <f>VLOOKUP(H523,'Full Trial Balance'!$A$4:$G$2306,3,FALSE)</f>
        <v>500</v>
      </c>
      <c r="K523" s="438">
        <f>VLOOKUP(H523,'Full Trial Balance'!$A$4:$G$2306,4,FALSE)</f>
        <v>0</v>
      </c>
      <c r="L523" s="438">
        <f>VLOOKUP(H523,'Full Trial Balance'!$A$4:$G$2306,5,FALSE)</f>
        <v>0</v>
      </c>
      <c r="M523" s="438">
        <f>VLOOKUP(H523,'Full Trial Balance'!$A$4:$G$2306,6,FALSE)</f>
        <v>0</v>
      </c>
      <c r="N523" s="438">
        <f>VLOOKUP(H523,'Full Trial Balance'!$A$4:$G$2306,7,FALSE)</f>
        <v>0</v>
      </c>
      <c r="O523" s="485">
        <f t="shared" si="66"/>
        <v>0</v>
      </c>
    </row>
    <row r="524" spans="1:15" x14ac:dyDescent="0.25">
      <c r="A524" s="241" t="str">
        <f t="shared" si="61"/>
        <v>04-02</v>
      </c>
      <c r="B524" s="241" t="str">
        <f t="shared" si="62"/>
        <v>04</v>
      </c>
      <c r="C524" s="241" t="str">
        <f t="shared" si="63"/>
        <v>02</v>
      </c>
      <c r="D524" s="235" t="str">
        <f t="shared" si="64"/>
        <v>04-</v>
      </c>
      <c r="E524" s="241" t="s">
        <v>1250</v>
      </c>
      <c r="F524" s="241" t="str">
        <f t="shared" si="65"/>
        <v>-122-122</v>
      </c>
      <c r="G524" s="235" t="s">
        <v>1257</v>
      </c>
      <c r="H524" s="241" t="s">
        <v>399</v>
      </c>
      <c r="I524" s="435" t="s">
        <v>149</v>
      </c>
      <c r="J524" s="438">
        <f>VLOOKUP(H524,'Full Trial Balance'!$A$4:$G$2306,3,FALSE)</f>
        <v>1650</v>
      </c>
      <c r="K524" s="438">
        <f>VLOOKUP(H524,'Full Trial Balance'!$A$4:$G$2306,4,FALSE)</f>
        <v>0</v>
      </c>
      <c r="L524" s="438">
        <f>VLOOKUP(H524,'Full Trial Balance'!$A$4:$G$2306,5,FALSE)</f>
        <v>650.97</v>
      </c>
      <c r="M524" s="438">
        <f>VLOOKUP(H524,'Full Trial Balance'!$A$4:$G$2306,6,FALSE)</f>
        <v>0</v>
      </c>
      <c r="N524" s="438">
        <f>VLOOKUP(H524,'Full Trial Balance'!$A$4:$G$2306,7,FALSE)</f>
        <v>650.97</v>
      </c>
      <c r="O524" s="485">
        <f t="shared" si="66"/>
        <v>0</v>
      </c>
    </row>
    <row r="525" spans="1:15" x14ac:dyDescent="0.25">
      <c r="A525" s="241" t="str">
        <f t="shared" si="61"/>
        <v>04-02</v>
      </c>
      <c r="B525" s="241" t="str">
        <f t="shared" si="62"/>
        <v>04</v>
      </c>
      <c r="C525" s="241" t="str">
        <f t="shared" si="63"/>
        <v>02</v>
      </c>
      <c r="D525" s="235" t="str">
        <f t="shared" si="64"/>
        <v>04-</v>
      </c>
      <c r="E525" s="241" t="s">
        <v>1250</v>
      </c>
      <c r="F525" s="241" t="str">
        <f t="shared" si="65"/>
        <v>-123-121</v>
      </c>
      <c r="G525" s="235" t="s">
        <v>1258</v>
      </c>
      <c r="H525" s="241" t="s">
        <v>400</v>
      </c>
      <c r="I525" s="435" t="s">
        <v>936</v>
      </c>
      <c r="J525" s="438">
        <f>VLOOKUP(H525,'Full Trial Balance'!$A$4:$G$2306,3,FALSE)</f>
        <v>15500</v>
      </c>
      <c r="K525" s="438">
        <f>VLOOKUP(H525,'Full Trial Balance'!$A$4:$G$2306,4,FALSE)</f>
        <v>0</v>
      </c>
      <c r="L525" s="438">
        <f>VLOOKUP(H525,'Full Trial Balance'!$A$4:$G$2306,5,FALSE)</f>
        <v>7294.52</v>
      </c>
      <c r="M525" s="438">
        <f>VLOOKUP(H525,'Full Trial Balance'!$A$4:$G$2306,6,FALSE)</f>
        <v>0</v>
      </c>
      <c r="N525" s="438">
        <f>VLOOKUP(H525,'Full Trial Balance'!$A$4:$G$2306,7,FALSE)</f>
        <v>7294.52</v>
      </c>
      <c r="O525" s="485">
        <f t="shared" si="66"/>
        <v>0</v>
      </c>
    </row>
    <row r="526" spans="1:15" x14ac:dyDescent="0.25">
      <c r="A526" s="241" t="str">
        <f t="shared" si="61"/>
        <v>04-02</v>
      </c>
      <c r="B526" s="241" t="str">
        <f t="shared" si="62"/>
        <v>04</v>
      </c>
      <c r="C526" s="241" t="str">
        <f t="shared" si="63"/>
        <v>02</v>
      </c>
      <c r="D526" s="235" t="str">
        <f t="shared" si="64"/>
        <v>04-</v>
      </c>
      <c r="E526" s="241" t="s">
        <v>1250</v>
      </c>
      <c r="F526" s="241" t="str">
        <f t="shared" si="65"/>
        <v>-123-122</v>
      </c>
      <c r="G526" s="256" t="s">
        <v>1257</v>
      </c>
      <c r="H526" s="241" t="s">
        <v>401</v>
      </c>
      <c r="I526" s="435" t="s">
        <v>937</v>
      </c>
      <c r="J526" s="438">
        <f>VLOOKUP(H526,'Full Trial Balance'!$A$4:$G$2306,3,FALSE)</f>
        <v>950</v>
      </c>
      <c r="K526" s="438">
        <f>VLOOKUP(H526,'Full Trial Balance'!$A$4:$G$2306,4,FALSE)</f>
        <v>0</v>
      </c>
      <c r="L526" s="438">
        <f>VLOOKUP(H526,'Full Trial Balance'!$A$4:$G$2306,5,FALSE)</f>
        <v>527.55999999999995</v>
      </c>
      <c r="M526" s="438">
        <f>VLOOKUP(H526,'Full Trial Balance'!$A$4:$G$2306,6,FALSE)</f>
        <v>0</v>
      </c>
      <c r="N526" s="438">
        <f>VLOOKUP(H526,'Full Trial Balance'!$A$4:$G$2306,7,FALSE)</f>
        <v>527.55999999999995</v>
      </c>
      <c r="O526" s="485">
        <f t="shared" si="66"/>
        <v>0</v>
      </c>
    </row>
    <row r="527" spans="1:15" x14ac:dyDescent="0.25">
      <c r="A527" s="241" t="str">
        <f t="shared" si="61"/>
        <v>04-02</v>
      </c>
      <c r="B527" s="241" t="str">
        <f t="shared" si="62"/>
        <v>04</v>
      </c>
      <c r="C527" s="241" t="str">
        <f t="shared" si="63"/>
        <v>02</v>
      </c>
      <c r="D527" s="235" t="str">
        <f t="shared" si="64"/>
        <v>04-</v>
      </c>
      <c r="E527" s="241" t="s">
        <v>1250</v>
      </c>
      <c r="F527" s="241" t="str">
        <f t="shared" si="65"/>
        <v>-124-121</v>
      </c>
      <c r="G527" s="235" t="s">
        <v>1258</v>
      </c>
      <c r="H527" s="241" t="s">
        <v>960</v>
      </c>
      <c r="I527" s="435" t="s">
        <v>954</v>
      </c>
      <c r="J527" s="438">
        <f>VLOOKUP(H527,'Full Trial Balance'!$A$4:$G$2306,3,FALSE)</f>
        <v>500</v>
      </c>
      <c r="K527" s="438">
        <f>VLOOKUP(H527,'Full Trial Balance'!$A$4:$G$2306,4,FALSE)</f>
        <v>0</v>
      </c>
      <c r="L527" s="438">
        <f>VLOOKUP(H527,'Full Trial Balance'!$A$4:$G$2306,5,FALSE)</f>
        <v>0</v>
      </c>
      <c r="M527" s="438">
        <f>VLOOKUP(H527,'Full Trial Balance'!$A$4:$G$2306,6,FALSE)</f>
        <v>0</v>
      </c>
      <c r="N527" s="438">
        <f>VLOOKUP(H527,'Full Trial Balance'!$A$4:$G$2306,7,FALSE)</f>
        <v>0</v>
      </c>
      <c r="O527" s="485">
        <f t="shared" si="66"/>
        <v>0</v>
      </c>
    </row>
    <row r="528" spans="1:15" x14ac:dyDescent="0.25">
      <c r="A528" s="241" t="str">
        <f t="shared" si="61"/>
        <v>04-02</v>
      </c>
      <c r="B528" s="241" t="str">
        <f t="shared" si="62"/>
        <v>04</v>
      </c>
      <c r="C528" s="241" t="str">
        <f t="shared" si="63"/>
        <v>02</v>
      </c>
      <c r="D528" s="235" t="str">
        <f t="shared" si="64"/>
        <v>04-</v>
      </c>
      <c r="E528" s="241" t="s">
        <v>1250</v>
      </c>
      <c r="F528" s="241" t="str">
        <f t="shared" si="65"/>
        <v>-124-122</v>
      </c>
      <c r="G528" s="235" t="s">
        <v>1257</v>
      </c>
      <c r="H528" s="241" t="s">
        <v>961</v>
      </c>
      <c r="I528" s="435" t="s">
        <v>955</v>
      </c>
      <c r="J528" s="438">
        <f>VLOOKUP(H528,'Full Trial Balance'!$A$4:$G$2306,3,FALSE)</f>
        <v>750</v>
      </c>
      <c r="K528" s="438">
        <f>VLOOKUP(H528,'Full Trial Balance'!$A$4:$G$2306,4,FALSE)</f>
        <v>0</v>
      </c>
      <c r="L528" s="438">
        <f>VLOOKUP(H528,'Full Trial Balance'!$A$4:$G$2306,5,FALSE)</f>
        <v>0</v>
      </c>
      <c r="M528" s="438">
        <f>VLOOKUP(H528,'Full Trial Balance'!$A$4:$G$2306,6,FALSE)</f>
        <v>0</v>
      </c>
      <c r="N528" s="438">
        <f>VLOOKUP(H528,'Full Trial Balance'!$A$4:$G$2306,7,FALSE)</f>
        <v>0</v>
      </c>
      <c r="O528" s="485">
        <f t="shared" si="66"/>
        <v>0</v>
      </c>
    </row>
    <row r="529" spans="1:15" x14ac:dyDescent="0.25">
      <c r="A529" s="241" t="str">
        <f t="shared" si="61"/>
        <v>01-03</v>
      </c>
      <c r="B529" s="241" t="str">
        <f t="shared" si="62"/>
        <v>01</v>
      </c>
      <c r="C529" s="241" t="str">
        <f t="shared" si="63"/>
        <v>03</v>
      </c>
      <c r="D529" s="235" t="str">
        <f t="shared" si="64"/>
        <v>01-</v>
      </c>
      <c r="E529" s="241" t="s">
        <v>1250</v>
      </c>
      <c r="F529" s="241" t="str">
        <f t="shared" si="65"/>
        <v>-010-000</v>
      </c>
      <c r="G529" s="235" t="str">
        <f t="shared" ref="G529:G542" si="67">CONCATENATE(D529,E529,F529)</f>
        <v>01-0x-010-000</v>
      </c>
      <c r="H529" s="241" t="s">
        <v>430</v>
      </c>
      <c r="I529" s="435" t="s">
        <v>63</v>
      </c>
      <c r="J529" s="438">
        <f>VLOOKUP(H529,'Full Trial Balance'!$A$4:$G$2306,3,FALSE)</f>
        <v>44355.6</v>
      </c>
      <c r="K529" s="438">
        <f>VLOOKUP(H529,'Full Trial Balance'!$A$4:$G$2306,4,FALSE)</f>
        <v>0</v>
      </c>
      <c r="L529" s="438">
        <f>VLOOKUP(H529,'Full Trial Balance'!$A$4:$G$2306,5,FALSE)</f>
        <v>23092.59</v>
      </c>
      <c r="M529" s="438">
        <f>VLOOKUP(H529,'Full Trial Balance'!$A$4:$G$2306,6,FALSE)</f>
        <v>2053.2800000000002</v>
      </c>
      <c r="N529" s="438">
        <f>VLOOKUP(H529,'Full Trial Balance'!$A$4:$G$2306,7,FALSE)</f>
        <v>21039.31</v>
      </c>
      <c r="O529" s="485">
        <f t="shared" si="66"/>
        <v>0</v>
      </c>
    </row>
    <row r="530" spans="1:15" x14ac:dyDescent="0.25">
      <c r="A530" s="241" t="str">
        <f t="shared" si="61"/>
        <v>01-03</v>
      </c>
      <c r="B530" s="241" t="str">
        <f t="shared" si="62"/>
        <v>01</v>
      </c>
      <c r="C530" s="241" t="str">
        <f t="shared" si="63"/>
        <v>03</v>
      </c>
      <c r="D530" s="235" t="str">
        <f t="shared" si="64"/>
        <v>01-</v>
      </c>
      <c r="E530" s="241" t="s">
        <v>1250</v>
      </c>
      <c r="F530" s="241" t="str">
        <f t="shared" si="65"/>
        <v>-015-000</v>
      </c>
      <c r="G530" s="235" t="str">
        <f t="shared" si="67"/>
        <v>01-0x-015-000</v>
      </c>
      <c r="H530" s="241" t="s">
        <v>423</v>
      </c>
      <c r="I530" s="435" t="s">
        <v>37</v>
      </c>
      <c r="J530" s="438">
        <f>VLOOKUP(H530,'Full Trial Balance'!$A$4:$G$2306,3,FALSE)</f>
        <v>257.39999999999998</v>
      </c>
      <c r="K530" s="438">
        <f>VLOOKUP(H530,'Full Trial Balance'!$A$4:$G$2306,4,FALSE)</f>
        <v>0</v>
      </c>
      <c r="L530" s="438">
        <f>VLOOKUP(H530,'Full Trial Balance'!$A$4:$G$2306,5,FALSE)</f>
        <v>0</v>
      </c>
      <c r="M530" s="438">
        <f>VLOOKUP(H530,'Full Trial Balance'!$A$4:$G$2306,6,FALSE)</f>
        <v>0</v>
      </c>
      <c r="N530" s="438">
        <f>VLOOKUP(H530,'Full Trial Balance'!$A$4:$G$2306,7,FALSE)</f>
        <v>0</v>
      </c>
      <c r="O530" s="485">
        <f t="shared" si="66"/>
        <v>0</v>
      </c>
    </row>
    <row r="531" spans="1:15" x14ac:dyDescent="0.25">
      <c r="A531" s="241" t="str">
        <f t="shared" si="61"/>
        <v>01-03</v>
      </c>
      <c r="B531" s="241" t="str">
        <f t="shared" si="62"/>
        <v>01</v>
      </c>
      <c r="C531" s="241" t="str">
        <f t="shared" si="63"/>
        <v>03</v>
      </c>
      <c r="D531" s="235" t="str">
        <f t="shared" si="64"/>
        <v>01-</v>
      </c>
      <c r="E531" s="241" t="s">
        <v>1250</v>
      </c>
      <c r="F531" s="241" t="str">
        <f t="shared" si="65"/>
        <v>-020-202</v>
      </c>
      <c r="G531" s="235" t="str">
        <f t="shared" si="67"/>
        <v>01-0x-020-202</v>
      </c>
      <c r="H531" s="241" t="s">
        <v>412</v>
      </c>
      <c r="I531" s="435" t="s">
        <v>153</v>
      </c>
      <c r="J531" s="438">
        <f>VLOOKUP(H531,'Full Trial Balance'!$A$4:$G$2306,3,FALSE)</f>
        <v>2765.88</v>
      </c>
      <c r="K531" s="438">
        <f>VLOOKUP(H531,'Full Trial Balance'!$A$4:$G$2306,4,FALSE)</f>
        <v>0</v>
      </c>
      <c r="L531" s="438">
        <f>VLOOKUP(H531,'Full Trial Balance'!$A$4:$G$2306,5,FALSE)</f>
        <v>1391.42</v>
      </c>
      <c r="M531" s="438">
        <f>VLOOKUP(H531,'Full Trial Balance'!$A$4:$G$2306,6,FALSE)</f>
        <v>121.31</v>
      </c>
      <c r="N531" s="438">
        <f>VLOOKUP(H531,'Full Trial Balance'!$A$4:$G$2306,7,FALSE)</f>
        <v>1270.1099999999999</v>
      </c>
      <c r="O531" s="485">
        <f t="shared" si="66"/>
        <v>-1.7053025658242404E-13</v>
      </c>
    </row>
    <row r="532" spans="1:15" x14ac:dyDescent="0.25">
      <c r="A532" s="241" t="str">
        <f t="shared" si="61"/>
        <v>01-03</v>
      </c>
      <c r="B532" s="241" t="str">
        <f t="shared" si="62"/>
        <v>01</v>
      </c>
      <c r="C532" s="241" t="str">
        <f t="shared" si="63"/>
        <v>03</v>
      </c>
      <c r="D532" s="235" t="str">
        <f t="shared" si="64"/>
        <v>01-</v>
      </c>
      <c r="E532" s="241" t="s">
        <v>1250</v>
      </c>
      <c r="F532" s="241" t="str">
        <f t="shared" si="65"/>
        <v>-020-203</v>
      </c>
      <c r="G532" s="235" t="str">
        <f t="shared" si="67"/>
        <v>01-0x-020-203</v>
      </c>
      <c r="H532" s="241" t="s">
        <v>418</v>
      </c>
      <c r="I532" s="435" t="s">
        <v>154</v>
      </c>
      <c r="J532" s="438">
        <f>VLOOKUP(H532,'Full Trial Balance'!$A$4:$G$2306,3,FALSE)</f>
        <v>646.91999999999996</v>
      </c>
      <c r="K532" s="438">
        <f>VLOOKUP(H532,'Full Trial Balance'!$A$4:$G$2306,4,FALSE)</f>
        <v>0</v>
      </c>
      <c r="L532" s="438">
        <f>VLOOKUP(H532,'Full Trial Balance'!$A$4:$G$2306,5,FALSE)</f>
        <v>332.09</v>
      </c>
      <c r="M532" s="438">
        <f>VLOOKUP(H532,'Full Trial Balance'!$A$4:$G$2306,6,FALSE)</f>
        <v>28.38</v>
      </c>
      <c r="N532" s="438">
        <f>VLOOKUP(H532,'Full Trial Balance'!$A$4:$G$2306,7,FALSE)</f>
        <v>303.70999999999998</v>
      </c>
      <c r="O532" s="485">
        <f t="shared" si="66"/>
        <v>0</v>
      </c>
    </row>
    <row r="533" spans="1:15" x14ac:dyDescent="0.25">
      <c r="A533" s="241" t="str">
        <f t="shared" si="61"/>
        <v>01-03</v>
      </c>
      <c r="B533" s="241" t="str">
        <f t="shared" si="62"/>
        <v>01</v>
      </c>
      <c r="C533" s="241" t="str">
        <f t="shared" si="63"/>
        <v>03</v>
      </c>
      <c r="D533" s="235" t="str">
        <f t="shared" si="64"/>
        <v>01-</v>
      </c>
      <c r="E533" s="241" t="s">
        <v>1250</v>
      </c>
      <c r="F533" s="241" t="str">
        <f t="shared" si="65"/>
        <v>-020-204</v>
      </c>
      <c r="G533" s="235" t="str">
        <f t="shared" si="67"/>
        <v>01-0x-020-204</v>
      </c>
      <c r="H533" s="241" t="s">
        <v>419</v>
      </c>
      <c r="I533" s="435" t="s">
        <v>38</v>
      </c>
      <c r="J533" s="438">
        <f>VLOOKUP(H533,'Full Trial Balance'!$A$4:$G$2306,3,FALSE)</f>
        <v>3992.04</v>
      </c>
      <c r="K533" s="438">
        <f>VLOOKUP(H533,'Full Trial Balance'!$A$4:$G$2306,4,FALSE)</f>
        <v>0</v>
      </c>
      <c r="L533" s="438">
        <f>VLOOKUP(H533,'Full Trial Balance'!$A$4:$G$2306,5,FALSE)</f>
        <v>2051.8200000000002</v>
      </c>
      <c r="M533" s="438">
        <f>VLOOKUP(H533,'Full Trial Balance'!$A$4:$G$2306,6,FALSE)</f>
        <v>0</v>
      </c>
      <c r="N533" s="438">
        <f>VLOOKUP(H533,'Full Trial Balance'!$A$4:$G$2306,7,FALSE)</f>
        <v>2051.8200000000002</v>
      </c>
      <c r="O533" s="485">
        <f t="shared" si="66"/>
        <v>0</v>
      </c>
    </row>
    <row r="534" spans="1:15" x14ac:dyDescent="0.25">
      <c r="A534" s="241" t="str">
        <f t="shared" si="61"/>
        <v>01-03</v>
      </c>
      <c r="B534" s="241" t="str">
        <f t="shared" si="62"/>
        <v>01</v>
      </c>
      <c r="C534" s="241" t="str">
        <f t="shared" si="63"/>
        <v>03</v>
      </c>
      <c r="D534" s="235" t="str">
        <f t="shared" si="64"/>
        <v>01-</v>
      </c>
      <c r="E534" s="241" t="s">
        <v>1250</v>
      </c>
      <c r="F534" s="241" t="str">
        <f t="shared" si="65"/>
        <v>-020-205</v>
      </c>
      <c r="G534" s="235" t="str">
        <f t="shared" si="67"/>
        <v>01-0x-020-205</v>
      </c>
      <c r="H534" s="241" t="s">
        <v>409</v>
      </c>
      <c r="I534" s="435" t="s">
        <v>77</v>
      </c>
      <c r="J534" s="438">
        <f>VLOOKUP(H534,'Full Trial Balance'!$A$4:$G$2306,3,FALSE)</f>
        <v>207.36</v>
      </c>
      <c r="K534" s="438">
        <f>VLOOKUP(H534,'Full Trial Balance'!$A$4:$G$2306,4,FALSE)</f>
        <v>0</v>
      </c>
      <c r="L534" s="438">
        <f>VLOOKUP(H534,'Full Trial Balance'!$A$4:$G$2306,5,FALSE)</f>
        <v>106.92</v>
      </c>
      <c r="M534" s="438">
        <f>VLOOKUP(H534,'Full Trial Balance'!$A$4:$G$2306,6,FALSE)</f>
        <v>0</v>
      </c>
      <c r="N534" s="438">
        <f>VLOOKUP(H534,'Full Trial Balance'!$A$4:$G$2306,7,FALSE)</f>
        <v>106.92</v>
      </c>
      <c r="O534" s="485">
        <f t="shared" si="66"/>
        <v>0</v>
      </c>
    </row>
    <row r="535" spans="1:15" x14ac:dyDescent="0.25">
      <c r="A535" s="241" t="str">
        <f t="shared" si="61"/>
        <v>01-03</v>
      </c>
      <c r="B535" s="241" t="str">
        <f t="shared" si="62"/>
        <v>01</v>
      </c>
      <c r="C535" s="241" t="str">
        <f t="shared" si="63"/>
        <v>03</v>
      </c>
      <c r="D535" s="235" t="str">
        <f t="shared" si="64"/>
        <v>01-</v>
      </c>
      <c r="E535" s="241" t="s">
        <v>1250</v>
      </c>
      <c r="F535" s="241" t="str">
        <f t="shared" si="65"/>
        <v>-020-206</v>
      </c>
      <c r="G535" s="235" t="str">
        <f t="shared" si="67"/>
        <v>01-0x-020-206</v>
      </c>
      <c r="H535" s="241" t="s">
        <v>429</v>
      </c>
      <c r="I535" s="435" t="s">
        <v>78</v>
      </c>
      <c r="J535" s="438">
        <f>VLOOKUP(H535,'Full Trial Balance'!$A$4:$G$2306,3,FALSE)</f>
        <v>89.28</v>
      </c>
      <c r="K535" s="438">
        <f>VLOOKUP(H535,'Full Trial Balance'!$A$4:$G$2306,4,FALSE)</f>
        <v>0</v>
      </c>
      <c r="L535" s="438">
        <f>VLOOKUP(H535,'Full Trial Balance'!$A$4:$G$2306,5,FALSE)</f>
        <v>41.43</v>
      </c>
      <c r="M535" s="438">
        <f>VLOOKUP(H535,'Full Trial Balance'!$A$4:$G$2306,6,FALSE)</f>
        <v>0</v>
      </c>
      <c r="N535" s="438">
        <f>VLOOKUP(H535,'Full Trial Balance'!$A$4:$G$2306,7,FALSE)</f>
        <v>41.43</v>
      </c>
      <c r="O535" s="485">
        <f t="shared" si="66"/>
        <v>0</v>
      </c>
    </row>
    <row r="536" spans="1:15" x14ac:dyDescent="0.25">
      <c r="A536" s="241" t="str">
        <f t="shared" si="61"/>
        <v>01-03</v>
      </c>
      <c r="B536" s="241" t="str">
        <f t="shared" si="62"/>
        <v>01</v>
      </c>
      <c r="C536" s="241" t="str">
        <f t="shared" si="63"/>
        <v>03</v>
      </c>
      <c r="D536" s="235" t="str">
        <f t="shared" si="64"/>
        <v>01-</v>
      </c>
      <c r="E536" s="241" t="s">
        <v>1250</v>
      </c>
      <c r="F536" s="241" t="str">
        <f t="shared" si="65"/>
        <v>-020-208</v>
      </c>
      <c r="G536" s="235" t="str">
        <f t="shared" si="67"/>
        <v>01-0x-020-208</v>
      </c>
      <c r="H536" s="241" t="s">
        <v>431</v>
      </c>
      <c r="I536" s="435" t="s">
        <v>893</v>
      </c>
      <c r="J536" s="438">
        <f>VLOOKUP(H536,'Full Trial Balance'!$A$4:$G$2306,3,FALSE)</f>
        <v>1899.36</v>
      </c>
      <c r="K536" s="438">
        <f>VLOOKUP(H536,'Full Trial Balance'!$A$4:$G$2306,4,FALSE)</f>
        <v>0</v>
      </c>
      <c r="L536" s="438">
        <f>VLOOKUP(H536,'Full Trial Balance'!$A$4:$G$2306,5,FALSE)</f>
        <v>1015.36</v>
      </c>
      <c r="M536" s="438">
        <f>VLOOKUP(H536,'Full Trial Balance'!$A$4:$G$2306,6,FALSE)</f>
        <v>42.86</v>
      </c>
      <c r="N536" s="438">
        <f>VLOOKUP(H536,'Full Trial Balance'!$A$4:$G$2306,7,FALSE)</f>
        <v>972.5</v>
      </c>
      <c r="O536" s="485">
        <f t="shared" si="66"/>
        <v>0</v>
      </c>
    </row>
    <row r="537" spans="1:15" x14ac:dyDescent="0.25">
      <c r="A537" s="241" t="str">
        <f t="shared" si="61"/>
        <v>01-03</v>
      </c>
      <c r="B537" s="241" t="str">
        <f t="shared" si="62"/>
        <v>01</v>
      </c>
      <c r="C537" s="241" t="str">
        <f t="shared" si="63"/>
        <v>03</v>
      </c>
      <c r="D537" s="235" t="str">
        <f t="shared" si="64"/>
        <v>01-</v>
      </c>
      <c r="E537" s="241" t="s">
        <v>1250</v>
      </c>
      <c r="F537" s="241" t="str">
        <f t="shared" si="65"/>
        <v>-020-209</v>
      </c>
      <c r="G537" s="235" t="str">
        <f t="shared" si="67"/>
        <v>01-0x-020-209</v>
      </c>
      <c r="H537" s="241" t="s">
        <v>417</v>
      </c>
      <c r="I537" s="435" t="s">
        <v>39</v>
      </c>
      <c r="J537" s="438">
        <f>VLOOKUP(H537,'Full Trial Balance'!$A$4:$G$2306,3,FALSE)</f>
        <v>157.68</v>
      </c>
      <c r="K537" s="438">
        <f>VLOOKUP(H537,'Full Trial Balance'!$A$4:$G$2306,4,FALSE)</f>
        <v>0</v>
      </c>
      <c r="L537" s="438">
        <f>VLOOKUP(H537,'Full Trial Balance'!$A$4:$G$2306,5,FALSE)</f>
        <v>100.99</v>
      </c>
      <c r="M537" s="438">
        <f>VLOOKUP(H537,'Full Trial Balance'!$A$4:$G$2306,6,FALSE)</f>
        <v>28.27</v>
      </c>
      <c r="N537" s="438">
        <f>VLOOKUP(H537,'Full Trial Balance'!$A$4:$G$2306,7,FALSE)</f>
        <v>72.72</v>
      </c>
      <c r="O537" s="485">
        <f t="shared" si="66"/>
        <v>0</v>
      </c>
    </row>
    <row r="538" spans="1:15" x14ac:dyDescent="0.25">
      <c r="A538" s="241" t="str">
        <f t="shared" si="61"/>
        <v>01-03</v>
      </c>
      <c r="B538" s="241" t="str">
        <f t="shared" si="62"/>
        <v>01</v>
      </c>
      <c r="C538" s="241" t="str">
        <f t="shared" si="63"/>
        <v>03</v>
      </c>
      <c r="D538" s="235" t="str">
        <f t="shared" si="64"/>
        <v>01-</v>
      </c>
      <c r="E538" s="241" t="s">
        <v>1250</v>
      </c>
      <c r="F538" s="241" t="str">
        <f t="shared" si="65"/>
        <v>-020-210</v>
      </c>
      <c r="G538" s="235" t="str">
        <f t="shared" si="67"/>
        <v>01-0x-020-210</v>
      </c>
      <c r="H538" s="241" t="s">
        <v>428</v>
      </c>
      <c r="I538" s="435" t="s">
        <v>64</v>
      </c>
      <c r="J538" s="438">
        <f>VLOOKUP(H538,'Full Trial Balance'!$A$4:$G$2306,3,FALSE)</f>
        <v>144</v>
      </c>
      <c r="K538" s="438">
        <f>VLOOKUP(H538,'Full Trial Balance'!$A$4:$G$2306,4,FALSE)</f>
        <v>0</v>
      </c>
      <c r="L538" s="438">
        <f>VLOOKUP(H538,'Full Trial Balance'!$A$4:$G$2306,5,FALSE)</f>
        <v>95.78</v>
      </c>
      <c r="M538" s="438">
        <f>VLOOKUP(H538,'Full Trial Balance'!$A$4:$G$2306,6,FALSE)</f>
        <v>0</v>
      </c>
      <c r="N538" s="438">
        <f>VLOOKUP(H538,'Full Trial Balance'!$A$4:$G$2306,7,FALSE)</f>
        <v>95.78</v>
      </c>
      <c r="O538" s="485">
        <f t="shared" si="66"/>
        <v>0</v>
      </c>
    </row>
    <row r="539" spans="1:15" x14ac:dyDescent="0.25">
      <c r="A539" s="241" t="str">
        <f t="shared" si="61"/>
        <v>01-03</v>
      </c>
      <c r="B539" s="241" t="str">
        <f t="shared" si="62"/>
        <v>01</v>
      </c>
      <c r="C539" s="241" t="str">
        <f t="shared" si="63"/>
        <v>03</v>
      </c>
      <c r="D539" s="235" t="str">
        <f t="shared" si="64"/>
        <v>01-</v>
      </c>
      <c r="E539" s="241" t="s">
        <v>1250</v>
      </c>
      <c r="F539" s="241" t="str">
        <f t="shared" si="65"/>
        <v>-020-211</v>
      </c>
      <c r="G539" s="235" t="str">
        <f t="shared" si="67"/>
        <v>01-0x-020-211</v>
      </c>
      <c r="H539" s="241" t="s">
        <v>403</v>
      </c>
      <c r="I539" s="435" t="s">
        <v>65</v>
      </c>
      <c r="J539" s="438">
        <f>VLOOKUP(H539,'Full Trial Balance'!$A$4:$G$2306,3,FALSE)</f>
        <v>72</v>
      </c>
      <c r="K539" s="438">
        <f>VLOOKUP(H539,'Full Trial Balance'!$A$4:$G$2306,4,FALSE)</f>
        <v>0</v>
      </c>
      <c r="L539" s="438">
        <f>VLOOKUP(H539,'Full Trial Balance'!$A$4:$G$2306,5,FALSE)</f>
        <v>0</v>
      </c>
      <c r="M539" s="438">
        <f>VLOOKUP(H539,'Full Trial Balance'!$A$4:$G$2306,6,FALSE)</f>
        <v>0</v>
      </c>
      <c r="N539" s="438">
        <f>VLOOKUP(H539,'Full Trial Balance'!$A$4:$G$2306,7,FALSE)</f>
        <v>0</v>
      </c>
      <c r="O539" s="485">
        <f t="shared" si="66"/>
        <v>0</v>
      </c>
    </row>
    <row r="540" spans="1:15" x14ac:dyDescent="0.25">
      <c r="A540" s="241" t="str">
        <f t="shared" si="61"/>
        <v>01-03</v>
      </c>
      <c r="B540" s="241" t="str">
        <f t="shared" si="62"/>
        <v>01</v>
      </c>
      <c r="C540" s="241" t="str">
        <f t="shared" si="63"/>
        <v>03</v>
      </c>
      <c r="D540" s="235" t="str">
        <f t="shared" si="64"/>
        <v>01-</v>
      </c>
      <c r="E540" s="241" t="s">
        <v>1250</v>
      </c>
      <c r="F540" s="241" t="str">
        <f t="shared" si="65"/>
        <v>-020-212</v>
      </c>
      <c r="G540" s="235" t="str">
        <f t="shared" si="67"/>
        <v>01-0x-020-212</v>
      </c>
      <c r="H540" s="241" t="s">
        <v>427</v>
      </c>
      <c r="I540" s="435" t="s">
        <v>40</v>
      </c>
      <c r="J540" s="438">
        <f>VLOOKUP(H540,'Full Trial Balance'!$A$4:$G$2306,3,FALSE)</f>
        <v>237.96</v>
      </c>
      <c r="K540" s="438">
        <f>VLOOKUP(H540,'Full Trial Balance'!$A$4:$G$2306,4,FALSE)</f>
        <v>0</v>
      </c>
      <c r="L540" s="438">
        <f>VLOOKUP(H540,'Full Trial Balance'!$A$4:$G$2306,5,FALSE)</f>
        <v>57.65</v>
      </c>
      <c r="M540" s="438">
        <f>VLOOKUP(H540,'Full Trial Balance'!$A$4:$G$2306,6,FALSE)</f>
        <v>11.55</v>
      </c>
      <c r="N540" s="438">
        <f>VLOOKUP(H540,'Full Trial Balance'!$A$4:$G$2306,7,FALSE)</f>
        <v>46.1</v>
      </c>
      <c r="O540" s="485">
        <f t="shared" si="66"/>
        <v>0</v>
      </c>
    </row>
    <row r="541" spans="1:15" x14ac:dyDescent="0.25">
      <c r="A541" s="241" t="str">
        <f t="shared" si="61"/>
        <v>01-03</v>
      </c>
      <c r="B541" s="241" t="str">
        <f t="shared" si="62"/>
        <v>01</v>
      </c>
      <c r="C541" s="241" t="str">
        <f t="shared" si="63"/>
        <v>03</v>
      </c>
      <c r="D541" s="235" t="str">
        <f t="shared" si="64"/>
        <v>01-</v>
      </c>
      <c r="E541" s="241" t="s">
        <v>1250</v>
      </c>
      <c r="F541" s="241" t="str">
        <f t="shared" si="65"/>
        <v>-020-213</v>
      </c>
      <c r="G541" s="235" t="str">
        <f t="shared" si="67"/>
        <v>01-0x-020-213</v>
      </c>
      <c r="H541" s="241" t="s">
        <v>411</v>
      </c>
      <c r="I541" s="435" t="s">
        <v>41</v>
      </c>
      <c r="J541" s="438">
        <f>VLOOKUP(H541,'Full Trial Balance'!$A$4:$G$2306,3,FALSE)</f>
        <v>5.4</v>
      </c>
      <c r="K541" s="438">
        <f>VLOOKUP(H541,'Full Trial Balance'!$A$4:$G$2306,4,FALSE)</f>
        <v>0</v>
      </c>
      <c r="L541" s="438">
        <f>VLOOKUP(H541,'Full Trial Balance'!$A$4:$G$2306,5,FALSE)</f>
        <v>1.38</v>
      </c>
      <c r="M541" s="438">
        <f>VLOOKUP(H541,'Full Trial Balance'!$A$4:$G$2306,6,FALSE)</f>
        <v>0.27</v>
      </c>
      <c r="N541" s="438">
        <f>VLOOKUP(H541,'Full Trial Balance'!$A$4:$G$2306,7,FALSE)</f>
        <v>1.1100000000000001</v>
      </c>
      <c r="O541" s="485">
        <f t="shared" si="66"/>
        <v>0</v>
      </c>
    </row>
    <row r="542" spans="1:15" x14ac:dyDescent="0.25">
      <c r="A542" s="241" t="str">
        <f t="shared" si="61"/>
        <v>01-03</v>
      </c>
      <c r="B542" s="241" t="str">
        <f t="shared" si="62"/>
        <v>01</v>
      </c>
      <c r="C542" s="241" t="str">
        <f t="shared" si="63"/>
        <v>03</v>
      </c>
      <c r="D542" s="235" t="str">
        <f t="shared" si="64"/>
        <v>01-</v>
      </c>
      <c r="E542" s="241" t="s">
        <v>1250</v>
      </c>
      <c r="F542" s="241" t="str">
        <f t="shared" si="65"/>
        <v>-020-215</v>
      </c>
      <c r="G542" s="235" t="str">
        <f t="shared" si="67"/>
        <v>01-0x-020-215</v>
      </c>
      <c r="H542" s="241" t="s">
        <v>410</v>
      </c>
      <c r="I542" s="435" t="s">
        <v>42</v>
      </c>
      <c r="J542" s="438">
        <f>VLOOKUP(H542,'Full Trial Balance'!$A$4:$G$2306,3,FALSE)</f>
        <v>123.84</v>
      </c>
      <c r="K542" s="438">
        <f>VLOOKUP(H542,'Full Trial Balance'!$A$4:$G$2306,4,FALSE)</f>
        <v>0</v>
      </c>
      <c r="L542" s="438">
        <f>VLOOKUP(H542,'Full Trial Balance'!$A$4:$G$2306,5,FALSE)</f>
        <v>53.83</v>
      </c>
      <c r="M542" s="438">
        <f>VLOOKUP(H542,'Full Trial Balance'!$A$4:$G$2306,6,FALSE)</f>
        <v>2.88</v>
      </c>
      <c r="N542" s="438">
        <f>VLOOKUP(H542,'Full Trial Balance'!$A$4:$G$2306,7,FALSE)</f>
        <v>50.95</v>
      </c>
      <c r="O542" s="485">
        <f t="shared" si="66"/>
        <v>4.4408920985006262E-15</v>
      </c>
    </row>
    <row r="543" spans="1:15" x14ac:dyDescent="0.25">
      <c r="A543" s="241" t="str">
        <f t="shared" si="61"/>
        <v>01-03</v>
      </c>
      <c r="B543" s="241" t="str">
        <f t="shared" si="62"/>
        <v>01</v>
      </c>
      <c r="C543" s="241" t="str">
        <f t="shared" si="63"/>
        <v>03</v>
      </c>
      <c r="D543" s="235" t="str">
        <f t="shared" si="64"/>
        <v>01-</v>
      </c>
      <c r="E543" s="241" t="s">
        <v>1250</v>
      </c>
      <c r="F543" s="241" t="str">
        <f t="shared" si="65"/>
        <v>-020-217</v>
      </c>
      <c r="G543" s="489" t="s">
        <v>3433</v>
      </c>
      <c r="H543" s="241" t="s">
        <v>404</v>
      </c>
      <c r="I543" s="435" t="s">
        <v>43</v>
      </c>
      <c r="J543" s="438">
        <f>VLOOKUP(H543,'Full Trial Balance'!$A$4:$G$2306,3,FALSE)</f>
        <v>3614.4</v>
      </c>
      <c r="K543" s="438">
        <f>VLOOKUP(H543,'Full Trial Balance'!$A$4:$G$2306,4,FALSE)</f>
        <v>0</v>
      </c>
      <c r="L543" s="438">
        <f>VLOOKUP(H543,'Full Trial Balance'!$A$4:$G$2306,5,FALSE)</f>
        <v>1821.21</v>
      </c>
      <c r="M543" s="438">
        <f>VLOOKUP(H543,'Full Trial Balance'!$A$4:$G$2306,6,FALSE)</f>
        <v>141.51</v>
      </c>
      <c r="N543" s="438">
        <f>VLOOKUP(H543,'Full Trial Balance'!$A$4:$G$2306,7,FALSE)</f>
        <v>1679.7</v>
      </c>
      <c r="O543" s="485">
        <f t="shared" si="66"/>
        <v>0</v>
      </c>
    </row>
    <row r="544" spans="1:15" x14ac:dyDescent="0.25">
      <c r="A544" s="241" t="str">
        <f t="shared" si="61"/>
        <v>01-03</v>
      </c>
      <c r="B544" s="241" t="str">
        <f t="shared" si="62"/>
        <v>01</v>
      </c>
      <c r="C544" s="241" t="str">
        <f t="shared" si="63"/>
        <v>03</v>
      </c>
      <c r="D544" s="235" t="str">
        <f t="shared" si="64"/>
        <v>01-</v>
      </c>
      <c r="E544" s="241" t="s">
        <v>1250</v>
      </c>
      <c r="F544" s="241" t="str">
        <f t="shared" si="65"/>
        <v>-020-218</v>
      </c>
      <c r="G544" s="489" t="s">
        <v>3434</v>
      </c>
      <c r="H544" s="241" t="s">
        <v>405</v>
      </c>
      <c r="I544" s="435" t="s">
        <v>44</v>
      </c>
      <c r="J544" s="438">
        <f>VLOOKUP(H544,'Full Trial Balance'!$A$4:$G$2306,3,FALSE)</f>
        <v>2985.84</v>
      </c>
      <c r="K544" s="438">
        <f>VLOOKUP(H544,'Full Trial Balance'!$A$4:$G$2306,4,FALSE)</f>
        <v>0</v>
      </c>
      <c r="L544" s="438">
        <f>VLOOKUP(H544,'Full Trial Balance'!$A$4:$G$2306,5,FALSE)</f>
        <v>1510.55</v>
      </c>
      <c r="M544" s="438">
        <f>VLOOKUP(H544,'Full Trial Balance'!$A$4:$G$2306,6,FALSE)</f>
        <v>116.72</v>
      </c>
      <c r="N544" s="438">
        <f>VLOOKUP(H544,'Full Trial Balance'!$A$4:$G$2306,7,FALSE)</f>
        <v>1393.83</v>
      </c>
      <c r="O544" s="485">
        <f t="shared" si="66"/>
        <v>0</v>
      </c>
    </row>
    <row r="545" spans="1:15" x14ac:dyDescent="0.25">
      <c r="A545" s="241" t="str">
        <f t="shared" si="61"/>
        <v>01-03</v>
      </c>
      <c r="B545" s="241" t="str">
        <f t="shared" si="62"/>
        <v>01</v>
      </c>
      <c r="C545" s="241" t="str">
        <f t="shared" si="63"/>
        <v>03</v>
      </c>
      <c r="D545" s="235" t="str">
        <f t="shared" si="64"/>
        <v>01-</v>
      </c>
      <c r="E545" s="241" t="s">
        <v>1250</v>
      </c>
      <c r="F545" s="241" t="str">
        <f t="shared" si="65"/>
        <v>-020-220</v>
      </c>
      <c r="G545" s="235" t="str">
        <f>CONCATENATE(D545,E545,F545)</f>
        <v>01-0x-020-220</v>
      </c>
      <c r="H545" s="241" t="s">
        <v>422</v>
      </c>
      <c r="I545" s="435" t="s">
        <v>183</v>
      </c>
      <c r="J545" s="438">
        <f>VLOOKUP(H545,'Full Trial Balance'!$A$4:$G$2306,3,FALSE)</f>
        <v>2196</v>
      </c>
      <c r="K545" s="438">
        <f>VLOOKUP(H545,'Full Trial Balance'!$A$4:$G$2306,4,FALSE)</f>
        <v>0</v>
      </c>
      <c r="L545" s="438">
        <f>VLOOKUP(H545,'Full Trial Balance'!$A$4:$G$2306,5,FALSE)</f>
        <v>0</v>
      </c>
      <c r="M545" s="438">
        <f>VLOOKUP(H545,'Full Trial Balance'!$A$4:$G$2306,6,FALSE)</f>
        <v>0</v>
      </c>
      <c r="N545" s="438">
        <f>VLOOKUP(H545,'Full Trial Balance'!$A$4:$G$2306,7,FALSE)</f>
        <v>0</v>
      </c>
      <c r="O545" s="485">
        <f t="shared" si="66"/>
        <v>0</v>
      </c>
    </row>
    <row r="546" spans="1:15" x14ac:dyDescent="0.25">
      <c r="A546" s="241" t="str">
        <f t="shared" si="61"/>
        <v>01-03</v>
      </c>
      <c r="B546" s="241" t="str">
        <f t="shared" si="62"/>
        <v>01</v>
      </c>
      <c r="C546" s="241" t="str">
        <f t="shared" si="63"/>
        <v>03</v>
      </c>
      <c r="D546" s="235" t="str">
        <f t="shared" si="64"/>
        <v>01-</v>
      </c>
      <c r="E546" s="241" t="s">
        <v>1250</v>
      </c>
      <c r="F546" s="241" t="str">
        <f t="shared" si="65"/>
        <v>-033-102</v>
      </c>
      <c r="G546" s="256" t="s">
        <v>1252</v>
      </c>
      <c r="H546" s="241" t="s">
        <v>407</v>
      </c>
      <c r="I546" s="435" t="s">
        <v>66</v>
      </c>
      <c r="J546" s="438">
        <f>VLOOKUP(H546,'Full Trial Balance'!$A$4:$G$2306,3,FALSE)</f>
        <v>3681</v>
      </c>
      <c r="K546" s="438">
        <f>VLOOKUP(H546,'Full Trial Balance'!$A$4:$G$2306,4,FALSE)</f>
        <v>0</v>
      </c>
      <c r="L546" s="438">
        <f>VLOOKUP(H546,'Full Trial Balance'!$A$4:$G$2306,5,FALSE)</f>
        <v>977.82</v>
      </c>
      <c r="M546" s="438">
        <f>VLOOKUP(H546,'Full Trial Balance'!$A$4:$G$2306,6,FALSE)</f>
        <v>0</v>
      </c>
      <c r="N546" s="438">
        <f>VLOOKUP(H546,'Full Trial Balance'!$A$4:$G$2306,7,FALSE)</f>
        <v>977.82</v>
      </c>
      <c r="O546" s="485">
        <f t="shared" si="66"/>
        <v>0</v>
      </c>
    </row>
    <row r="547" spans="1:15" x14ac:dyDescent="0.25">
      <c r="A547" s="241" t="str">
        <f t="shared" si="61"/>
        <v>01-03</v>
      </c>
      <c r="B547" s="241" t="str">
        <f t="shared" si="62"/>
        <v>01</v>
      </c>
      <c r="C547" s="241" t="str">
        <f t="shared" si="63"/>
        <v>03</v>
      </c>
      <c r="D547" s="235" t="str">
        <f t="shared" si="64"/>
        <v>01-</v>
      </c>
      <c r="E547" s="241" t="s">
        <v>1250</v>
      </c>
      <c r="F547" s="241" t="str">
        <f t="shared" si="65"/>
        <v>-033-104</v>
      </c>
      <c r="G547" s="235" t="s">
        <v>1252</v>
      </c>
      <c r="H547" s="241" t="s">
        <v>414</v>
      </c>
      <c r="I547" s="435" t="s">
        <v>67</v>
      </c>
      <c r="J547" s="438">
        <f>VLOOKUP(H547,'Full Trial Balance'!$A$4:$G$2306,3,FALSE)</f>
        <v>1447.92</v>
      </c>
      <c r="K547" s="438">
        <f>VLOOKUP(H547,'Full Trial Balance'!$A$4:$G$2306,4,FALSE)</f>
        <v>0</v>
      </c>
      <c r="L547" s="438">
        <f>VLOOKUP(H547,'Full Trial Balance'!$A$4:$G$2306,5,FALSE)</f>
        <v>318.95999999999998</v>
      </c>
      <c r="M547" s="438">
        <f>VLOOKUP(H547,'Full Trial Balance'!$A$4:$G$2306,6,FALSE)</f>
        <v>0</v>
      </c>
      <c r="N547" s="438">
        <f>VLOOKUP(H547,'Full Trial Balance'!$A$4:$G$2306,7,FALSE)</f>
        <v>318.95999999999998</v>
      </c>
      <c r="O547" s="485">
        <f t="shared" si="66"/>
        <v>0</v>
      </c>
    </row>
    <row r="548" spans="1:15" x14ac:dyDescent="0.25">
      <c r="A548" s="241" t="str">
        <f t="shared" si="61"/>
        <v>01-03</v>
      </c>
      <c r="B548" s="241" t="str">
        <f t="shared" si="62"/>
        <v>01</v>
      </c>
      <c r="C548" s="241" t="str">
        <f t="shared" si="63"/>
        <v>03</v>
      </c>
      <c r="D548" s="235" t="str">
        <f t="shared" si="64"/>
        <v>01-</v>
      </c>
      <c r="E548" s="241" t="s">
        <v>1250</v>
      </c>
      <c r="F548" s="241" t="str">
        <f t="shared" si="65"/>
        <v>-033-106</v>
      </c>
      <c r="G548" s="235" t="s">
        <v>1453</v>
      </c>
      <c r="H548" s="241" t="s">
        <v>402</v>
      </c>
      <c r="I548" s="435" t="s">
        <v>1161</v>
      </c>
      <c r="J548" s="438">
        <f>VLOOKUP(H548,'Full Trial Balance'!$A$4:$G$2306,3,FALSE)</f>
        <v>209.88</v>
      </c>
      <c r="K548" s="438">
        <f>VLOOKUP(H548,'Full Trial Balance'!$A$4:$G$2306,4,FALSE)</f>
        <v>0</v>
      </c>
      <c r="L548" s="438">
        <f>VLOOKUP(H548,'Full Trial Balance'!$A$4:$G$2306,5,FALSE)</f>
        <v>0</v>
      </c>
      <c r="M548" s="438">
        <f>VLOOKUP(H548,'Full Trial Balance'!$A$4:$G$2306,6,FALSE)</f>
        <v>0</v>
      </c>
      <c r="N548" s="438">
        <f>VLOOKUP(H548,'Full Trial Balance'!$A$4:$G$2306,7,FALSE)</f>
        <v>0</v>
      </c>
      <c r="O548" s="485">
        <f t="shared" si="66"/>
        <v>0</v>
      </c>
    </row>
    <row r="549" spans="1:15" x14ac:dyDescent="0.25">
      <c r="A549" s="241" t="str">
        <f t="shared" si="61"/>
        <v>01-03</v>
      </c>
      <c r="B549" s="241" t="str">
        <f t="shared" si="62"/>
        <v>01</v>
      </c>
      <c r="C549" s="241" t="str">
        <f t="shared" si="63"/>
        <v>03</v>
      </c>
      <c r="D549" s="235" t="str">
        <f t="shared" si="64"/>
        <v>01-</v>
      </c>
      <c r="E549" s="241" t="s">
        <v>1250</v>
      </c>
      <c r="F549" s="241" t="str">
        <f t="shared" si="65"/>
        <v>-033-108</v>
      </c>
      <c r="G549" s="489" t="s">
        <v>1424</v>
      </c>
      <c r="H549" s="241" t="s">
        <v>408</v>
      </c>
      <c r="I549" s="435" t="s">
        <v>68</v>
      </c>
      <c r="J549" s="438">
        <f>VLOOKUP(H549,'Full Trial Balance'!$A$4:$G$2306,3,FALSE)</f>
        <v>21717</v>
      </c>
      <c r="K549" s="438">
        <f>VLOOKUP(H549,'Full Trial Balance'!$A$4:$G$2306,4,FALSE)</f>
        <v>0</v>
      </c>
      <c r="L549" s="438">
        <f>VLOOKUP(H549,'Full Trial Balance'!$A$4:$G$2306,5,FALSE)</f>
        <v>8304.6</v>
      </c>
      <c r="M549" s="438">
        <f>VLOOKUP(H549,'Full Trial Balance'!$A$4:$G$2306,6,FALSE)</f>
        <v>0</v>
      </c>
      <c r="N549" s="438">
        <f>VLOOKUP(H549,'Full Trial Balance'!$A$4:$G$2306,7,FALSE)</f>
        <v>8304.6</v>
      </c>
      <c r="O549" s="485">
        <f t="shared" si="66"/>
        <v>0</v>
      </c>
    </row>
    <row r="550" spans="1:15" x14ac:dyDescent="0.25">
      <c r="A550" s="241" t="str">
        <f t="shared" si="61"/>
        <v>01-03</v>
      </c>
      <c r="B550" s="241" t="str">
        <f t="shared" si="62"/>
        <v>01</v>
      </c>
      <c r="C550" s="241" t="str">
        <f t="shared" si="63"/>
        <v>03</v>
      </c>
      <c r="D550" s="235" t="str">
        <f t="shared" si="64"/>
        <v>01-</v>
      </c>
      <c r="E550" s="241" t="s">
        <v>1250</v>
      </c>
      <c r="F550" s="241" t="str">
        <f t="shared" si="65"/>
        <v>-034-004</v>
      </c>
      <c r="G550" s="235" t="s">
        <v>1453</v>
      </c>
      <c r="H550" s="241" t="s">
        <v>413</v>
      </c>
      <c r="I550" s="435" t="s">
        <v>49</v>
      </c>
      <c r="J550" s="438">
        <f>VLOOKUP(H550,'Full Trial Balance'!$A$4:$G$2306,3,FALSE)</f>
        <v>0</v>
      </c>
      <c r="K550" s="438">
        <f>VLOOKUP(H550,'Full Trial Balance'!$A$4:$G$2306,4,FALSE)</f>
        <v>0</v>
      </c>
      <c r="L550" s="438">
        <f>VLOOKUP(H550,'Full Trial Balance'!$A$4:$G$2306,5,FALSE)</f>
        <v>0</v>
      </c>
      <c r="M550" s="438">
        <f>VLOOKUP(H550,'Full Trial Balance'!$A$4:$G$2306,6,FALSE)</f>
        <v>0</v>
      </c>
      <c r="N550" s="438">
        <f>VLOOKUP(H550,'Full Trial Balance'!$A$4:$G$2306,7,FALSE)</f>
        <v>0</v>
      </c>
      <c r="O550" s="485">
        <f t="shared" si="66"/>
        <v>0</v>
      </c>
    </row>
    <row r="551" spans="1:15" x14ac:dyDescent="0.25">
      <c r="A551" s="241" t="str">
        <f t="shared" si="61"/>
        <v>01-03</v>
      </c>
      <c r="B551" s="241" t="str">
        <f t="shared" si="62"/>
        <v>01</v>
      </c>
      <c r="C551" s="241" t="str">
        <f t="shared" si="63"/>
        <v>03</v>
      </c>
      <c r="D551" s="235" t="str">
        <f t="shared" si="64"/>
        <v>01-</v>
      </c>
      <c r="E551" s="241" t="s">
        <v>1250</v>
      </c>
      <c r="F551" s="241" t="str">
        <f t="shared" si="65"/>
        <v>-034-008</v>
      </c>
      <c r="G551" s="235" t="s">
        <v>1424</v>
      </c>
      <c r="H551" s="241" t="s">
        <v>426</v>
      </c>
      <c r="I551" s="435" t="s">
        <v>69</v>
      </c>
      <c r="J551" s="438">
        <f>VLOOKUP(H551,'Full Trial Balance'!$A$4:$G$2306,3,FALSE)</f>
        <v>4462.92</v>
      </c>
      <c r="K551" s="438">
        <f>VLOOKUP(H551,'Full Trial Balance'!$A$4:$G$2306,4,FALSE)</f>
        <v>0</v>
      </c>
      <c r="L551" s="438">
        <f>VLOOKUP(H551,'Full Trial Balance'!$A$4:$G$2306,5,FALSE)</f>
        <v>1632.77</v>
      </c>
      <c r="M551" s="438">
        <f>VLOOKUP(H551,'Full Trial Balance'!$A$4:$G$2306,6,FALSE)</f>
        <v>0</v>
      </c>
      <c r="N551" s="438">
        <f>VLOOKUP(H551,'Full Trial Balance'!$A$4:$G$2306,7,FALSE)</f>
        <v>1632.77</v>
      </c>
      <c r="O551" s="485">
        <f t="shared" si="66"/>
        <v>0</v>
      </c>
    </row>
    <row r="552" spans="1:15" x14ac:dyDescent="0.25">
      <c r="A552" s="241" t="str">
        <f t="shared" si="61"/>
        <v>01-03</v>
      </c>
      <c r="B552" s="241" t="str">
        <f t="shared" si="62"/>
        <v>01</v>
      </c>
      <c r="C552" s="241" t="str">
        <f t="shared" si="63"/>
        <v>03</v>
      </c>
      <c r="D552" s="235" t="str">
        <f t="shared" si="64"/>
        <v>01-</v>
      </c>
      <c r="E552" s="241" t="s">
        <v>1250</v>
      </c>
      <c r="F552" s="241" t="str">
        <f t="shared" si="65"/>
        <v>-035-001</v>
      </c>
      <c r="G552" s="235" t="str">
        <f>CONCATENATE(D552,E552,F552)</f>
        <v>01-0x-035-001</v>
      </c>
      <c r="H552" s="241" t="s">
        <v>424</v>
      </c>
      <c r="I552" s="435" t="s">
        <v>70</v>
      </c>
      <c r="J552" s="438">
        <f>VLOOKUP(H552,'Full Trial Balance'!$A$4:$G$2306,3,FALSE)</f>
        <v>361.8</v>
      </c>
      <c r="K552" s="438">
        <f>VLOOKUP(H552,'Full Trial Balance'!$A$4:$G$2306,4,FALSE)</f>
        <v>0</v>
      </c>
      <c r="L552" s="438">
        <f>VLOOKUP(H552,'Full Trial Balance'!$A$4:$G$2306,5,FALSE)</f>
        <v>0</v>
      </c>
      <c r="M552" s="438">
        <f>VLOOKUP(H552,'Full Trial Balance'!$A$4:$G$2306,6,FALSE)</f>
        <v>0</v>
      </c>
      <c r="N552" s="438">
        <f>VLOOKUP(H552,'Full Trial Balance'!$A$4:$G$2306,7,FALSE)</f>
        <v>0</v>
      </c>
      <c r="O552" s="485">
        <f t="shared" si="66"/>
        <v>0</v>
      </c>
    </row>
    <row r="553" spans="1:15" x14ac:dyDescent="0.25">
      <c r="A553" s="241" t="str">
        <f t="shared" si="61"/>
        <v>01-03</v>
      </c>
      <c r="B553" s="241" t="str">
        <f t="shared" si="62"/>
        <v>01</v>
      </c>
      <c r="C553" s="241" t="str">
        <f t="shared" si="63"/>
        <v>03</v>
      </c>
      <c r="D553" s="235" t="str">
        <f t="shared" si="64"/>
        <v>01-</v>
      </c>
      <c r="E553" s="241" t="s">
        <v>1250</v>
      </c>
      <c r="F553" s="241" t="str">
        <f t="shared" si="65"/>
        <v>-035-002</v>
      </c>
      <c r="G553" s="235" t="str">
        <f>CONCATENATE(D553,E553,F553)</f>
        <v>01-0x-035-002</v>
      </c>
      <c r="H553" s="241" t="s">
        <v>425</v>
      </c>
      <c r="I553" s="435" t="s">
        <v>47</v>
      </c>
      <c r="J553" s="438">
        <f>VLOOKUP(H553,'Full Trial Balance'!$A$4:$G$2306,3,FALSE)</f>
        <v>2797.92</v>
      </c>
      <c r="K553" s="438">
        <f>VLOOKUP(H553,'Full Trial Balance'!$A$4:$G$2306,4,FALSE)</f>
        <v>0</v>
      </c>
      <c r="L553" s="438">
        <f>VLOOKUP(H553,'Full Trial Balance'!$A$4:$G$2306,5,FALSE)</f>
        <v>0</v>
      </c>
      <c r="M553" s="438">
        <f>VLOOKUP(H553,'Full Trial Balance'!$A$4:$G$2306,6,FALSE)</f>
        <v>0</v>
      </c>
      <c r="N553" s="438">
        <f>VLOOKUP(H553,'Full Trial Balance'!$A$4:$G$2306,7,FALSE)</f>
        <v>0</v>
      </c>
      <c r="O553" s="485">
        <f t="shared" si="66"/>
        <v>0</v>
      </c>
    </row>
    <row r="554" spans="1:15" x14ac:dyDescent="0.25">
      <c r="A554" s="241" t="str">
        <f t="shared" si="61"/>
        <v>01-03</v>
      </c>
      <c r="B554" s="241" t="str">
        <f t="shared" si="62"/>
        <v>01</v>
      </c>
      <c r="C554" s="241" t="str">
        <f t="shared" si="63"/>
        <v>03</v>
      </c>
      <c r="D554" s="235" t="str">
        <f t="shared" si="64"/>
        <v>01-</v>
      </c>
      <c r="E554" s="241" t="s">
        <v>1250</v>
      </c>
      <c r="F554" s="241" t="str">
        <f t="shared" si="65"/>
        <v>-035-003</v>
      </c>
      <c r="G554" s="235" t="s">
        <v>1453</v>
      </c>
      <c r="H554" s="241" t="s">
        <v>421</v>
      </c>
      <c r="I554" s="435" t="s">
        <v>48</v>
      </c>
      <c r="J554" s="438">
        <f>VLOOKUP(H554,'Full Trial Balance'!$A$4:$G$2306,3,FALSE)</f>
        <v>227.88</v>
      </c>
      <c r="K554" s="438">
        <f>VLOOKUP(H554,'Full Trial Balance'!$A$4:$G$2306,4,FALSE)</f>
        <v>0</v>
      </c>
      <c r="L554" s="438">
        <f>VLOOKUP(H554,'Full Trial Balance'!$A$4:$G$2306,5,FALSE)</f>
        <v>0</v>
      </c>
      <c r="M554" s="438">
        <f>VLOOKUP(H554,'Full Trial Balance'!$A$4:$G$2306,6,FALSE)</f>
        <v>0</v>
      </c>
      <c r="N554" s="438">
        <f>VLOOKUP(H554,'Full Trial Balance'!$A$4:$G$2306,7,FALSE)</f>
        <v>0</v>
      </c>
      <c r="O554" s="485">
        <f t="shared" si="66"/>
        <v>0</v>
      </c>
    </row>
    <row r="555" spans="1:15" x14ac:dyDescent="0.25">
      <c r="A555" s="241" t="str">
        <f t="shared" si="61"/>
        <v>01-03</v>
      </c>
      <c r="B555" s="241" t="str">
        <f t="shared" si="62"/>
        <v>01</v>
      </c>
      <c r="C555" s="241" t="str">
        <f t="shared" si="63"/>
        <v>03</v>
      </c>
      <c r="D555" s="235" t="str">
        <f t="shared" si="64"/>
        <v>01-</v>
      </c>
      <c r="E555" s="241" t="s">
        <v>1250</v>
      </c>
      <c r="F555" s="241" t="str">
        <f t="shared" si="65"/>
        <v>-035-004</v>
      </c>
      <c r="G555" s="235" t="s">
        <v>1453</v>
      </c>
      <c r="H555" s="241" t="s">
        <v>1105</v>
      </c>
      <c r="I555" s="435" t="s">
        <v>49</v>
      </c>
      <c r="J555" s="438">
        <f>VLOOKUP(H555,'Full Trial Balance'!$A$4:$G$2306,3,FALSE)</f>
        <v>3481.92</v>
      </c>
      <c r="K555" s="438">
        <f>VLOOKUP(H555,'Full Trial Balance'!$A$4:$G$2306,4,FALSE)</f>
        <v>0</v>
      </c>
      <c r="L555" s="438">
        <f>VLOOKUP(H555,'Full Trial Balance'!$A$4:$G$2306,5,FALSE)</f>
        <v>795.68</v>
      </c>
      <c r="M555" s="438">
        <f>VLOOKUP(H555,'Full Trial Balance'!$A$4:$G$2306,6,FALSE)</f>
        <v>0</v>
      </c>
      <c r="N555" s="438">
        <f>VLOOKUP(H555,'Full Trial Balance'!$A$4:$G$2306,7,FALSE)</f>
        <v>795.68</v>
      </c>
      <c r="O555" s="485">
        <f t="shared" si="66"/>
        <v>0</v>
      </c>
    </row>
    <row r="556" spans="1:15" x14ac:dyDescent="0.25">
      <c r="A556" s="241" t="str">
        <f t="shared" si="61"/>
        <v>01-03</v>
      </c>
      <c r="B556" s="241" t="str">
        <f t="shared" si="62"/>
        <v>01</v>
      </c>
      <c r="C556" s="241" t="str">
        <f t="shared" si="63"/>
        <v>03</v>
      </c>
      <c r="D556" s="235" t="str">
        <f t="shared" si="64"/>
        <v>01-</v>
      </c>
      <c r="E556" s="241" t="s">
        <v>1250</v>
      </c>
      <c r="F556" s="241" t="str">
        <f t="shared" si="65"/>
        <v>-040-025</v>
      </c>
      <c r="G556" s="235" t="str">
        <f>CONCATENATE(D556,E556,F556)</f>
        <v>01-0x-040-025</v>
      </c>
      <c r="H556" s="241" t="s">
        <v>420</v>
      </c>
      <c r="I556" s="435" t="s">
        <v>54</v>
      </c>
      <c r="J556" s="438">
        <f>VLOOKUP(H556,'Full Trial Balance'!$A$4:$G$2306,3,FALSE)</f>
        <v>941.04</v>
      </c>
      <c r="K556" s="438">
        <f>VLOOKUP(H556,'Full Trial Balance'!$A$4:$G$2306,4,FALSE)</f>
        <v>0</v>
      </c>
      <c r="L556" s="438">
        <f>VLOOKUP(H556,'Full Trial Balance'!$A$4:$G$2306,5,FALSE)</f>
        <v>731.52</v>
      </c>
      <c r="M556" s="438">
        <f>VLOOKUP(H556,'Full Trial Balance'!$A$4:$G$2306,6,FALSE)</f>
        <v>0</v>
      </c>
      <c r="N556" s="438">
        <f>VLOOKUP(H556,'Full Trial Balance'!$A$4:$G$2306,7,FALSE)</f>
        <v>731.52</v>
      </c>
      <c r="O556" s="485">
        <f t="shared" si="66"/>
        <v>0</v>
      </c>
    </row>
    <row r="557" spans="1:15" x14ac:dyDescent="0.25">
      <c r="A557" s="241" t="str">
        <f t="shared" si="61"/>
        <v>01-03</v>
      </c>
      <c r="B557" s="241" t="str">
        <f t="shared" si="62"/>
        <v>01</v>
      </c>
      <c r="C557" s="241" t="str">
        <f t="shared" si="63"/>
        <v>03</v>
      </c>
      <c r="D557" s="235" t="str">
        <f t="shared" si="64"/>
        <v>01-</v>
      </c>
      <c r="E557" s="241" t="s">
        <v>1250</v>
      </c>
      <c r="F557" s="241" t="str">
        <f t="shared" si="65"/>
        <v>-040-026</v>
      </c>
      <c r="G557" s="235" t="str">
        <f>CONCATENATE(D557,E557,F557)</f>
        <v>01-0x-040-026</v>
      </c>
      <c r="H557" s="241" t="s">
        <v>416</v>
      </c>
      <c r="I557" s="435" t="s">
        <v>72</v>
      </c>
      <c r="J557" s="438">
        <f>VLOOKUP(H557,'Full Trial Balance'!$A$4:$G$2306,3,FALSE)</f>
        <v>3735.36</v>
      </c>
      <c r="K557" s="438">
        <f>VLOOKUP(H557,'Full Trial Balance'!$A$4:$G$2306,4,FALSE)</f>
        <v>0</v>
      </c>
      <c r="L557" s="438">
        <f>VLOOKUP(H557,'Full Trial Balance'!$A$4:$G$2306,5,FALSE)</f>
        <v>2088</v>
      </c>
      <c r="M557" s="438">
        <f>VLOOKUP(H557,'Full Trial Balance'!$A$4:$G$2306,6,FALSE)</f>
        <v>0</v>
      </c>
      <c r="N557" s="438">
        <f>VLOOKUP(H557,'Full Trial Balance'!$A$4:$G$2306,7,FALSE)</f>
        <v>2088</v>
      </c>
      <c r="O557" s="485">
        <f t="shared" si="66"/>
        <v>0</v>
      </c>
    </row>
    <row r="558" spans="1:15" x14ac:dyDescent="0.25">
      <c r="A558" s="430" t="str">
        <f t="shared" si="61"/>
        <v>01-03</v>
      </c>
      <c r="B558" s="430" t="str">
        <f t="shared" si="62"/>
        <v>01</v>
      </c>
      <c r="C558" s="430" t="str">
        <f t="shared" si="63"/>
        <v>03</v>
      </c>
      <c r="D558" s="429" t="str">
        <f t="shared" si="64"/>
        <v>01-</v>
      </c>
      <c r="E558" s="430" t="s">
        <v>1250</v>
      </c>
      <c r="F558" s="430" t="str">
        <f t="shared" si="65"/>
        <v>-040-028</v>
      </c>
      <c r="G558" s="429" t="s">
        <v>1424</v>
      </c>
      <c r="H558" s="241" t="s">
        <v>406</v>
      </c>
      <c r="I558" s="435" t="s">
        <v>73</v>
      </c>
      <c r="J558" s="438">
        <f>VLOOKUP(H558,'Full Trial Balance'!$A$4:$G$2306,3,FALSE)</f>
        <v>191.88</v>
      </c>
      <c r="K558" s="438">
        <f>VLOOKUP(H558,'Full Trial Balance'!$A$4:$G$2306,4,FALSE)</f>
        <v>0</v>
      </c>
      <c r="L558" s="438">
        <f>VLOOKUP(H558,'Full Trial Balance'!$A$4:$G$2306,5,FALSE)</f>
        <v>129.6</v>
      </c>
      <c r="M558" s="438">
        <f>VLOOKUP(H558,'Full Trial Balance'!$A$4:$G$2306,6,FALSE)</f>
        <v>0</v>
      </c>
      <c r="N558" s="438">
        <f>VLOOKUP(H558,'Full Trial Balance'!$A$4:$G$2306,7,FALSE)</f>
        <v>129.6</v>
      </c>
      <c r="O558" s="485">
        <f t="shared" si="66"/>
        <v>0</v>
      </c>
    </row>
    <row r="559" spans="1:15" x14ac:dyDescent="0.25">
      <c r="A559" s="241" t="str">
        <f t="shared" si="61"/>
        <v>01-03</v>
      </c>
      <c r="B559" s="241" t="str">
        <f t="shared" si="62"/>
        <v>01</v>
      </c>
      <c r="C559" s="241" t="str">
        <f t="shared" si="63"/>
        <v>03</v>
      </c>
      <c r="D559" s="235" t="str">
        <f t="shared" si="64"/>
        <v>01-</v>
      </c>
      <c r="E559" s="241" t="s">
        <v>1250</v>
      </c>
      <c r="F559" s="241" t="str">
        <f t="shared" si="65"/>
        <v>-058-123</v>
      </c>
      <c r="G559" s="489" t="s">
        <v>1252</v>
      </c>
      <c r="H559" s="241" t="s">
        <v>1173</v>
      </c>
      <c r="I559" s="435" t="s">
        <v>74</v>
      </c>
      <c r="J559" s="438">
        <f>VLOOKUP(H559,'Full Trial Balance'!$A$4:$G$2306,3,FALSE)</f>
        <v>0</v>
      </c>
      <c r="K559" s="438">
        <f>VLOOKUP(H559,'Full Trial Balance'!$A$4:$G$2306,4,FALSE)</f>
        <v>0</v>
      </c>
      <c r="L559" s="438">
        <f>VLOOKUP(H559,'Full Trial Balance'!$A$4:$G$2306,5,FALSE)</f>
        <v>0</v>
      </c>
      <c r="M559" s="438">
        <f>VLOOKUP(H559,'Full Trial Balance'!$A$4:$G$2306,6,FALSE)</f>
        <v>0</v>
      </c>
      <c r="N559" s="438">
        <f>VLOOKUP(H559,'Full Trial Balance'!$A$4:$G$2306,7,FALSE)</f>
        <v>0</v>
      </c>
      <c r="O559" s="485">
        <f t="shared" si="66"/>
        <v>0</v>
      </c>
    </row>
    <row r="560" spans="1:15" x14ac:dyDescent="0.25">
      <c r="A560" s="241" t="str">
        <f t="shared" si="61"/>
        <v>01-03</v>
      </c>
      <c r="B560" s="241" t="str">
        <f t="shared" si="62"/>
        <v>01</v>
      </c>
      <c r="C560" s="241" t="str">
        <f t="shared" si="63"/>
        <v>03</v>
      </c>
      <c r="D560" s="489" t="str">
        <f t="shared" si="64"/>
        <v>01-</v>
      </c>
      <c r="E560" s="241" t="s">
        <v>1250</v>
      </c>
      <c r="F560" s="241" t="str">
        <f t="shared" si="65"/>
        <v>-060-112</v>
      </c>
      <c r="G560" s="489" t="s">
        <v>1252</v>
      </c>
      <c r="H560" s="241" t="s">
        <v>415</v>
      </c>
      <c r="I560" s="435" t="s">
        <v>1174</v>
      </c>
      <c r="J560" s="438">
        <f>VLOOKUP(H560,'Full Trial Balance'!$A$4:$G$2306,3,FALSE)</f>
        <v>3716.64</v>
      </c>
      <c r="K560" s="438">
        <f>VLOOKUP(H560,'Full Trial Balance'!$A$4:$G$2306,4,FALSE)</f>
        <v>0</v>
      </c>
      <c r="L560" s="438">
        <f>VLOOKUP(H560,'Full Trial Balance'!$A$4:$G$2306,5,FALSE)</f>
        <v>2903.39</v>
      </c>
      <c r="M560" s="438">
        <f>VLOOKUP(H560,'Full Trial Balance'!$A$4:$G$2306,6,FALSE)</f>
        <v>0</v>
      </c>
      <c r="N560" s="438">
        <f>VLOOKUP(H560,'Full Trial Balance'!$A$4:$G$2306,7,FALSE)</f>
        <v>2903.39</v>
      </c>
      <c r="O560" s="485">
        <f t="shared" si="66"/>
        <v>0</v>
      </c>
    </row>
    <row r="561" spans="1:15" x14ac:dyDescent="0.25">
      <c r="A561" s="241" t="str">
        <f t="shared" si="61"/>
        <v>03-03</v>
      </c>
      <c r="B561" s="241" t="str">
        <f t="shared" si="62"/>
        <v>03</v>
      </c>
      <c r="C561" s="241" t="str">
        <f t="shared" si="63"/>
        <v>03</v>
      </c>
      <c r="D561" s="489" t="str">
        <f t="shared" si="64"/>
        <v>03-</v>
      </c>
      <c r="E561" s="241" t="s">
        <v>1250</v>
      </c>
      <c r="F561" s="241" t="str">
        <f t="shared" si="65"/>
        <v>-010-000</v>
      </c>
      <c r="G561" s="489" t="str">
        <f t="shared" ref="G561:G574" si="68">CONCATENATE(D561,E561,F561)</f>
        <v>03-0x-010-000</v>
      </c>
      <c r="H561" s="241" t="s">
        <v>461</v>
      </c>
      <c r="I561" s="435" t="s">
        <v>63</v>
      </c>
      <c r="J561" s="438">
        <f>VLOOKUP(H561,'Full Trial Balance'!$A$4:$G$2306,3,FALSE)</f>
        <v>78854.399999999994</v>
      </c>
      <c r="K561" s="438">
        <f>VLOOKUP(H561,'Full Trial Balance'!$A$4:$G$2306,4,FALSE)</f>
        <v>0</v>
      </c>
      <c r="L561" s="438">
        <f>VLOOKUP(H561,'Full Trial Balance'!$A$4:$G$2306,5,FALSE)</f>
        <v>40110.47</v>
      </c>
      <c r="M561" s="438">
        <f>VLOOKUP(H561,'Full Trial Balance'!$A$4:$G$2306,6,FALSE)</f>
        <v>3461.99</v>
      </c>
      <c r="N561" s="438">
        <f>VLOOKUP(H561,'Full Trial Balance'!$A$4:$G$2306,7,FALSE)</f>
        <v>36648.480000000003</v>
      </c>
      <c r="O561" s="485">
        <f t="shared" si="66"/>
        <v>0</v>
      </c>
    </row>
    <row r="562" spans="1:15" x14ac:dyDescent="0.25">
      <c r="A562" s="241" t="str">
        <f t="shared" si="61"/>
        <v>03-03</v>
      </c>
      <c r="B562" s="241" t="str">
        <f t="shared" si="62"/>
        <v>03</v>
      </c>
      <c r="C562" s="241" t="str">
        <f t="shared" si="63"/>
        <v>03</v>
      </c>
      <c r="D562" s="489" t="str">
        <f t="shared" si="64"/>
        <v>03-</v>
      </c>
      <c r="E562" s="241" t="s">
        <v>1250</v>
      </c>
      <c r="F562" s="241" t="str">
        <f t="shared" si="65"/>
        <v>-015-000</v>
      </c>
      <c r="G562" s="489" t="str">
        <f t="shared" si="68"/>
        <v>03-0x-015-000</v>
      </c>
      <c r="H562" s="241" t="s">
        <v>454</v>
      </c>
      <c r="I562" s="435" t="s">
        <v>37</v>
      </c>
      <c r="J562" s="438">
        <f>VLOOKUP(H562,'Full Trial Balance'!$A$4:$G$2306,3,FALSE)</f>
        <v>457.6</v>
      </c>
      <c r="K562" s="438">
        <f>VLOOKUP(H562,'Full Trial Balance'!$A$4:$G$2306,4,FALSE)</f>
        <v>0</v>
      </c>
      <c r="L562" s="438">
        <f>VLOOKUP(H562,'Full Trial Balance'!$A$4:$G$2306,5,FALSE)</f>
        <v>0</v>
      </c>
      <c r="M562" s="438">
        <f>VLOOKUP(H562,'Full Trial Balance'!$A$4:$G$2306,6,FALSE)</f>
        <v>0</v>
      </c>
      <c r="N562" s="438">
        <f>VLOOKUP(H562,'Full Trial Balance'!$A$4:$G$2306,7,FALSE)</f>
        <v>0</v>
      </c>
      <c r="O562" s="485">
        <f t="shared" si="66"/>
        <v>0</v>
      </c>
    </row>
    <row r="563" spans="1:15" x14ac:dyDescent="0.25">
      <c r="A563" s="241" t="str">
        <f t="shared" si="61"/>
        <v>03-03</v>
      </c>
      <c r="B563" s="241" t="str">
        <f t="shared" si="62"/>
        <v>03</v>
      </c>
      <c r="C563" s="241" t="str">
        <f t="shared" si="63"/>
        <v>03</v>
      </c>
      <c r="D563" s="489" t="str">
        <f t="shared" si="64"/>
        <v>03-</v>
      </c>
      <c r="E563" s="241" t="s">
        <v>1250</v>
      </c>
      <c r="F563" s="241" t="str">
        <f t="shared" si="65"/>
        <v>-020-202</v>
      </c>
      <c r="G563" s="489" t="str">
        <f t="shared" si="68"/>
        <v>03-0x-020-202</v>
      </c>
      <c r="H563" s="241" t="s">
        <v>444</v>
      </c>
      <c r="I563" s="435" t="s">
        <v>153</v>
      </c>
      <c r="J563" s="438">
        <f>VLOOKUP(H563,'Full Trial Balance'!$A$4:$G$2306,3,FALSE)</f>
        <v>4917.12</v>
      </c>
      <c r="K563" s="438">
        <f>VLOOKUP(H563,'Full Trial Balance'!$A$4:$G$2306,4,FALSE)</f>
        <v>0</v>
      </c>
      <c r="L563" s="438">
        <f>VLOOKUP(H563,'Full Trial Balance'!$A$4:$G$2306,5,FALSE)</f>
        <v>2424.5100000000002</v>
      </c>
      <c r="M563" s="438">
        <f>VLOOKUP(H563,'Full Trial Balance'!$A$4:$G$2306,6,FALSE)</f>
        <v>204.21</v>
      </c>
      <c r="N563" s="438">
        <f>VLOOKUP(H563,'Full Trial Balance'!$A$4:$G$2306,7,FALSE)</f>
        <v>2220.3000000000002</v>
      </c>
      <c r="O563" s="485">
        <f t="shared" si="66"/>
        <v>0</v>
      </c>
    </row>
    <row r="564" spans="1:15" x14ac:dyDescent="0.25">
      <c r="A564" s="241" t="str">
        <f t="shared" si="61"/>
        <v>03-03</v>
      </c>
      <c r="B564" s="241" t="str">
        <f t="shared" si="62"/>
        <v>03</v>
      </c>
      <c r="C564" s="241" t="str">
        <f t="shared" si="63"/>
        <v>03</v>
      </c>
      <c r="D564" s="489" t="str">
        <f t="shared" si="64"/>
        <v>03-</v>
      </c>
      <c r="E564" s="241" t="s">
        <v>1250</v>
      </c>
      <c r="F564" s="241" t="str">
        <f t="shared" si="65"/>
        <v>-020-203</v>
      </c>
      <c r="G564" s="489" t="str">
        <f t="shared" si="68"/>
        <v>03-0x-020-203</v>
      </c>
      <c r="H564" s="241" t="s">
        <v>443</v>
      </c>
      <c r="I564" s="435" t="s">
        <v>154</v>
      </c>
      <c r="J564" s="438">
        <f>VLOOKUP(H564,'Full Trial Balance'!$A$4:$G$2306,3,FALSE)</f>
        <v>1150.08</v>
      </c>
      <c r="K564" s="438">
        <f>VLOOKUP(H564,'Full Trial Balance'!$A$4:$G$2306,4,FALSE)</f>
        <v>0</v>
      </c>
      <c r="L564" s="438">
        <f>VLOOKUP(H564,'Full Trial Balance'!$A$4:$G$2306,5,FALSE)</f>
        <v>576.79</v>
      </c>
      <c r="M564" s="438">
        <f>VLOOKUP(H564,'Full Trial Balance'!$A$4:$G$2306,6,FALSE)</f>
        <v>47.8</v>
      </c>
      <c r="N564" s="438">
        <f>VLOOKUP(H564,'Full Trial Balance'!$A$4:$G$2306,7,FALSE)</f>
        <v>528.99</v>
      </c>
      <c r="O564" s="485">
        <f t="shared" si="66"/>
        <v>0</v>
      </c>
    </row>
    <row r="565" spans="1:15" x14ac:dyDescent="0.25">
      <c r="A565" s="241" t="str">
        <f t="shared" si="61"/>
        <v>03-03</v>
      </c>
      <c r="B565" s="241" t="str">
        <f t="shared" si="62"/>
        <v>03</v>
      </c>
      <c r="C565" s="241" t="str">
        <f t="shared" si="63"/>
        <v>03</v>
      </c>
      <c r="D565" s="235" t="str">
        <f t="shared" si="64"/>
        <v>03-</v>
      </c>
      <c r="E565" s="241" t="s">
        <v>1250</v>
      </c>
      <c r="F565" s="241" t="str">
        <f t="shared" si="65"/>
        <v>-020-204</v>
      </c>
      <c r="G565" s="235" t="str">
        <f t="shared" si="68"/>
        <v>03-0x-020-204</v>
      </c>
      <c r="H565" s="241" t="s">
        <v>450</v>
      </c>
      <c r="I565" s="435" t="s">
        <v>38</v>
      </c>
      <c r="J565" s="438">
        <f>VLOOKUP(H565,'Full Trial Balance'!$A$4:$G$2306,3,FALSE)</f>
        <v>7096.96</v>
      </c>
      <c r="K565" s="438">
        <f>VLOOKUP(H565,'Full Trial Balance'!$A$4:$G$2306,4,FALSE)</f>
        <v>0</v>
      </c>
      <c r="L565" s="438">
        <f>VLOOKUP(H565,'Full Trial Balance'!$A$4:$G$2306,5,FALSE)</f>
        <v>3495.69</v>
      </c>
      <c r="M565" s="438">
        <f>VLOOKUP(H565,'Full Trial Balance'!$A$4:$G$2306,6,FALSE)</f>
        <v>0</v>
      </c>
      <c r="N565" s="438">
        <f>VLOOKUP(H565,'Full Trial Balance'!$A$4:$G$2306,7,FALSE)</f>
        <v>3495.69</v>
      </c>
      <c r="O565" s="485">
        <f t="shared" si="66"/>
        <v>0</v>
      </c>
    </row>
    <row r="566" spans="1:15" x14ac:dyDescent="0.25">
      <c r="A566" s="241" t="str">
        <f t="shared" si="61"/>
        <v>03-03</v>
      </c>
      <c r="B566" s="241" t="str">
        <f t="shared" si="62"/>
        <v>03</v>
      </c>
      <c r="C566" s="241" t="str">
        <f t="shared" si="63"/>
        <v>03</v>
      </c>
      <c r="D566" s="235" t="str">
        <f t="shared" si="64"/>
        <v>03-</v>
      </c>
      <c r="E566" s="241" t="s">
        <v>1250</v>
      </c>
      <c r="F566" s="241" t="str">
        <f t="shared" si="65"/>
        <v>-020-205</v>
      </c>
      <c r="G566" s="489" t="str">
        <f t="shared" si="68"/>
        <v>03-0x-020-205</v>
      </c>
      <c r="H566" s="241" t="s">
        <v>439</v>
      </c>
      <c r="I566" s="435" t="s">
        <v>77</v>
      </c>
      <c r="J566" s="438">
        <f>VLOOKUP(H566,'Full Trial Balance'!$A$4:$G$2306,3,FALSE)</f>
        <v>368.64</v>
      </c>
      <c r="K566" s="438">
        <f>VLOOKUP(H566,'Full Trial Balance'!$A$4:$G$2306,4,FALSE)</f>
        <v>0</v>
      </c>
      <c r="L566" s="438">
        <f>VLOOKUP(H566,'Full Trial Balance'!$A$4:$G$2306,5,FALSE)</f>
        <v>181.23</v>
      </c>
      <c r="M566" s="438">
        <f>VLOOKUP(H566,'Full Trial Balance'!$A$4:$G$2306,6,FALSE)</f>
        <v>0</v>
      </c>
      <c r="N566" s="438">
        <f>VLOOKUP(H566,'Full Trial Balance'!$A$4:$G$2306,7,FALSE)</f>
        <v>181.23</v>
      </c>
      <c r="O566" s="485">
        <f t="shared" si="66"/>
        <v>0</v>
      </c>
    </row>
    <row r="567" spans="1:15" x14ac:dyDescent="0.25">
      <c r="A567" s="241" t="str">
        <f t="shared" si="61"/>
        <v>03-03</v>
      </c>
      <c r="B567" s="241" t="str">
        <f t="shared" si="62"/>
        <v>03</v>
      </c>
      <c r="C567" s="241" t="str">
        <f t="shared" si="63"/>
        <v>03</v>
      </c>
      <c r="D567" s="235" t="str">
        <f t="shared" si="64"/>
        <v>03-</v>
      </c>
      <c r="E567" s="241" t="s">
        <v>1250</v>
      </c>
      <c r="F567" s="241" t="str">
        <f t="shared" si="65"/>
        <v>-020-206</v>
      </c>
      <c r="G567" s="235" t="str">
        <f t="shared" si="68"/>
        <v>03-0x-020-206</v>
      </c>
      <c r="H567" s="241" t="s">
        <v>460</v>
      </c>
      <c r="I567" s="435" t="s">
        <v>78</v>
      </c>
      <c r="J567" s="438">
        <f>VLOOKUP(H567,'Full Trial Balance'!$A$4:$G$2306,3,FALSE)</f>
        <v>158.72</v>
      </c>
      <c r="K567" s="438">
        <f>VLOOKUP(H567,'Full Trial Balance'!$A$4:$G$2306,4,FALSE)</f>
        <v>0</v>
      </c>
      <c r="L567" s="438">
        <f>VLOOKUP(H567,'Full Trial Balance'!$A$4:$G$2306,5,FALSE)</f>
        <v>72.13</v>
      </c>
      <c r="M567" s="438">
        <f>VLOOKUP(H567,'Full Trial Balance'!$A$4:$G$2306,6,FALSE)</f>
        <v>0</v>
      </c>
      <c r="N567" s="438">
        <f>VLOOKUP(H567,'Full Trial Balance'!$A$4:$G$2306,7,FALSE)</f>
        <v>72.13</v>
      </c>
      <c r="O567" s="485">
        <f t="shared" si="66"/>
        <v>0</v>
      </c>
    </row>
    <row r="568" spans="1:15" x14ac:dyDescent="0.25">
      <c r="A568" s="241" t="str">
        <f t="shared" si="61"/>
        <v>03-03</v>
      </c>
      <c r="B568" s="241" t="str">
        <f t="shared" si="62"/>
        <v>03</v>
      </c>
      <c r="C568" s="241" t="str">
        <f t="shared" si="63"/>
        <v>03</v>
      </c>
      <c r="D568" s="235" t="str">
        <f t="shared" si="64"/>
        <v>03-</v>
      </c>
      <c r="E568" s="241" t="s">
        <v>1250</v>
      </c>
      <c r="F568" s="241" t="str">
        <f t="shared" si="65"/>
        <v>-020-208</v>
      </c>
      <c r="G568" s="235" t="str">
        <f t="shared" si="68"/>
        <v>03-0x-020-208</v>
      </c>
      <c r="H568" s="241" t="s">
        <v>462</v>
      </c>
      <c r="I568" s="435" t="s">
        <v>893</v>
      </c>
      <c r="J568" s="438">
        <f>VLOOKUP(H568,'Full Trial Balance'!$A$4:$G$2306,3,FALSE)</f>
        <v>3376.64</v>
      </c>
      <c r="K568" s="438">
        <f>VLOOKUP(H568,'Full Trial Balance'!$A$4:$G$2306,4,FALSE)</f>
        <v>0</v>
      </c>
      <c r="L568" s="438">
        <f>VLOOKUP(H568,'Full Trial Balance'!$A$4:$G$2306,5,FALSE)</f>
        <v>1762.22</v>
      </c>
      <c r="M568" s="438">
        <f>VLOOKUP(H568,'Full Trial Balance'!$A$4:$G$2306,6,FALSE)</f>
        <v>76.209999999999994</v>
      </c>
      <c r="N568" s="438">
        <f>VLOOKUP(H568,'Full Trial Balance'!$A$4:$G$2306,7,FALSE)</f>
        <v>1686.01</v>
      </c>
      <c r="O568" s="485">
        <f t="shared" si="66"/>
        <v>0</v>
      </c>
    </row>
    <row r="569" spans="1:15" x14ac:dyDescent="0.25">
      <c r="A569" s="241" t="str">
        <f t="shared" si="61"/>
        <v>03-03</v>
      </c>
      <c r="B569" s="241" t="str">
        <f t="shared" si="62"/>
        <v>03</v>
      </c>
      <c r="C569" s="241" t="str">
        <f t="shared" si="63"/>
        <v>03</v>
      </c>
      <c r="D569" s="235" t="str">
        <f t="shared" si="64"/>
        <v>03-</v>
      </c>
      <c r="E569" s="241" t="s">
        <v>1250</v>
      </c>
      <c r="F569" s="241" t="str">
        <f t="shared" si="65"/>
        <v>-020-209</v>
      </c>
      <c r="G569" s="235" t="str">
        <f t="shared" si="68"/>
        <v>03-0x-020-209</v>
      </c>
      <c r="H569" s="241" t="s">
        <v>449</v>
      </c>
      <c r="I569" s="435" t="s">
        <v>39</v>
      </c>
      <c r="J569" s="438">
        <f>VLOOKUP(H569,'Full Trial Balance'!$A$4:$G$2306,3,FALSE)</f>
        <v>280.32</v>
      </c>
      <c r="K569" s="438">
        <f>VLOOKUP(H569,'Full Trial Balance'!$A$4:$G$2306,4,FALSE)</f>
        <v>0</v>
      </c>
      <c r="L569" s="438">
        <f>VLOOKUP(H569,'Full Trial Balance'!$A$4:$G$2306,5,FALSE)</f>
        <v>179.51</v>
      </c>
      <c r="M569" s="438">
        <f>VLOOKUP(H569,'Full Trial Balance'!$A$4:$G$2306,6,FALSE)</f>
        <v>50.27</v>
      </c>
      <c r="N569" s="438">
        <f>VLOOKUP(H569,'Full Trial Balance'!$A$4:$G$2306,7,FALSE)</f>
        <v>129.24</v>
      </c>
      <c r="O569" s="485">
        <f t="shared" si="66"/>
        <v>0</v>
      </c>
    </row>
    <row r="570" spans="1:15" x14ac:dyDescent="0.25">
      <c r="A570" s="241" t="str">
        <f t="shared" si="61"/>
        <v>03-03</v>
      </c>
      <c r="B570" s="241" t="str">
        <f t="shared" si="62"/>
        <v>03</v>
      </c>
      <c r="C570" s="241" t="str">
        <f t="shared" si="63"/>
        <v>03</v>
      </c>
      <c r="D570" s="235" t="str">
        <f t="shared" si="64"/>
        <v>03-</v>
      </c>
      <c r="E570" s="241" t="s">
        <v>1250</v>
      </c>
      <c r="F570" s="241" t="str">
        <f t="shared" si="65"/>
        <v>-020-210</v>
      </c>
      <c r="G570" s="256" t="str">
        <f t="shared" si="68"/>
        <v>03-0x-020-210</v>
      </c>
      <c r="H570" s="241" t="s">
        <v>459</v>
      </c>
      <c r="I570" s="435" t="s">
        <v>64</v>
      </c>
      <c r="J570" s="438">
        <f>VLOOKUP(H570,'Full Trial Balance'!$A$4:$G$2306,3,FALSE)</f>
        <v>256</v>
      </c>
      <c r="K570" s="438">
        <f>VLOOKUP(H570,'Full Trial Balance'!$A$4:$G$2306,4,FALSE)</f>
        <v>0</v>
      </c>
      <c r="L570" s="438">
        <f>VLOOKUP(H570,'Full Trial Balance'!$A$4:$G$2306,5,FALSE)</f>
        <v>170.06</v>
      </c>
      <c r="M570" s="438">
        <f>VLOOKUP(H570,'Full Trial Balance'!$A$4:$G$2306,6,FALSE)</f>
        <v>0</v>
      </c>
      <c r="N570" s="438">
        <f>VLOOKUP(H570,'Full Trial Balance'!$A$4:$G$2306,7,FALSE)</f>
        <v>170.06</v>
      </c>
      <c r="O570" s="485">
        <f t="shared" si="66"/>
        <v>0</v>
      </c>
    </row>
    <row r="571" spans="1:15" x14ac:dyDescent="0.25">
      <c r="A571" s="241" t="str">
        <f t="shared" si="61"/>
        <v>03-03</v>
      </c>
      <c r="B571" s="241" t="str">
        <f t="shared" si="62"/>
        <v>03</v>
      </c>
      <c r="C571" s="241" t="str">
        <f t="shared" si="63"/>
        <v>03</v>
      </c>
      <c r="D571" s="235" t="str">
        <f t="shared" si="64"/>
        <v>03-</v>
      </c>
      <c r="E571" s="241" t="s">
        <v>1250</v>
      </c>
      <c r="F571" s="241" t="str">
        <f t="shared" si="65"/>
        <v>-020-211</v>
      </c>
      <c r="G571" s="256" t="str">
        <f t="shared" si="68"/>
        <v>03-0x-020-211</v>
      </c>
      <c r="H571" s="241" t="s">
        <v>433</v>
      </c>
      <c r="I571" s="435" t="s">
        <v>65</v>
      </c>
      <c r="J571" s="438">
        <f>VLOOKUP(H571,'Full Trial Balance'!$A$4:$G$2306,3,FALSE)</f>
        <v>128</v>
      </c>
      <c r="K571" s="438">
        <f>VLOOKUP(H571,'Full Trial Balance'!$A$4:$G$2306,4,FALSE)</f>
        <v>0</v>
      </c>
      <c r="L571" s="438">
        <f>VLOOKUP(H571,'Full Trial Balance'!$A$4:$G$2306,5,FALSE)</f>
        <v>0</v>
      </c>
      <c r="M571" s="438">
        <f>VLOOKUP(H571,'Full Trial Balance'!$A$4:$G$2306,6,FALSE)</f>
        <v>0</v>
      </c>
      <c r="N571" s="438">
        <f>VLOOKUP(H571,'Full Trial Balance'!$A$4:$G$2306,7,FALSE)</f>
        <v>0</v>
      </c>
      <c r="O571" s="485">
        <f t="shared" si="66"/>
        <v>0</v>
      </c>
    </row>
    <row r="572" spans="1:15" x14ac:dyDescent="0.25">
      <c r="A572" s="241" t="str">
        <f t="shared" si="61"/>
        <v>03-03</v>
      </c>
      <c r="B572" s="241" t="str">
        <f t="shared" si="62"/>
        <v>03</v>
      </c>
      <c r="C572" s="241" t="str">
        <f t="shared" si="63"/>
        <v>03</v>
      </c>
      <c r="D572" s="235" t="str">
        <f t="shared" si="64"/>
        <v>03-</v>
      </c>
      <c r="E572" s="241" t="s">
        <v>1250</v>
      </c>
      <c r="F572" s="241" t="str">
        <f t="shared" si="65"/>
        <v>-020-212</v>
      </c>
      <c r="G572" s="256" t="str">
        <f t="shared" si="68"/>
        <v>03-0x-020-212</v>
      </c>
      <c r="H572" s="241" t="s">
        <v>458</v>
      </c>
      <c r="I572" s="435" t="s">
        <v>40</v>
      </c>
      <c r="J572" s="438">
        <f>VLOOKUP(H572,'Full Trial Balance'!$A$4:$G$2306,3,FALSE)</f>
        <v>423.04</v>
      </c>
      <c r="K572" s="438">
        <f>VLOOKUP(H572,'Full Trial Balance'!$A$4:$G$2306,4,FALSE)</f>
        <v>0</v>
      </c>
      <c r="L572" s="438">
        <f>VLOOKUP(H572,'Full Trial Balance'!$A$4:$G$2306,5,FALSE)</f>
        <v>101.34</v>
      </c>
      <c r="M572" s="438">
        <f>VLOOKUP(H572,'Full Trial Balance'!$A$4:$G$2306,6,FALSE)</f>
        <v>19.66</v>
      </c>
      <c r="N572" s="438">
        <f>VLOOKUP(H572,'Full Trial Balance'!$A$4:$G$2306,7,FALSE)</f>
        <v>81.680000000000007</v>
      </c>
      <c r="O572" s="485">
        <f t="shared" si="66"/>
        <v>0</v>
      </c>
    </row>
    <row r="573" spans="1:15" x14ac:dyDescent="0.25">
      <c r="A573" s="241" t="str">
        <f t="shared" si="61"/>
        <v>03-03</v>
      </c>
      <c r="B573" s="241" t="str">
        <f t="shared" si="62"/>
        <v>03</v>
      </c>
      <c r="C573" s="241" t="str">
        <f t="shared" si="63"/>
        <v>03</v>
      </c>
      <c r="D573" s="235" t="str">
        <f t="shared" si="64"/>
        <v>03-</v>
      </c>
      <c r="E573" s="241" t="s">
        <v>1250</v>
      </c>
      <c r="F573" s="241" t="str">
        <f t="shared" si="65"/>
        <v>-020-213</v>
      </c>
      <c r="G573" s="235" t="str">
        <f t="shared" si="68"/>
        <v>03-0x-020-213</v>
      </c>
      <c r="H573" s="241" t="s">
        <v>442</v>
      </c>
      <c r="I573" s="435" t="s">
        <v>41</v>
      </c>
      <c r="J573" s="438">
        <f>VLOOKUP(H573,'Full Trial Balance'!$A$4:$G$2306,3,FALSE)</f>
        <v>9.6</v>
      </c>
      <c r="K573" s="438">
        <f>VLOOKUP(H573,'Full Trial Balance'!$A$4:$G$2306,4,FALSE)</f>
        <v>0</v>
      </c>
      <c r="L573" s="438">
        <f>VLOOKUP(H573,'Full Trial Balance'!$A$4:$G$2306,5,FALSE)</f>
        <v>2.59</v>
      </c>
      <c r="M573" s="438">
        <f>VLOOKUP(H573,'Full Trial Balance'!$A$4:$G$2306,6,FALSE)</f>
        <v>0.51</v>
      </c>
      <c r="N573" s="438">
        <f>VLOOKUP(H573,'Full Trial Balance'!$A$4:$G$2306,7,FALSE)</f>
        <v>2.08</v>
      </c>
      <c r="O573" s="485">
        <f t="shared" si="66"/>
        <v>0</v>
      </c>
    </row>
    <row r="574" spans="1:15" x14ac:dyDescent="0.25">
      <c r="A574" s="241" t="str">
        <f t="shared" si="61"/>
        <v>03-03</v>
      </c>
      <c r="B574" s="241" t="str">
        <f t="shared" si="62"/>
        <v>03</v>
      </c>
      <c r="C574" s="241" t="str">
        <f t="shared" si="63"/>
        <v>03</v>
      </c>
      <c r="D574" s="235" t="str">
        <f t="shared" si="64"/>
        <v>03-</v>
      </c>
      <c r="E574" s="241" t="s">
        <v>1250</v>
      </c>
      <c r="F574" s="241" t="str">
        <f t="shared" si="65"/>
        <v>-020-215</v>
      </c>
      <c r="G574" s="235" t="str">
        <f t="shared" si="68"/>
        <v>03-0x-020-215</v>
      </c>
      <c r="H574" s="241" t="s">
        <v>441</v>
      </c>
      <c r="I574" s="435" t="s">
        <v>42</v>
      </c>
      <c r="J574" s="438">
        <f>VLOOKUP(H574,'Full Trial Balance'!$A$4:$G$2306,3,FALSE)</f>
        <v>220.16</v>
      </c>
      <c r="K574" s="438">
        <f>VLOOKUP(H574,'Full Trial Balance'!$A$4:$G$2306,4,FALSE)</f>
        <v>0</v>
      </c>
      <c r="L574" s="438">
        <f>VLOOKUP(H574,'Full Trial Balance'!$A$4:$G$2306,5,FALSE)</f>
        <v>95.71</v>
      </c>
      <c r="M574" s="438">
        <f>VLOOKUP(H574,'Full Trial Balance'!$A$4:$G$2306,6,FALSE)</f>
        <v>5.12</v>
      </c>
      <c r="N574" s="438">
        <f>VLOOKUP(H574,'Full Trial Balance'!$A$4:$G$2306,7,FALSE)</f>
        <v>90.59</v>
      </c>
      <c r="O574" s="485">
        <f t="shared" si="66"/>
        <v>9.7699626167013776E-15</v>
      </c>
    </row>
    <row r="575" spans="1:15" x14ac:dyDescent="0.25">
      <c r="A575" s="241" t="str">
        <f t="shared" si="61"/>
        <v>03-03</v>
      </c>
      <c r="B575" s="241" t="str">
        <f t="shared" si="62"/>
        <v>03</v>
      </c>
      <c r="C575" s="241" t="str">
        <f t="shared" si="63"/>
        <v>03</v>
      </c>
      <c r="D575" s="235" t="str">
        <f t="shared" si="64"/>
        <v>03-</v>
      </c>
      <c r="E575" s="241" t="s">
        <v>1250</v>
      </c>
      <c r="F575" s="241" t="str">
        <f t="shared" si="65"/>
        <v>-020-217</v>
      </c>
      <c r="G575" s="489" t="s">
        <v>3437</v>
      </c>
      <c r="H575" s="241" t="s">
        <v>434</v>
      </c>
      <c r="I575" s="435" t="s">
        <v>43</v>
      </c>
      <c r="J575" s="438">
        <f>VLOOKUP(H575,'Full Trial Balance'!$A$4:$G$2306,3,FALSE)</f>
        <v>6425.6</v>
      </c>
      <c r="K575" s="438">
        <f>VLOOKUP(H575,'Full Trial Balance'!$A$4:$G$2306,4,FALSE)</f>
        <v>0</v>
      </c>
      <c r="L575" s="438">
        <f>VLOOKUP(H575,'Full Trial Balance'!$A$4:$G$2306,5,FALSE)</f>
        <v>3170.69</v>
      </c>
      <c r="M575" s="438">
        <f>VLOOKUP(H575,'Full Trial Balance'!$A$4:$G$2306,6,FALSE)</f>
        <v>237.72</v>
      </c>
      <c r="N575" s="438">
        <f>VLOOKUP(H575,'Full Trial Balance'!$A$4:$G$2306,7,FALSE)</f>
        <v>2932.97</v>
      </c>
      <c r="O575" s="485">
        <f t="shared" si="66"/>
        <v>-2.5579538487363607E-13</v>
      </c>
    </row>
    <row r="576" spans="1:15" x14ac:dyDescent="0.25">
      <c r="A576" s="241" t="str">
        <f t="shared" si="61"/>
        <v>03-03</v>
      </c>
      <c r="B576" s="241" t="str">
        <f t="shared" si="62"/>
        <v>03</v>
      </c>
      <c r="C576" s="241" t="str">
        <f t="shared" si="63"/>
        <v>03</v>
      </c>
      <c r="D576" s="235" t="str">
        <f t="shared" si="64"/>
        <v>03-</v>
      </c>
      <c r="E576" s="241" t="s">
        <v>1250</v>
      </c>
      <c r="F576" s="241" t="str">
        <f t="shared" si="65"/>
        <v>-020-218</v>
      </c>
      <c r="G576" s="489" t="s">
        <v>3438</v>
      </c>
      <c r="H576" s="241" t="s">
        <v>435</v>
      </c>
      <c r="I576" s="435" t="s">
        <v>44</v>
      </c>
      <c r="J576" s="438">
        <f>VLOOKUP(H576,'Full Trial Balance'!$A$4:$G$2306,3,FALSE)</f>
        <v>5308.16</v>
      </c>
      <c r="K576" s="438">
        <f>VLOOKUP(H576,'Full Trial Balance'!$A$4:$G$2306,4,FALSE)</f>
        <v>0</v>
      </c>
      <c r="L576" s="438">
        <f>VLOOKUP(H576,'Full Trial Balance'!$A$4:$G$2306,5,FALSE)</f>
        <v>2630.13</v>
      </c>
      <c r="M576" s="438">
        <f>VLOOKUP(H576,'Full Trial Balance'!$A$4:$G$2306,6,FALSE)</f>
        <v>196.1</v>
      </c>
      <c r="N576" s="438">
        <f>VLOOKUP(H576,'Full Trial Balance'!$A$4:$G$2306,7,FALSE)</f>
        <v>2434.0300000000002</v>
      </c>
      <c r="O576" s="485">
        <f t="shared" si="66"/>
        <v>0</v>
      </c>
    </row>
    <row r="577" spans="1:15" x14ac:dyDescent="0.25">
      <c r="A577" s="241" t="str">
        <f t="shared" si="61"/>
        <v>03-03</v>
      </c>
      <c r="B577" s="241" t="str">
        <f t="shared" si="62"/>
        <v>03</v>
      </c>
      <c r="C577" s="241" t="str">
        <f t="shared" si="63"/>
        <v>03</v>
      </c>
      <c r="D577" s="235" t="str">
        <f t="shared" si="64"/>
        <v>03-</v>
      </c>
      <c r="E577" s="241" t="s">
        <v>1250</v>
      </c>
      <c r="F577" s="241" t="str">
        <f t="shared" si="65"/>
        <v>-020-220</v>
      </c>
      <c r="G577" s="256" t="str">
        <f>CONCATENATE(D577,E577,F577)</f>
        <v>03-0x-020-220</v>
      </c>
      <c r="H577" s="241" t="s">
        <v>453</v>
      </c>
      <c r="I577" s="435" t="s">
        <v>183</v>
      </c>
      <c r="J577" s="438">
        <f>VLOOKUP(H577,'Full Trial Balance'!$A$4:$G$2306,3,FALSE)</f>
        <v>3904</v>
      </c>
      <c r="K577" s="438">
        <f>VLOOKUP(H577,'Full Trial Balance'!$A$4:$G$2306,4,FALSE)</f>
        <v>0</v>
      </c>
      <c r="L577" s="438">
        <f>VLOOKUP(H577,'Full Trial Balance'!$A$4:$G$2306,5,FALSE)</f>
        <v>0</v>
      </c>
      <c r="M577" s="438">
        <f>VLOOKUP(H577,'Full Trial Balance'!$A$4:$G$2306,6,FALSE)</f>
        <v>0</v>
      </c>
      <c r="N577" s="438">
        <f>VLOOKUP(H577,'Full Trial Balance'!$A$4:$G$2306,7,FALSE)</f>
        <v>0</v>
      </c>
      <c r="O577" s="485">
        <f t="shared" si="66"/>
        <v>0</v>
      </c>
    </row>
    <row r="578" spans="1:15" x14ac:dyDescent="0.25">
      <c r="A578" s="241" t="str">
        <f t="shared" si="61"/>
        <v>03-03</v>
      </c>
      <c r="B578" s="241" t="str">
        <f t="shared" si="62"/>
        <v>03</v>
      </c>
      <c r="C578" s="241" t="str">
        <f t="shared" si="63"/>
        <v>03</v>
      </c>
      <c r="D578" s="235" t="str">
        <f t="shared" si="64"/>
        <v>03-</v>
      </c>
      <c r="E578" s="241" t="s">
        <v>1250</v>
      </c>
      <c r="F578" s="241" t="str">
        <f t="shared" si="65"/>
        <v>-033-102</v>
      </c>
      <c r="G578" s="489" t="s">
        <v>1256</v>
      </c>
      <c r="H578" s="241" t="s">
        <v>437</v>
      </c>
      <c r="I578" s="435" t="s">
        <v>66</v>
      </c>
      <c r="J578" s="438">
        <f>VLOOKUP(H578,'Full Trial Balance'!$A$4:$G$2306,3,FALSE)</f>
        <v>6544</v>
      </c>
      <c r="K578" s="438">
        <f>VLOOKUP(H578,'Full Trial Balance'!$A$4:$G$2306,4,FALSE)</f>
        <v>0</v>
      </c>
      <c r="L578" s="438">
        <f>VLOOKUP(H578,'Full Trial Balance'!$A$4:$G$2306,5,FALSE)</f>
        <v>1738.39</v>
      </c>
      <c r="M578" s="438">
        <f>VLOOKUP(H578,'Full Trial Balance'!$A$4:$G$2306,6,FALSE)</f>
        <v>0</v>
      </c>
      <c r="N578" s="438">
        <f>VLOOKUP(H578,'Full Trial Balance'!$A$4:$G$2306,7,FALSE)</f>
        <v>1738.39</v>
      </c>
      <c r="O578" s="485">
        <f t="shared" si="66"/>
        <v>0</v>
      </c>
    </row>
    <row r="579" spans="1:15" x14ac:dyDescent="0.25">
      <c r="A579" s="241" t="str">
        <f t="shared" ref="A579:A642" si="69">LEFT(H579,5)</f>
        <v>03-03</v>
      </c>
      <c r="B579" s="241" t="str">
        <f t="shared" ref="B579:B642" si="70">LEFT(H579,2)</f>
        <v>03</v>
      </c>
      <c r="C579" s="241" t="str">
        <f t="shared" ref="C579:C642" si="71">RIGHT(A579,2)</f>
        <v>03</v>
      </c>
      <c r="D579" s="235" t="str">
        <f t="shared" ref="D579:D642" si="72">LEFT(A579,3)</f>
        <v>03-</v>
      </c>
      <c r="E579" s="241" t="s">
        <v>1250</v>
      </c>
      <c r="F579" s="241" t="str">
        <f t="shared" ref="F579:F642" si="73">RIGHT(H579,8)</f>
        <v>-033-104</v>
      </c>
      <c r="G579" s="489" t="s">
        <v>1256</v>
      </c>
      <c r="H579" s="241" t="s">
        <v>446</v>
      </c>
      <c r="I579" s="435" t="s">
        <v>67</v>
      </c>
      <c r="J579" s="438">
        <f>VLOOKUP(H579,'Full Trial Balance'!$A$4:$G$2306,3,FALSE)</f>
        <v>2574.08</v>
      </c>
      <c r="K579" s="438">
        <f>VLOOKUP(H579,'Full Trial Balance'!$A$4:$G$2306,4,FALSE)</f>
        <v>0</v>
      </c>
      <c r="L579" s="438">
        <f>VLOOKUP(H579,'Full Trial Balance'!$A$4:$G$2306,5,FALSE)</f>
        <v>567.07000000000005</v>
      </c>
      <c r="M579" s="438">
        <f>VLOOKUP(H579,'Full Trial Balance'!$A$4:$G$2306,6,FALSE)</f>
        <v>0</v>
      </c>
      <c r="N579" s="438">
        <f>VLOOKUP(H579,'Full Trial Balance'!$A$4:$G$2306,7,FALSE)</f>
        <v>567.07000000000005</v>
      </c>
      <c r="O579" s="485">
        <f t="shared" ref="O579:O642" si="74">N579-L579+M579</f>
        <v>0</v>
      </c>
    </row>
    <row r="580" spans="1:15" x14ac:dyDescent="0.25">
      <c r="A580" s="241" t="str">
        <f t="shared" si="69"/>
        <v>03-03</v>
      </c>
      <c r="B580" s="241" t="str">
        <f t="shared" si="70"/>
        <v>03</v>
      </c>
      <c r="C580" s="241" t="str">
        <f t="shared" si="71"/>
        <v>03</v>
      </c>
      <c r="D580" s="235" t="str">
        <f t="shared" si="72"/>
        <v>03-</v>
      </c>
      <c r="E580" s="241" t="s">
        <v>1250</v>
      </c>
      <c r="F580" s="241" t="str">
        <f t="shared" si="73"/>
        <v>-033-106</v>
      </c>
      <c r="G580" s="235" t="s">
        <v>1455</v>
      </c>
      <c r="H580" s="241" t="s">
        <v>432</v>
      </c>
      <c r="I580" s="435" t="s">
        <v>1161</v>
      </c>
      <c r="J580" s="438">
        <f>VLOOKUP(H580,'Full Trial Balance'!$A$4:$G$2306,3,FALSE)</f>
        <v>373.12</v>
      </c>
      <c r="K580" s="438">
        <f>VLOOKUP(H580,'Full Trial Balance'!$A$4:$G$2306,4,FALSE)</f>
        <v>0</v>
      </c>
      <c r="L580" s="438">
        <f>VLOOKUP(H580,'Full Trial Balance'!$A$4:$G$2306,5,FALSE)</f>
        <v>0</v>
      </c>
      <c r="M580" s="438">
        <f>VLOOKUP(H580,'Full Trial Balance'!$A$4:$G$2306,6,FALSE)</f>
        <v>0</v>
      </c>
      <c r="N580" s="438">
        <f>VLOOKUP(H580,'Full Trial Balance'!$A$4:$G$2306,7,FALSE)</f>
        <v>0</v>
      </c>
      <c r="O580" s="485">
        <f t="shared" si="74"/>
        <v>0</v>
      </c>
    </row>
    <row r="581" spans="1:15" x14ac:dyDescent="0.25">
      <c r="A581" s="241" t="str">
        <f t="shared" si="69"/>
        <v>03-03</v>
      </c>
      <c r="B581" s="241" t="str">
        <f t="shared" si="70"/>
        <v>03</v>
      </c>
      <c r="C581" s="241" t="str">
        <f t="shared" si="71"/>
        <v>03</v>
      </c>
      <c r="D581" s="235" t="str">
        <f t="shared" si="72"/>
        <v>03-</v>
      </c>
      <c r="E581" s="241" t="s">
        <v>1250</v>
      </c>
      <c r="F581" s="241" t="str">
        <f t="shared" si="73"/>
        <v>-033-108</v>
      </c>
      <c r="G581" s="235" t="s">
        <v>1425</v>
      </c>
      <c r="H581" s="241" t="s">
        <v>438</v>
      </c>
      <c r="I581" s="435" t="s">
        <v>68</v>
      </c>
      <c r="J581" s="438">
        <f>VLOOKUP(H581,'Full Trial Balance'!$A$4:$G$2306,3,FALSE)</f>
        <v>38608</v>
      </c>
      <c r="K581" s="438">
        <f>VLOOKUP(H581,'Full Trial Balance'!$A$4:$G$2306,4,FALSE)</f>
        <v>0</v>
      </c>
      <c r="L581" s="438">
        <f>VLOOKUP(H581,'Full Trial Balance'!$A$4:$G$2306,5,FALSE)</f>
        <v>8268.4</v>
      </c>
      <c r="M581" s="438">
        <f>VLOOKUP(H581,'Full Trial Balance'!$A$4:$G$2306,6,FALSE)</f>
        <v>0</v>
      </c>
      <c r="N581" s="438">
        <f>VLOOKUP(H581,'Full Trial Balance'!$A$4:$G$2306,7,FALSE)</f>
        <v>8268.4</v>
      </c>
      <c r="O581" s="485">
        <f t="shared" si="74"/>
        <v>0</v>
      </c>
    </row>
    <row r="582" spans="1:15" x14ac:dyDescent="0.25">
      <c r="A582" s="241" t="str">
        <f t="shared" si="69"/>
        <v>03-03</v>
      </c>
      <c r="B582" s="241" t="str">
        <f t="shared" si="70"/>
        <v>03</v>
      </c>
      <c r="C582" s="241" t="str">
        <f t="shared" si="71"/>
        <v>03</v>
      </c>
      <c r="D582" s="235" t="str">
        <f t="shared" si="72"/>
        <v>03-</v>
      </c>
      <c r="E582" s="241" t="s">
        <v>1250</v>
      </c>
      <c r="F582" s="241" t="str">
        <f t="shared" si="73"/>
        <v>-034-004</v>
      </c>
      <c r="G582" s="235" t="s">
        <v>1455</v>
      </c>
      <c r="H582" s="241" t="s">
        <v>445</v>
      </c>
      <c r="I582" s="435" t="s">
        <v>49</v>
      </c>
      <c r="J582" s="438">
        <f>VLOOKUP(H582,'Full Trial Balance'!$A$4:$G$2306,3,FALSE)</f>
        <v>0</v>
      </c>
      <c r="K582" s="438">
        <f>VLOOKUP(H582,'Full Trial Balance'!$A$4:$G$2306,4,FALSE)</f>
        <v>0</v>
      </c>
      <c r="L582" s="438">
        <f>VLOOKUP(H582,'Full Trial Balance'!$A$4:$G$2306,5,FALSE)</f>
        <v>0</v>
      </c>
      <c r="M582" s="438">
        <f>VLOOKUP(H582,'Full Trial Balance'!$A$4:$G$2306,6,FALSE)</f>
        <v>0</v>
      </c>
      <c r="N582" s="438">
        <f>VLOOKUP(H582,'Full Trial Balance'!$A$4:$G$2306,7,FALSE)</f>
        <v>0</v>
      </c>
      <c r="O582" s="485">
        <f t="shared" si="74"/>
        <v>0</v>
      </c>
    </row>
    <row r="583" spans="1:15" x14ac:dyDescent="0.25">
      <c r="A583" s="241" t="str">
        <f t="shared" si="69"/>
        <v>03-03</v>
      </c>
      <c r="B583" s="241" t="str">
        <f t="shared" si="70"/>
        <v>03</v>
      </c>
      <c r="C583" s="241" t="str">
        <f t="shared" si="71"/>
        <v>03</v>
      </c>
      <c r="D583" s="235" t="str">
        <f t="shared" si="72"/>
        <v>03-</v>
      </c>
      <c r="E583" s="241" t="s">
        <v>1250</v>
      </c>
      <c r="F583" s="241" t="str">
        <f t="shared" si="73"/>
        <v>-034-008</v>
      </c>
      <c r="G583" s="256" t="s">
        <v>1425</v>
      </c>
      <c r="H583" s="241" t="s">
        <v>457</v>
      </c>
      <c r="I583" s="435" t="s">
        <v>69</v>
      </c>
      <c r="J583" s="438">
        <f>VLOOKUP(H583,'Full Trial Balance'!$A$4:$G$2306,3,FALSE)</f>
        <v>7934.08</v>
      </c>
      <c r="K583" s="438">
        <f>VLOOKUP(H583,'Full Trial Balance'!$A$4:$G$2306,4,FALSE)</f>
        <v>0</v>
      </c>
      <c r="L583" s="438">
        <f>VLOOKUP(H583,'Full Trial Balance'!$A$4:$G$2306,5,FALSE)</f>
        <v>2902.72</v>
      </c>
      <c r="M583" s="438">
        <f>VLOOKUP(H583,'Full Trial Balance'!$A$4:$G$2306,6,FALSE)</f>
        <v>0</v>
      </c>
      <c r="N583" s="438">
        <f>VLOOKUP(H583,'Full Trial Balance'!$A$4:$G$2306,7,FALSE)</f>
        <v>2902.72</v>
      </c>
      <c r="O583" s="485">
        <f t="shared" si="74"/>
        <v>0</v>
      </c>
    </row>
    <row r="584" spans="1:15" x14ac:dyDescent="0.25">
      <c r="A584" s="241" t="str">
        <f t="shared" si="69"/>
        <v>03-03</v>
      </c>
      <c r="B584" s="241" t="str">
        <f t="shared" si="70"/>
        <v>03</v>
      </c>
      <c r="C584" s="241" t="str">
        <f t="shared" si="71"/>
        <v>03</v>
      </c>
      <c r="D584" s="235" t="str">
        <f t="shared" si="72"/>
        <v>03-</v>
      </c>
      <c r="E584" s="241" t="s">
        <v>1250</v>
      </c>
      <c r="F584" s="241" t="str">
        <f t="shared" si="73"/>
        <v>-035-001</v>
      </c>
      <c r="G584" s="256" t="str">
        <f>CONCATENATE(D584,E584,F584)</f>
        <v>03-0x-035-001</v>
      </c>
      <c r="H584" s="241" t="s">
        <v>455</v>
      </c>
      <c r="I584" s="435" t="s">
        <v>70</v>
      </c>
      <c r="J584" s="438">
        <f>VLOOKUP(H584,'Full Trial Balance'!$A$4:$G$2306,3,FALSE)</f>
        <v>643.20000000000005</v>
      </c>
      <c r="K584" s="438">
        <f>VLOOKUP(H584,'Full Trial Balance'!$A$4:$G$2306,4,FALSE)</f>
        <v>0</v>
      </c>
      <c r="L584" s="438">
        <f>VLOOKUP(H584,'Full Trial Balance'!$A$4:$G$2306,5,FALSE)</f>
        <v>0</v>
      </c>
      <c r="M584" s="438">
        <f>VLOOKUP(H584,'Full Trial Balance'!$A$4:$G$2306,6,FALSE)</f>
        <v>0</v>
      </c>
      <c r="N584" s="438">
        <f>VLOOKUP(H584,'Full Trial Balance'!$A$4:$G$2306,7,FALSE)</f>
        <v>0</v>
      </c>
      <c r="O584" s="485">
        <f t="shared" si="74"/>
        <v>0</v>
      </c>
    </row>
    <row r="585" spans="1:15" x14ac:dyDescent="0.25">
      <c r="A585" s="241" t="str">
        <f t="shared" si="69"/>
        <v>03-03</v>
      </c>
      <c r="B585" s="241" t="str">
        <f t="shared" si="70"/>
        <v>03</v>
      </c>
      <c r="C585" s="241" t="str">
        <f t="shared" si="71"/>
        <v>03</v>
      </c>
      <c r="D585" s="235" t="str">
        <f t="shared" si="72"/>
        <v>03-</v>
      </c>
      <c r="E585" s="241" t="s">
        <v>1250</v>
      </c>
      <c r="F585" s="241" t="str">
        <f t="shared" si="73"/>
        <v>-035-002</v>
      </c>
      <c r="G585" s="256" t="str">
        <f>CONCATENATE(D585,E585,F585)</f>
        <v>03-0x-035-002</v>
      </c>
      <c r="H585" s="241" t="s">
        <v>456</v>
      </c>
      <c r="I585" s="435" t="s">
        <v>47</v>
      </c>
      <c r="J585" s="438">
        <f>VLOOKUP(H585,'Full Trial Balance'!$A$4:$G$2306,3,FALSE)</f>
        <v>4974.08</v>
      </c>
      <c r="K585" s="438">
        <f>VLOOKUP(H585,'Full Trial Balance'!$A$4:$G$2306,4,FALSE)</f>
        <v>0</v>
      </c>
      <c r="L585" s="438">
        <f>VLOOKUP(H585,'Full Trial Balance'!$A$4:$G$2306,5,FALSE)</f>
        <v>0</v>
      </c>
      <c r="M585" s="438">
        <f>VLOOKUP(H585,'Full Trial Balance'!$A$4:$G$2306,6,FALSE)</f>
        <v>0</v>
      </c>
      <c r="N585" s="438">
        <f>VLOOKUP(H585,'Full Trial Balance'!$A$4:$G$2306,7,FALSE)</f>
        <v>0</v>
      </c>
      <c r="O585" s="485">
        <f t="shared" si="74"/>
        <v>0</v>
      </c>
    </row>
    <row r="586" spans="1:15" x14ac:dyDescent="0.25">
      <c r="A586" s="241" t="str">
        <f t="shared" si="69"/>
        <v>03-03</v>
      </c>
      <c r="B586" s="241" t="str">
        <f t="shared" si="70"/>
        <v>03</v>
      </c>
      <c r="C586" s="241" t="str">
        <f t="shared" si="71"/>
        <v>03</v>
      </c>
      <c r="D586" s="235" t="str">
        <f t="shared" si="72"/>
        <v>03-</v>
      </c>
      <c r="E586" s="241" t="s">
        <v>1250</v>
      </c>
      <c r="F586" s="241" t="str">
        <f t="shared" si="73"/>
        <v>-035-003</v>
      </c>
      <c r="G586" s="256" t="s">
        <v>1455</v>
      </c>
      <c r="H586" s="241" t="s">
        <v>452</v>
      </c>
      <c r="I586" s="435" t="s">
        <v>48</v>
      </c>
      <c r="J586" s="438">
        <f>VLOOKUP(H586,'Full Trial Balance'!$A$4:$G$2306,3,FALSE)</f>
        <v>405.12</v>
      </c>
      <c r="K586" s="438">
        <f>VLOOKUP(H586,'Full Trial Balance'!$A$4:$G$2306,4,FALSE)</f>
        <v>0</v>
      </c>
      <c r="L586" s="438">
        <f>VLOOKUP(H586,'Full Trial Balance'!$A$4:$G$2306,5,FALSE)</f>
        <v>0</v>
      </c>
      <c r="M586" s="438">
        <f>VLOOKUP(H586,'Full Trial Balance'!$A$4:$G$2306,6,FALSE)</f>
        <v>0</v>
      </c>
      <c r="N586" s="438">
        <f>VLOOKUP(H586,'Full Trial Balance'!$A$4:$G$2306,7,FALSE)</f>
        <v>0</v>
      </c>
      <c r="O586" s="485">
        <f t="shared" si="74"/>
        <v>0</v>
      </c>
    </row>
    <row r="587" spans="1:15" x14ac:dyDescent="0.25">
      <c r="A587" s="241" t="str">
        <f t="shared" si="69"/>
        <v>03-03</v>
      </c>
      <c r="B587" s="241" t="str">
        <f t="shared" si="70"/>
        <v>03</v>
      </c>
      <c r="C587" s="241" t="str">
        <f t="shared" si="71"/>
        <v>03</v>
      </c>
      <c r="D587" s="235" t="str">
        <f t="shared" si="72"/>
        <v>03-</v>
      </c>
      <c r="E587" s="241" t="s">
        <v>1250</v>
      </c>
      <c r="F587" s="241" t="str">
        <f t="shared" si="73"/>
        <v>-035-004</v>
      </c>
      <c r="G587" s="235" t="s">
        <v>1455</v>
      </c>
      <c r="H587" s="241" t="s">
        <v>1106</v>
      </c>
      <c r="I587" s="435" t="s">
        <v>49</v>
      </c>
      <c r="J587" s="438">
        <f>VLOOKUP(H587,'Full Trial Balance'!$A$4:$G$2306,3,FALSE)</f>
        <v>6190.08</v>
      </c>
      <c r="K587" s="438">
        <f>VLOOKUP(H587,'Full Trial Balance'!$A$4:$G$2306,4,FALSE)</f>
        <v>0</v>
      </c>
      <c r="L587" s="438">
        <f>VLOOKUP(H587,'Full Trial Balance'!$A$4:$G$2306,5,FALSE)</f>
        <v>1414.55</v>
      </c>
      <c r="M587" s="438">
        <f>VLOOKUP(H587,'Full Trial Balance'!$A$4:$G$2306,6,FALSE)</f>
        <v>0</v>
      </c>
      <c r="N587" s="438">
        <f>VLOOKUP(H587,'Full Trial Balance'!$A$4:$G$2306,7,FALSE)</f>
        <v>1414.55</v>
      </c>
      <c r="O587" s="485">
        <f t="shared" si="74"/>
        <v>0</v>
      </c>
    </row>
    <row r="588" spans="1:15" x14ac:dyDescent="0.25">
      <c r="A588" s="241" t="str">
        <f t="shared" si="69"/>
        <v>03-03</v>
      </c>
      <c r="B588" s="241" t="str">
        <f t="shared" si="70"/>
        <v>03</v>
      </c>
      <c r="C588" s="241" t="str">
        <f t="shared" si="71"/>
        <v>03</v>
      </c>
      <c r="D588" s="235" t="str">
        <f t="shared" si="72"/>
        <v>03-</v>
      </c>
      <c r="E588" s="241" t="s">
        <v>1250</v>
      </c>
      <c r="F588" s="241" t="str">
        <f t="shared" si="73"/>
        <v>-040-025</v>
      </c>
      <c r="G588" s="235" t="str">
        <f>CONCATENATE(D588,E588,F588)</f>
        <v>03-0x-040-025</v>
      </c>
      <c r="H588" s="241" t="s">
        <v>451</v>
      </c>
      <c r="I588" s="435" t="s">
        <v>54</v>
      </c>
      <c r="J588" s="438">
        <f>VLOOKUP(H588,'Full Trial Balance'!$A$4:$G$2306,3,FALSE)</f>
        <v>1672.96</v>
      </c>
      <c r="K588" s="438">
        <f>VLOOKUP(H588,'Full Trial Balance'!$A$4:$G$2306,4,FALSE)</f>
        <v>0</v>
      </c>
      <c r="L588" s="438">
        <f>VLOOKUP(H588,'Full Trial Balance'!$A$4:$G$2306,5,FALSE)</f>
        <v>1300.48</v>
      </c>
      <c r="M588" s="438">
        <f>VLOOKUP(H588,'Full Trial Balance'!$A$4:$G$2306,6,FALSE)</f>
        <v>0</v>
      </c>
      <c r="N588" s="438">
        <f>VLOOKUP(H588,'Full Trial Balance'!$A$4:$G$2306,7,FALSE)</f>
        <v>1300.48</v>
      </c>
      <c r="O588" s="485">
        <f t="shared" si="74"/>
        <v>0</v>
      </c>
    </row>
    <row r="589" spans="1:15" x14ac:dyDescent="0.25">
      <c r="A589" s="241" t="str">
        <f t="shared" si="69"/>
        <v>03-03</v>
      </c>
      <c r="B589" s="241" t="str">
        <f t="shared" si="70"/>
        <v>03</v>
      </c>
      <c r="C589" s="241" t="str">
        <f t="shared" si="71"/>
        <v>03</v>
      </c>
      <c r="D589" s="235" t="str">
        <f t="shared" si="72"/>
        <v>03-</v>
      </c>
      <c r="E589" s="241" t="s">
        <v>1250</v>
      </c>
      <c r="F589" s="241" t="str">
        <f t="shared" si="73"/>
        <v>-040-026</v>
      </c>
      <c r="G589" s="235" t="str">
        <f>CONCATENATE(D589,E589,F589)</f>
        <v>03-0x-040-026</v>
      </c>
      <c r="H589" s="241" t="s">
        <v>448</v>
      </c>
      <c r="I589" s="435" t="s">
        <v>72</v>
      </c>
      <c r="J589" s="438">
        <f>VLOOKUP(H589,'Full Trial Balance'!$A$4:$G$2306,3,FALSE)</f>
        <v>6640.64</v>
      </c>
      <c r="K589" s="438">
        <f>VLOOKUP(H589,'Full Trial Balance'!$A$4:$G$2306,4,FALSE)</f>
        <v>0</v>
      </c>
      <c r="L589" s="438">
        <f>VLOOKUP(H589,'Full Trial Balance'!$A$4:$G$2306,5,FALSE)</f>
        <v>0</v>
      </c>
      <c r="M589" s="438">
        <f>VLOOKUP(H589,'Full Trial Balance'!$A$4:$G$2306,6,FALSE)</f>
        <v>0</v>
      </c>
      <c r="N589" s="438">
        <f>VLOOKUP(H589,'Full Trial Balance'!$A$4:$G$2306,7,FALSE)</f>
        <v>0</v>
      </c>
      <c r="O589" s="485">
        <f t="shared" si="74"/>
        <v>0</v>
      </c>
    </row>
    <row r="590" spans="1:15" x14ac:dyDescent="0.25">
      <c r="A590" s="241" t="str">
        <f t="shared" si="69"/>
        <v>03-03</v>
      </c>
      <c r="B590" s="241" t="str">
        <f t="shared" si="70"/>
        <v>03</v>
      </c>
      <c r="C590" s="241" t="str">
        <f t="shared" si="71"/>
        <v>03</v>
      </c>
      <c r="D590" s="235" t="str">
        <f t="shared" si="72"/>
        <v>03-</v>
      </c>
      <c r="E590" s="241" t="s">
        <v>1250</v>
      </c>
      <c r="F590" s="241" t="str">
        <f t="shared" si="73"/>
        <v>-040-028</v>
      </c>
      <c r="G590" s="235" t="s">
        <v>1425</v>
      </c>
      <c r="H590" s="241" t="s">
        <v>436</v>
      </c>
      <c r="I590" s="435" t="s">
        <v>73</v>
      </c>
      <c r="J590" s="438">
        <f>VLOOKUP(H590,'Full Trial Balance'!$A$4:$G$2306,3,FALSE)</f>
        <v>341.12</v>
      </c>
      <c r="K590" s="438">
        <f>VLOOKUP(H590,'Full Trial Balance'!$A$4:$G$2306,4,FALSE)</f>
        <v>0</v>
      </c>
      <c r="L590" s="438">
        <f>VLOOKUP(H590,'Full Trial Balance'!$A$4:$G$2306,5,FALSE)</f>
        <v>230.4</v>
      </c>
      <c r="M590" s="438">
        <f>VLOOKUP(H590,'Full Trial Balance'!$A$4:$G$2306,6,FALSE)</f>
        <v>0</v>
      </c>
      <c r="N590" s="438">
        <f>VLOOKUP(H590,'Full Trial Balance'!$A$4:$G$2306,7,FALSE)</f>
        <v>230.4</v>
      </c>
      <c r="O590" s="485">
        <f t="shared" si="74"/>
        <v>0</v>
      </c>
    </row>
    <row r="591" spans="1:15" x14ac:dyDescent="0.25">
      <c r="A591" s="241" t="str">
        <f t="shared" si="69"/>
        <v>03-03</v>
      </c>
      <c r="B591" s="241" t="str">
        <f t="shared" si="70"/>
        <v>03</v>
      </c>
      <c r="C591" s="241" t="str">
        <f t="shared" si="71"/>
        <v>03</v>
      </c>
      <c r="D591" s="235" t="str">
        <f t="shared" si="72"/>
        <v>03-</v>
      </c>
      <c r="E591" s="241" t="s">
        <v>1250</v>
      </c>
      <c r="F591" s="241" t="str">
        <f t="shared" si="73"/>
        <v>-058-123</v>
      </c>
      <c r="G591" s="235" t="s">
        <v>1256</v>
      </c>
      <c r="H591" s="241" t="s">
        <v>440</v>
      </c>
      <c r="I591" s="435" t="s">
        <v>74</v>
      </c>
      <c r="J591" s="438">
        <f>VLOOKUP(H591,'Full Trial Balance'!$A$4:$G$2306,3,FALSE)</f>
        <v>6000</v>
      </c>
      <c r="K591" s="438">
        <f>VLOOKUP(H591,'Full Trial Balance'!$A$4:$G$2306,4,FALSE)</f>
        <v>0</v>
      </c>
      <c r="L591" s="438">
        <f>VLOOKUP(H591,'Full Trial Balance'!$A$4:$G$2306,5,FALSE)</f>
        <v>0</v>
      </c>
      <c r="M591" s="438">
        <f>VLOOKUP(H591,'Full Trial Balance'!$A$4:$G$2306,6,FALSE)</f>
        <v>0</v>
      </c>
      <c r="N591" s="438">
        <f>VLOOKUP(H591,'Full Trial Balance'!$A$4:$G$2306,7,FALSE)</f>
        <v>0</v>
      </c>
      <c r="O591" s="485">
        <f t="shared" si="74"/>
        <v>0</v>
      </c>
    </row>
    <row r="592" spans="1:15" x14ac:dyDescent="0.25">
      <c r="A592" s="241" t="str">
        <f t="shared" si="69"/>
        <v>03-03</v>
      </c>
      <c r="B592" s="241" t="str">
        <f t="shared" si="70"/>
        <v>03</v>
      </c>
      <c r="C592" s="241" t="str">
        <f t="shared" si="71"/>
        <v>03</v>
      </c>
      <c r="D592" s="235" t="str">
        <f t="shared" si="72"/>
        <v>03-</v>
      </c>
      <c r="E592" s="241" t="s">
        <v>1250</v>
      </c>
      <c r="F592" s="241" t="str">
        <f t="shared" si="73"/>
        <v>-060-112</v>
      </c>
      <c r="G592" s="235" t="s">
        <v>1256</v>
      </c>
      <c r="H592" s="241" t="s">
        <v>447</v>
      </c>
      <c r="I592" s="435" t="s">
        <v>1174</v>
      </c>
      <c r="J592" s="438">
        <f>VLOOKUP(H592,'Full Trial Balance'!$A$4:$G$2306,3,FALSE)</f>
        <v>6607.36</v>
      </c>
      <c r="K592" s="438">
        <f>VLOOKUP(H592,'Full Trial Balance'!$A$4:$G$2306,4,FALSE)</f>
        <v>0</v>
      </c>
      <c r="L592" s="438">
        <f>VLOOKUP(H592,'Full Trial Balance'!$A$4:$G$2306,5,FALSE)</f>
        <v>5161.6099999999997</v>
      </c>
      <c r="M592" s="438">
        <f>VLOOKUP(H592,'Full Trial Balance'!$A$4:$G$2306,6,FALSE)</f>
        <v>0</v>
      </c>
      <c r="N592" s="438">
        <f>VLOOKUP(H592,'Full Trial Balance'!$A$4:$G$2306,7,FALSE)</f>
        <v>5161.6099999999997</v>
      </c>
      <c r="O592" s="485">
        <f t="shared" si="74"/>
        <v>0</v>
      </c>
    </row>
    <row r="593" spans="1:15" x14ac:dyDescent="0.25">
      <c r="A593" s="241" t="str">
        <f t="shared" si="69"/>
        <v>01-04</v>
      </c>
      <c r="B593" s="241" t="str">
        <f t="shared" si="70"/>
        <v>01</v>
      </c>
      <c r="C593" s="241" t="str">
        <f t="shared" si="71"/>
        <v>04</v>
      </c>
      <c r="D593" s="235" t="str">
        <f t="shared" si="72"/>
        <v>01-</v>
      </c>
      <c r="E593" s="241" t="s">
        <v>1250</v>
      </c>
      <c r="F593" s="241" t="str">
        <f t="shared" si="73"/>
        <v>-010-000</v>
      </c>
      <c r="G593" s="235" t="str">
        <f t="shared" ref="G593:G604" si="75">CONCATENATE(D593,E593,F593)</f>
        <v>01-0x-010-000</v>
      </c>
      <c r="H593" s="241" t="s">
        <v>488</v>
      </c>
      <c r="I593" s="435" t="s">
        <v>36</v>
      </c>
      <c r="J593" s="438">
        <f>VLOOKUP(H593,'Full Trial Balance'!$A$4:$G$2306,3,FALSE)</f>
        <v>37389.599999999999</v>
      </c>
      <c r="K593" s="438">
        <f>VLOOKUP(H593,'Full Trial Balance'!$A$4:$G$2306,4,FALSE)</f>
        <v>0</v>
      </c>
      <c r="L593" s="438">
        <f>VLOOKUP(H593,'Full Trial Balance'!$A$4:$G$2306,5,FALSE)</f>
        <v>19627.04</v>
      </c>
      <c r="M593" s="438">
        <f>VLOOKUP(H593,'Full Trial Balance'!$A$4:$G$2306,6,FALSE)</f>
        <v>1679.71</v>
      </c>
      <c r="N593" s="438">
        <f>VLOOKUP(H593,'Full Trial Balance'!$A$4:$G$2306,7,FALSE)</f>
        <v>17947.330000000002</v>
      </c>
      <c r="O593" s="485">
        <f t="shared" si="74"/>
        <v>0</v>
      </c>
    </row>
    <row r="594" spans="1:15" x14ac:dyDescent="0.25">
      <c r="A594" s="241" t="str">
        <f t="shared" si="69"/>
        <v>01-04</v>
      </c>
      <c r="B594" s="241" t="str">
        <f t="shared" si="70"/>
        <v>01</v>
      </c>
      <c r="C594" s="241" t="str">
        <f t="shared" si="71"/>
        <v>04</v>
      </c>
      <c r="D594" s="235" t="str">
        <f t="shared" si="72"/>
        <v>01-</v>
      </c>
      <c r="E594" s="241" t="s">
        <v>1250</v>
      </c>
      <c r="F594" s="241" t="str">
        <f t="shared" si="73"/>
        <v>-015-000</v>
      </c>
      <c r="G594" s="256" t="str">
        <f t="shared" si="75"/>
        <v>01-0x-015-000</v>
      </c>
      <c r="H594" s="241" t="s">
        <v>483</v>
      </c>
      <c r="I594" s="435" t="s">
        <v>37</v>
      </c>
      <c r="J594" s="438">
        <f>VLOOKUP(H594,'Full Trial Balance'!$A$4:$G$2306,3,FALSE)</f>
        <v>1417</v>
      </c>
      <c r="K594" s="438">
        <f>VLOOKUP(H594,'Full Trial Balance'!$A$4:$G$2306,4,FALSE)</f>
        <v>0</v>
      </c>
      <c r="L594" s="438">
        <f>VLOOKUP(H594,'Full Trial Balance'!$A$4:$G$2306,5,FALSE)</f>
        <v>717.84</v>
      </c>
      <c r="M594" s="438">
        <f>VLOOKUP(H594,'Full Trial Balance'!$A$4:$G$2306,6,FALSE)</f>
        <v>0</v>
      </c>
      <c r="N594" s="438">
        <f>VLOOKUP(H594,'Full Trial Balance'!$A$4:$G$2306,7,FALSE)</f>
        <v>717.84</v>
      </c>
      <c r="O594" s="485">
        <f t="shared" si="74"/>
        <v>0</v>
      </c>
    </row>
    <row r="595" spans="1:15" x14ac:dyDescent="0.25">
      <c r="A595" s="241" t="str">
        <f t="shared" si="69"/>
        <v>01-04</v>
      </c>
      <c r="B595" s="241" t="str">
        <f t="shared" si="70"/>
        <v>01</v>
      </c>
      <c r="C595" s="241" t="str">
        <f t="shared" si="71"/>
        <v>04</v>
      </c>
      <c r="D595" s="235" t="str">
        <f t="shared" si="72"/>
        <v>01-</v>
      </c>
      <c r="E595" s="241" t="s">
        <v>1250</v>
      </c>
      <c r="F595" s="241" t="str">
        <f t="shared" si="73"/>
        <v>-020-202</v>
      </c>
      <c r="G595" s="256" t="str">
        <f t="shared" si="75"/>
        <v>01-0x-020-202</v>
      </c>
      <c r="H595" s="241" t="s">
        <v>474</v>
      </c>
      <c r="I595" s="435" t="s">
        <v>153</v>
      </c>
      <c r="J595" s="438">
        <f>VLOOKUP(H595,'Full Trial Balance'!$A$4:$G$2306,3,FALSE)</f>
        <v>2406</v>
      </c>
      <c r="K595" s="438">
        <f>VLOOKUP(H595,'Full Trial Balance'!$A$4:$G$2306,4,FALSE)</f>
        <v>0</v>
      </c>
      <c r="L595" s="438">
        <f>VLOOKUP(H595,'Full Trial Balance'!$A$4:$G$2306,5,FALSE)</f>
        <v>1204.57</v>
      </c>
      <c r="M595" s="438">
        <f>VLOOKUP(H595,'Full Trial Balance'!$A$4:$G$2306,6,FALSE)</f>
        <v>99.31</v>
      </c>
      <c r="N595" s="438">
        <f>VLOOKUP(H595,'Full Trial Balance'!$A$4:$G$2306,7,FALSE)</f>
        <v>1105.26</v>
      </c>
      <c r="O595" s="485">
        <f t="shared" si="74"/>
        <v>0</v>
      </c>
    </row>
    <row r="596" spans="1:15" x14ac:dyDescent="0.25">
      <c r="A596" s="241" t="str">
        <f t="shared" si="69"/>
        <v>01-04</v>
      </c>
      <c r="B596" s="241" t="str">
        <f t="shared" si="70"/>
        <v>01</v>
      </c>
      <c r="C596" s="241" t="str">
        <f t="shared" si="71"/>
        <v>04</v>
      </c>
      <c r="D596" s="235" t="str">
        <f t="shared" si="72"/>
        <v>01-</v>
      </c>
      <c r="E596" s="241" t="s">
        <v>1250</v>
      </c>
      <c r="F596" s="241" t="str">
        <f t="shared" si="73"/>
        <v>-020-203</v>
      </c>
      <c r="G596" s="256" t="str">
        <f t="shared" si="75"/>
        <v>01-0x-020-203</v>
      </c>
      <c r="H596" s="241" t="s">
        <v>473</v>
      </c>
      <c r="I596" s="435" t="s">
        <v>154</v>
      </c>
      <c r="J596" s="438">
        <f>VLOOKUP(H596,'Full Trial Balance'!$A$4:$G$2306,3,FALSE)</f>
        <v>563</v>
      </c>
      <c r="K596" s="438">
        <f>VLOOKUP(H596,'Full Trial Balance'!$A$4:$G$2306,4,FALSE)</f>
        <v>0</v>
      </c>
      <c r="L596" s="438">
        <f>VLOOKUP(H596,'Full Trial Balance'!$A$4:$G$2306,5,FALSE)</f>
        <v>293.20999999999998</v>
      </c>
      <c r="M596" s="438">
        <f>VLOOKUP(H596,'Full Trial Balance'!$A$4:$G$2306,6,FALSE)</f>
        <v>23.23</v>
      </c>
      <c r="N596" s="438">
        <f>VLOOKUP(H596,'Full Trial Balance'!$A$4:$G$2306,7,FALSE)</f>
        <v>269.98</v>
      </c>
      <c r="O596" s="485">
        <f t="shared" si="74"/>
        <v>3.907985046680551E-14</v>
      </c>
    </row>
    <row r="597" spans="1:15" x14ac:dyDescent="0.25">
      <c r="A597" s="241" t="str">
        <f t="shared" si="69"/>
        <v>01-04</v>
      </c>
      <c r="B597" s="241" t="str">
        <f t="shared" si="70"/>
        <v>01</v>
      </c>
      <c r="C597" s="241" t="str">
        <f t="shared" si="71"/>
        <v>04</v>
      </c>
      <c r="D597" s="235" t="str">
        <f t="shared" si="72"/>
        <v>01-</v>
      </c>
      <c r="E597" s="241" t="s">
        <v>1250</v>
      </c>
      <c r="F597" s="241" t="str">
        <f t="shared" si="73"/>
        <v>-020-204</v>
      </c>
      <c r="G597" s="489" t="str">
        <f t="shared" si="75"/>
        <v>01-0x-020-204</v>
      </c>
      <c r="H597" s="241" t="s">
        <v>480</v>
      </c>
      <c r="I597" s="435" t="s">
        <v>877</v>
      </c>
      <c r="J597" s="438">
        <f>VLOOKUP(H597,'Full Trial Balance'!$A$4:$G$2306,3,FALSE)</f>
        <v>4836.24</v>
      </c>
      <c r="K597" s="438">
        <f>VLOOKUP(H597,'Full Trial Balance'!$A$4:$G$2306,4,FALSE)</f>
        <v>0</v>
      </c>
      <c r="L597" s="438">
        <f>VLOOKUP(H597,'Full Trial Balance'!$A$4:$G$2306,5,FALSE)</f>
        <v>2428.27</v>
      </c>
      <c r="M597" s="438">
        <f>VLOOKUP(H597,'Full Trial Balance'!$A$4:$G$2306,6,FALSE)</f>
        <v>0</v>
      </c>
      <c r="N597" s="438">
        <f>VLOOKUP(H597,'Full Trial Balance'!$A$4:$G$2306,7,FALSE)</f>
        <v>2428.27</v>
      </c>
      <c r="O597" s="485">
        <f t="shared" si="74"/>
        <v>0</v>
      </c>
    </row>
    <row r="598" spans="1:15" x14ac:dyDescent="0.25">
      <c r="A598" s="241" t="str">
        <f t="shared" si="69"/>
        <v>01-04</v>
      </c>
      <c r="B598" s="241" t="str">
        <f t="shared" si="70"/>
        <v>01</v>
      </c>
      <c r="C598" s="241" t="str">
        <f t="shared" si="71"/>
        <v>04</v>
      </c>
      <c r="D598" s="235" t="str">
        <f t="shared" si="72"/>
        <v>01-</v>
      </c>
      <c r="E598" s="241" t="s">
        <v>1250</v>
      </c>
      <c r="F598" s="241" t="str">
        <f t="shared" si="73"/>
        <v>-020-205</v>
      </c>
      <c r="G598" s="489" t="str">
        <f t="shared" si="75"/>
        <v>01-0x-020-205</v>
      </c>
      <c r="H598" s="241" t="s">
        <v>470</v>
      </c>
      <c r="I598" s="435" t="s">
        <v>77</v>
      </c>
      <c r="J598" s="438">
        <f>VLOOKUP(H598,'Full Trial Balance'!$A$4:$G$2306,3,FALSE)</f>
        <v>259.2</v>
      </c>
      <c r="K598" s="438">
        <f>VLOOKUP(H598,'Full Trial Balance'!$A$4:$G$2306,4,FALSE)</f>
        <v>0</v>
      </c>
      <c r="L598" s="438">
        <f>VLOOKUP(H598,'Full Trial Balance'!$A$4:$G$2306,5,FALSE)</f>
        <v>129.79</v>
      </c>
      <c r="M598" s="438">
        <f>VLOOKUP(H598,'Full Trial Balance'!$A$4:$G$2306,6,FALSE)</f>
        <v>0</v>
      </c>
      <c r="N598" s="438">
        <f>VLOOKUP(H598,'Full Trial Balance'!$A$4:$G$2306,7,FALSE)</f>
        <v>129.79</v>
      </c>
      <c r="O598" s="485">
        <f t="shared" si="74"/>
        <v>0</v>
      </c>
    </row>
    <row r="599" spans="1:15" x14ac:dyDescent="0.25">
      <c r="A599" s="241" t="str">
        <f t="shared" si="69"/>
        <v>01-04</v>
      </c>
      <c r="B599" s="241" t="str">
        <f t="shared" si="70"/>
        <v>01</v>
      </c>
      <c r="C599" s="241" t="str">
        <f t="shared" si="71"/>
        <v>04</v>
      </c>
      <c r="D599" s="235" t="str">
        <f t="shared" si="72"/>
        <v>01-</v>
      </c>
      <c r="E599" s="241" t="s">
        <v>1250</v>
      </c>
      <c r="F599" s="241" t="str">
        <f t="shared" si="73"/>
        <v>-020-206</v>
      </c>
      <c r="G599" s="235" t="str">
        <f t="shared" si="75"/>
        <v>01-0x-020-206</v>
      </c>
      <c r="H599" s="241" t="s">
        <v>487</v>
      </c>
      <c r="I599" s="435" t="s">
        <v>78</v>
      </c>
      <c r="J599" s="438">
        <f>VLOOKUP(H599,'Full Trial Balance'!$A$4:$G$2306,3,FALSE)</f>
        <v>81.72</v>
      </c>
      <c r="K599" s="438">
        <f>VLOOKUP(H599,'Full Trial Balance'!$A$4:$G$2306,4,FALSE)</f>
        <v>0</v>
      </c>
      <c r="L599" s="438">
        <f>VLOOKUP(H599,'Full Trial Balance'!$A$4:$G$2306,5,FALSE)</f>
        <v>44.67</v>
      </c>
      <c r="M599" s="438">
        <f>VLOOKUP(H599,'Full Trial Balance'!$A$4:$G$2306,6,FALSE)</f>
        <v>0</v>
      </c>
      <c r="N599" s="438">
        <f>VLOOKUP(H599,'Full Trial Balance'!$A$4:$G$2306,7,FALSE)</f>
        <v>44.67</v>
      </c>
      <c r="O599" s="485">
        <f t="shared" si="74"/>
        <v>0</v>
      </c>
    </row>
    <row r="600" spans="1:15" x14ac:dyDescent="0.25">
      <c r="A600" s="241" t="str">
        <f t="shared" si="69"/>
        <v>01-04</v>
      </c>
      <c r="B600" s="241" t="str">
        <f t="shared" si="70"/>
        <v>01</v>
      </c>
      <c r="C600" s="241" t="str">
        <f t="shared" si="71"/>
        <v>04</v>
      </c>
      <c r="D600" s="235" t="str">
        <f t="shared" si="72"/>
        <v>01-</v>
      </c>
      <c r="E600" s="241" t="s">
        <v>1250</v>
      </c>
      <c r="F600" s="241" t="str">
        <f t="shared" si="73"/>
        <v>-020-208</v>
      </c>
      <c r="G600" s="235" t="str">
        <f t="shared" si="75"/>
        <v>01-0x-020-208</v>
      </c>
      <c r="H600" s="241" t="s">
        <v>490</v>
      </c>
      <c r="I600" s="435" t="s">
        <v>893</v>
      </c>
      <c r="J600" s="438">
        <f>VLOOKUP(H600,'Full Trial Balance'!$A$4:$G$2306,3,FALSE)</f>
        <v>399</v>
      </c>
      <c r="K600" s="438">
        <f>VLOOKUP(H600,'Full Trial Balance'!$A$4:$G$2306,4,FALSE)</f>
        <v>0</v>
      </c>
      <c r="L600" s="438">
        <f>VLOOKUP(H600,'Full Trial Balance'!$A$4:$G$2306,5,FALSE)</f>
        <v>371.62</v>
      </c>
      <c r="M600" s="438">
        <f>VLOOKUP(H600,'Full Trial Balance'!$A$4:$G$2306,6,FALSE)</f>
        <v>9.02</v>
      </c>
      <c r="N600" s="438">
        <f>VLOOKUP(H600,'Full Trial Balance'!$A$4:$G$2306,7,FALSE)</f>
        <v>362.6</v>
      </c>
      <c r="O600" s="485">
        <f t="shared" si="74"/>
        <v>1.7763568394002505E-14</v>
      </c>
    </row>
    <row r="601" spans="1:15" x14ac:dyDescent="0.25">
      <c r="A601" s="241" t="str">
        <f t="shared" si="69"/>
        <v>01-04</v>
      </c>
      <c r="B601" s="241" t="str">
        <f t="shared" si="70"/>
        <v>01</v>
      </c>
      <c r="C601" s="241" t="str">
        <f t="shared" si="71"/>
        <v>04</v>
      </c>
      <c r="D601" s="235" t="str">
        <f t="shared" si="72"/>
        <v>01-</v>
      </c>
      <c r="E601" s="241" t="s">
        <v>1250</v>
      </c>
      <c r="F601" s="241" t="str">
        <f t="shared" si="73"/>
        <v>-020-209</v>
      </c>
      <c r="G601" s="256" t="str">
        <f t="shared" si="75"/>
        <v>01-0x-020-209</v>
      </c>
      <c r="H601" s="241" t="s">
        <v>479</v>
      </c>
      <c r="I601" s="435" t="s">
        <v>39</v>
      </c>
      <c r="J601" s="438">
        <f>VLOOKUP(H601,'Full Trial Balance'!$A$4:$G$2306,3,FALSE)</f>
        <v>130.32</v>
      </c>
      <c r="K601" s="438">
        <f>VLOOKUP(H601,'Full Trial Balance'!$A$4:$G$2306,4,FALSE)</f>
        <v>0</v>
      </c>
      <c r="L601" s="438">
        <f>VLOOKUP(H601,'Full Trial Balance'!$A$4:$G$2306,5,FALSE)</f>
        <v>68.319999999999993</v>
      </c>
      <c r="M601" s="438">
        <f>VLOOKUP(H601,'Full Trial Balance'!$A$4:$G$2306,6,FALSE)</f>
        <v>19.13</v>
      </c>
      <c r="N601" s="438">
        <f>VLOOKUP(H601,'Full Trial Balance'!$A$4:$G$2306,7,FALSE)</f>
        <v>49.19</v>
      </c>
      <c r="O601" s="485">
        <f t="shared" si="74"/>
        <v>0</v>
      </c>
    </row>
    <row r="602" spans="1:15" x14ac:dyDescent="0.25">
      <c r="A602" s="241" t="str">
        <f t="shared" si="69"/>
        <v>01-04</v>
      </c>
      <c r="B602" s="241" t="str">
        <f t="shared" si="70"/>
        <v>01</v>
      </c>
      <c r="C602" s="241" t="str">
        <f t="shared" si="71"/>
        <v>04</v>
      </c>
      <c r="D602" s="235" t="str">
        <f t="shared" si="72"/>
        <v>01-</v>
      </c>
      <c r="E602" s="241" t="s">
        <v>1250</v>
      </c>
      <c r="F602" s="241" t="str">
        <f t="shared" si="73"/>
        <v>-020-212</v>
      </c>
      <c r="G602" s="256" t="str">
        <f t="shared" si="75"/>
        <v>01-0x-020-212</v>
      </c>
      <c r="H602" s="241" t="s">
        <v>485</v>
      </c>
      <c r="I602" s="435" t="s">
        <v>40</v>
      </c>
      <c r="J602" s="438">
        <f>VLOOKUP(H602,'Full Trial Balance'!$A$4:$G$2306,3,FALSE)</f>
        <v>249.48</v>
      </c>
      <c r="K602" s="438">
        <f>VLOOKUP(H602,'Full Trial Balance'!$A$4:$G$2306,4,FALSE)</f>
        <v>0</v>
      </c>
      <c r="L602" s="438">
        <f>VLOOKUP(H602,'Full Trial Balance'!$A$4:$G$2306,5,FALSE)</f>
        <v>22.81</v>
      </c>
      <c r="M602" s="438">
        <f>VLOOKUP(H602,'Full Trial Balance'!$A$4:$G$2306,6,FALSE)</f>
        <v>12.32</v>
      </c>
      <c r="N602" s="438">
        <f>VLOOKUP(H602,'Full Trial Balance'!$A$4:$G$2306,7,FALSE)</f>
        <v>10.49</v>
      </c>
      <c r="O602" s="485">
        <f t="shared" si="74"/>
        <v>0</v>
      </c>
    </row>
    <row r="603" spans="1:15" x14ac:dyDescent="0.25">
      <c r="A603" s="241" t="str">
        <f t="shared" si="69"/>
        <v>01-04</v>
      </c>
      <c r="B603" s="241" t="str">
        <f t="shared" si="70"/>
        <v>01</v>
      </c>
      <c r="C603" s="241" t="str">
        <f t="shared" si="71"/>
        <v>04</v>
      </c>
      <c r="D603" s="235" t="str">
        <f t="shared" si="72"/>
        <v>01-</v>
      </c>
      <c r="E603" s="241" t="s">
        <v>1250</v>
      </c>
      <c r="F603" s="241" t="str">
        <f t="shared" si="73"/>
        <v>-020-213</v>
      </c>
      <c r="G603" s="256" t="str">
        <f t="shared" si="75"/>
        <v>01-0x-020-213</v>
      </c>
      <c r="H603" s="241" t="s">
        <v>472</v>
      </c>
      <c r="I603" s="435" t="s">
        <v>41</v>
      </c>
      <c r="J603" s="438">
        <f>VLOOKUP(H603,'Full Trial Balance'!$A$4:$G$2306,3,FALSE)</f>
        <v>5.4</v>
      </c>
      <c r="K603" s="438">
        <f>VLOOKUP(H603,'Full Trial Balance'!$A$4:$G$2306,4,FALSE)</f>
        <v>0</v>
      </c>
      <c r="L603" s="438">
        <f>VLOOKUP(H603,'Full Trial Balance'!$A$4:$G$2306,5,FALSE)</f>
        <v>0.55000000000000004</v>
      </c>
      <c r="M603" s="438">
        <f>VLOOKUP(H603,'Full Trial Balance'!$A$4:$G$2306,6,FALSE)</f>
        <v>0.3</v>
      </c>
      <c r="N603" s="438">
        <f>VLOOKUP(H603,'Full Trial Balance'!$A$4:$G$2306,7,FALSE)</f>
        <v>0.25</v>
      </c>
      <c r="O603" s="485">
        <f t="shared" si="74"/>
        <v>0</v>
      </c>
    </row>
    <row r="604" spans="1:15" x14ac:dyDescent="0.25">
      <c r="A604" s="241" t="str">
        <f t="shared" si="69"/>
        <v>01-04</v>
      </c>
      <c r="B604" s="241" t="str">
        <f t="shared" si="70"/>
        <v>01</v>
      </c>
      <c r="C604" s="241" t="str">
        <f t="shared" si="71"/>
        <v>04</v>
      </c>
      <c r="D604" s="235" t="str">
        <f t="shared" si="72"/>
        <v>01-</v>
      </c>
      <c r="E604" s="241" t="s">
        <v>1250</v>
      </c>
      <c r="F604" s="241" t="str">
        <f t="shared" si="73"/>
        <v>-020-215</v>
      </c>
      <c r="G604" s="256" t="str">
        <f t="shared" si="75"/>
        <v>01-0x-020-215</v>
      </c>
      <c r="H604" s="241" t="s">
        <v>471</v>
      </c>
      <c r="I604" s="435" t="s">
        <v>42</v>
      </c>
      <c r="J604" s="438">
        <f>VLOOKUP(H604,'Full Trial Balance'!$A$4:$G$2306,3,FALSE)</f>
        <v>102.24</v>
      </c>
      <c r="K604" s="438">
        <f>VLOOKUP(H604,'Full Trial Balance'!$A$4:$G$2306,4,FALSE)</f>
        <v>0</v>
      </c>
      <c r="L604" s="438">
        <f>VLOOKUP(H604,'Full Trial Balance'!$A$4:$G$2306,5,FALSE)</f>
        <v>36.33</v>
      </c>
      <c r="M604" s="438">
        <f>VLOOKUP(H604,'Full Trial Balance'!$A$4:$G$2306,6,FALSE)</f>
        <v>1.95</v>
      </c>
      <c r="N604" s="438">
        <f>VLOOKUP(H604,'Full Trial Balance'!$A$4:$G$2306,7,FALSE)</f>
        <v>34.380000000000003</v>
      </c>
      <c r="O604" s="485">
        <f t="shared" si="74"/>
        <v>4.2188474935755949E-15</v>
      </c>
    </row>
    <row r="605" spans="1:15" x14ac:dyDescent="0.25">
      <c r="A605" s="241" t="str">
        <f t="shared" si="69"/>
        <v>01-04</v>
      </c>
      <c r="B605" s="241" t="str">
        <f t="shared" si="70"/>
        <v>01</v>
      </c>
      <c r="C605" s="241" t="str">
        <f t="shared" si="71"/>
        <v>04</v>
      </c>
      <c r="D605" s="235" t="str">
        <f t="shared" si="72"/>
        <v>01-</v>
      </c>
      <c r="E605" s="241" t="s">
        <v>1250</v>
      </c>
      <c r="F605" s="241" t="str">
        <f t="shared" si="73"/>
        <v>-020-217</v>
      </c>
      <c r="G605" s="489" t="s">
        <v>3433</v>
      </c>
      <c r="H605" s="241" t="s">
        <v>465</v>
      </c>
      <c r="I605" s="435" t="s">
        <v>43</v>
      </c>
      <c r="J605" s="438">
        <f>VLOOKUP(H605,'Full Trial Balance'!$A$4:$G$2306,3,FALSE)</f>
        <v>2982.6</v>
      </c>
      <c r="K605" s="438">
        <f>VLOOKUP(H605,'Full Trial Balance'!$A$4:$G$2306,4,FALSE)</f>
        <v>0</v>
      </c>
      <c r="L605" s="438">
        <f>VLOOKUP(H605,'Full Trial Balance'!$A$4:$G$2306,5,FALSE)</f>
        <v>1456.71</v>
      </c>
      <c r="M605" s="438">
        <f>VLOOKUP(H605,'Full Trial Balance'!$A$4:$G$2306,6,FALSE)</f>
        <v>116.43</v>
      </c>
      <c r="N605" s="438">
        <f>VLOOKUP(H605,'Full Trial Balance'!$A$4:$G$2306,7,FALSE)</f>
        <v>1340.28</v>
      </c>
      <c r="O605" s="485">
        <f t="shared" si="74"/>
        <v>0</v>
      </c>
    </row>
    <row r="606" spans="1:15" x14ac:dyDescent="0.25">
      <c r="A606" s="241" t="str">
        <f t="shared" si="69"/>
        <v>01-04</v>
      </c>
      <c r="B606" s="241" t="str">
        <f t="shared" si="70"/>
        <v>01</v>
      </c>
      <c r="C606" s="241" t="str">
        <f t="shared" si="71"/>
        <v>04</v>
      </c>
      <c r="D606" s="235" t="str">
        <f t="shared" si="72"/>
        <v>01-</v>
      </c>
      <c r="E606" s="241" t="s">
        <v>1250</v>
      </c>
      <c r="F606" s="241" t="str">
        <f t="shared" si="73"/>
        <v>-020-218</v>
      </c>
      <c r="G606" s="489" t="s">
        <v>3434</v>
      </c>
      <c r="H606" s="241" t="s">
        <v>466</v>
      </c>
      <c r="I606" s="435" t="s">
        <v>44</v>
      </c>
      <c r="J606" s="438">
        <f>VLOOKUP(H606,'Full Trial Balance'!$A$4:$G$2306,3,FALSE)</f>
        <v>2463.84</v>
      </c>
      <c r="K606" s="438">
        <f>VLOOKUP(H606,'Full Trial Balance'!$A$4:$G$2306,4,FALSE)</f>
        <v>0</v>
      </c>
      <c r="L606" s="438">
        <f>VLOOKUP(H606,'Full Trial Balance'!$A$4:$G$2306,5,FALSE)</f>
        <v>1208.1400000000001</v>
      </c>
      <c r="M606" s="438">
        <f>VLOOKUP(H606,'Full Trial Balance'!$A$4:$G$2306,6,FALSE)</f>
        <v>96.01</v>
      </c>
      <c r="N606" s="438">
        <f>VLOOKUP(H606,'Full Trial Balance'!$A$4:$G$2306,7,FALSE)</f>
        <v>1112.1300000000001</v>
      </c>
      <c r="O606" s="485">
        <f t="shared" si="74"/>
        <v>0</v>
      </c>
    </row>
    <row r="607" spans="1:15" x14ac:dyDescent="0.25">
      <c r="A607" s="241" t="str">
        <f t="shared" si="69"/>
        <v>01-04</v>
      </c>
      <c r="B607" s="241" t="str">
        <f t="shared" si="70"/>
        <v>01</v>
      </c>
      <c r="C607" s="241" t="str">
        <f t="shared" si="71"/>
        <v>04</v>
      </c>
      <c r="D607" s="235" t="str">
        <f t="shared" si="72"/>
        <v>01-</v>
      </c>
      <c r="E607" s="241" t="s">
        <v>1250</v>
      </c>
      <c r="F607" s="241" t="str">
        <f t="shared" si="73"/>
        <v>-020-220</v>
      </c>
      <c r="G607" s="256" t="str">
        <f>CONCATENATE(D607,E607,F607)</f>
        <v>01-0x-020-220</v>
      </c>
      <c r="H607" s="241" t="s">
        <v>482</v>
      </c>
      <c r="I607" s="435" t="s">
        <v>183</v>
      </c>
      <c r="J607" s="438">
        <f>VLOOKUP(H607,'Full Trial Balance'!$A$4:$G$2306,3,FALSE)</f>
        <v>1422</v>
      </c>
      <c r="K607" s="438">
        <f>VLOOKUP(H607,'Full Trial Balance'!$A$4:$G$2306,4,FALSE)</f>
        <v>0</v>
      </c>
      <c r="L607" s="438">
        <f>VLOOKUP(H607,'Full Trial Balance'!$A$4:$G$2306,5,FALSE)</f>
        <v>0</v>
      </c>
      <c r="M607" s="438">
        <f>VLOOKUP(H607,'Full Trial Balance'!$A$4:$G$2306,6,FALSE)</f>
        <v>0</v>
      </c>
      <c r="N607" s="438">
        <f>VLOOKUP(H607,'Full Trial Balance'!$A$4:$G$2306,7,FALSE)</f>
        <v>0</v>
      </c>
      <c r="O607" s="485">
        <f t="shared" si="74"/>
        <v>0</v>
      </c>
    </row>
    <row r="608" spans="1:15" x14ac:dyDescent="0.25">
      <c r="A608" s="241" t="str">
        <f t="shared" si="69"/>
        <v>01-04</v>
      </c>
      <c r="B608" s="241" t="str">
        <f t="shared" si="70"/>
        <v>01</v>
      </c>
      <c r="C608" s="241" t="str">
        <f t="shared" si="71"/>
        <v>04</v>
      </c>
      <c r="D608" s="235" t="str">
        <f t="shared" si="72"/>
        <v>01-</v>
      </c>
      <c r="E608" s="241" t="s">
        <v>1250</v>
      </c>
      <c r="F608" s="241" t="str">
        <f t="shared" si="73"/>
        <v>-033-106</v>
      </c>
      <c r="G608" s="256" t="s">
        <v>1453</v>
      </c>
      <c r="H608" s="241" t="s">
        <v>464</v>
      </c>
      <c r="I608" s="435" t="s">
        <v>1161</v>
      </c>
      <c r="J608" s="438">
        <f>VLOOKUP(H608,'Full Trial Balance'!$A$4:$G$2306,3,FALSE)</f>
        <v>72</v>
      </c>
      <c r="K608" s="438">
        <f>VLOOKUP(H608,'Full Trial Balance'!$A$4:$G$2306,4,FALSE)</f>
        <v>0</v>
      </c>
      <c r="L608" s="438">
        <f>VLOOKUP(H608,'Full Trial Balance'!$A$4:$G$2306,5,FALSE)</f>
        <v>0</v>
      </c>
      <c r="M608" s="438">
        <f>VLOOKUP(H608,'Full Trial Balance'!$A$4:$G$2306,6,FALSE)</f>
        <v>0</v>
      </c>
      <c r="N608" s="438">
        <f>VLOOKUP(H608,'Full Trial Balance'!$A$4:$G$2306,7,FALSE)</f>
        <v>0</v>
      </c>
      <c r="O608" s="485">
        <f t="shared" si="74"/>
        <v>0</v>
      </c>
    </row>
    <row r="609" spans="1:15" x14ac:dyDescent="0.25">
      <c r="A609" s="241" t="str">
        <f t="shared" si="69"/>
        <v>01-04</v>
      </c>
      <c r="B609" s="241" t="str">
        <f t="shared" si="70"/>
        <v>01</v>
      </c>
      <c r="C609" s="241" t="str">
        <f t="shared" si="71"/>
        <v>04</v>
      </c>
      <c r="D609" s="235" t="str">
        <f t="shared" si="72"/>
        <v>01-</v>
      </c>
      <c r="E609" s="241" t="s">
        <v>1250</v>
      </c>
      <c r="F609" s="241" t="str">
        <f t="shared" si="73"/>
        <v>-035-002</v>
      </c>
      <c r="G609" s="256" t="str">
        <f>CONCATENATE(D609,E609,F609)</f>
        <v>01-0x-035-002</v>
      </c>
      <c r="H609" s="241" t="s">
        <v>484</v>
      </c>
      <c r="I609" s="435" t="s">
        <v>47</v>
      </c>
      <c r="J609" s="438">
        <f>VLOOKUP(H609,'Full Trial Balance'!$A$4:$G$2306,3,FALSE)</f>
        <v>3600</v>
      </c>
      <c r="K609" s="438">
        <f>VLOOKUP(H609,'Full Trial Balance'!$A$4:$G$2306,4,FALSE)</f>
        <v>0</v>
      </c>
      <c r="L609" s="438">
        <f>VLOOKUP(H609,'Full Trial Balance'!$A$4:$G$2306,5,FALSE)</f>
        <v>1570.19</v>
      </c>
      <c r="M609" s="438">
        <f>VLOOKUP(H609,'Full Trial Balance'!$A$4:$G$2306,6,FALSE)</f>
        <v>0</v>
      </c>
      <c r="N609" s="438">
        <f>VLOOKUP(H609,'Full Trial Balance'!$A$4:$G$2306,7,FALSE)</f>
        <v>1570.19</v>
      </c>
      <c r="O609" s="485">
        <f t="shared" si="74"/>
        <v>0</v>
      </c>
    </row>
    <row r="610" spans="1:15" x14ac:dyDescent="0.25">
      <c r="A610" s="241" t="str">
        <f t="shared" si="69"/>
        <v>01-04</v>
      </c>
      <c r="B610" s="241" t="str">
        <f t="shared" si="70"/>
        <v>01</v>
      </c>
      <c r="C610" s="241" t="str">
        <f t="shared" si="71"/>
        <v>04</v>
      </c>
      <c r="D610" s="235" t="str">
        <f t="shared" si="72"/>
        <v>01-</v>
      </c>
      <c r="E610" s="241" t="s">
        <v>1250</v>
      </c>
      <c r="F610" s="241" t="str">
        <f t="shared" si="73"/>
        <v>-035-004</v>
      </c>
      <c r="G610" s="235" t="s">
        <v>1453</v>
      </c>
      <c r="H610" s="241" t="s">
        <v>475</v>
      </c>
      <c r="I610" s="435" t="s">
        <v>49</v>
      </c>
      <c r="J610" s="438">
        <f>VLOOKUP(H610,'Full Trial Balance'!$A$4:$G$2306,3,FALSE)</f>
        <v>360</v>
      </c>
      <c r="K610" s="438">
        <f>VLOOKUP(H610,'Full Trial Balance'!$A$4:$G$2306,4,FALSE)</f>
        <v>0</v>
      </c>
      <c r="L610" s="438">
        <f>VLOOKUP(H610,'Full Trial Balance'!$A$4:$G$2306,5,FALSE)</f>
        <v>0</v>
      </c>
      <c r="M610" s="438">
        <f>VLOOKUP(H610,'Full Trial Balance'!$A$4:$G$2306,6,FALSE)</f>
        <v>0</v>
      </c>
      <c r="N610" s="438">
        <f>VLOOKUP(H610,'Full Trial Balance'!$A$4:$G$2306,7,FALSE)</f>
        <v>0</v>
      </c>
      <c r="O610" s="485">
        <f t="shared" si="74"/>
        <v>0</v>
      </c>
    </row>
    <row r="611" spans="1:15" x14ac:dyDescent="0.25">
      <c r="A611" s="241" t="str">
        <f t="shared" si="69"/>
        <v>01-04</v>
      </c>
      <c r="B611" s="241" t="str">
        <f t="shared" si="70"/>
        <v>01</v>
      </c>
      <c r="C611" s="241" t="str">
        <f t="shared" si="71"/>
        <v>04</v>
      </c>
      <c r="D611" s="235" t="str">
        <f t="shared" si="72"/>
        <v>01-</v>
      </c>
      <c r="E611" s="241" t="s">
        <v>1250</v>
      </c>
      <c r="F611" s="241" t="str">
        <f t="shared" si="73"/>
        <v>-035-005</v>
      </c>
      <c r="G611" s="235" t="s">
        <v>1458</v>
      </c>
      <c r="H611" s="241" t="s">
        <v>467</v>
      </c>
      <c r="I611" s="435" t="s">
        <v>50</v>
      </c>
      <c r="J611" s="438">
        <f>VLOOKUP(H611,'Full Trial Balance'!$A$4:$G$2306,3,FALSE)</f>
        <v>180</v>
      </c>
      <c r="K611" s="438">
        <f>VLOOKUP(H611,'Full Trial Balance'!$A$4:$G$2306,4,FALSE)</f>
        <v>0</v>
      </c>
      <c r="L611" s="438">
        <f>VLOOKUP(H611,'Full Trial Balance'!$A$4:$G$2306,5,FALSE)</f>
        <v>126</v>
      </c>
      <c r="M611" s="438">
        <f>VLOOKUP(H611,'Full Trial Balance'!$A$4:$G$2306,6,FALSE)</f>
        <v>0</v>
      </c>
      <c r="N611" s="438">
        <f>VLOOKUP(H611,'Full Trial Balance'!$A$4:$G$2306,7,FALSE)</f>
        <v>126</v>
      </c>
      <c r="O611" s="485">
        <f t="shared" si="74"/>
        <v>0</v>
      </c>
    </row>
    <row r="612" spans="1:15" x14ac:dyDescent="0.25">
      <c r="A612" s="241" t="str">
        <f t="shared" si="69"/>
        <v>01-04</v>
      </c>
      <c r="B612" s="241" t="str">
        <f t="shared" si="70"/>
        <v>01</v>
      </c>
      <c r="C612" s="241" t="str">
        <f t="shared" si="71"/>
        <v>04</v>
      </c>
      <c r="D612" s="235" t="str">
        <f t="shared" si="72"/>
        <v>01-</v>
      </c>
      <c r="E612" s="241" t="s">
        <v>1250</v>
      </c>
      <c r="F612" s="241" t="str">
        <f t="shared" si="73"/>
        <v>-035-007</v>
      </c>
      <c r="G612" s="235" t="str">
        <f>CONCATENATE(D612,E612,F612)</f>
        <v>01-0x-035-007</v>
      </c>
      <c r="H612" s="241" t="s">
        <v>463</v>
      </c>
      <c r="I612" s="435" t="s">
        <v>51</v>
      </c>
      <c r="J612" s="438">
        <f>VLOOKUP(H612,'Full Trial Balance'!$A$4:$G$2306,3,FALSE)</f>
        <v>1800</v>
      </c>
      <c r="K612" s="438">
        <f>VLOOKUP(H612,'Full Trial Balance'!$A$4:$G$2306,4,FALSE)</f>
        <v>0</v>
      </c>
      <c r="L612" s="438">
        <f>VLOOKUP(H612,'Full Trial Balance'!$A$4:$G$2306,5,FALSE)</f>
        <v>0</v>
      </c>
      <c r="M612" s="438">
        <f>VLOOKUP(H612,'Full Trial Balance'!$A$4:$G$2306,6,FALSE)</f>
        <v>0</v>
      </c>
      <c r="N612" s="438">
        <f>VLOOKUP(H612,'Full Trial Balance'!$A$4:$G$2306,7,FALSE)</f>
        <v>0</v>
      </c>
      <c r="O612" s="485">
        <f t="shared" si="74"/>
        <v>0</v>
      </c>
    </row>
    <row r="613" spans="1:15" x14ac:dyDescent="0.25">
      <c r="A613" s="241" t="str">
        <f t="shared" si="69"/>
        <v>01-04</v>
      </c>
      <c r="B613" s="241" t="str">
        <f t="shared" si="70"/>
        <v>01</v>
      </c>
      <c r="C613" s="241" t="str">
        <f t="shared" si="71"/>
        <v>04</v>
      </c>
      <c r="D613" s="235" t="str">
        <f t="shared" si="72"/>
        <v>01-</v>
      </c>
      <c r="E613" s="241" t="s">
        <v>1250</v>
      </c>
      <c r="F613" s="241" t="str">
        <f t="shared" si="73"/>
        <v>-038-111</v>
      </c>
      <c r="G613" s="235" t="str">
        <f>CONCATENATE(D613,E613,F613)</f>
        <v>01-0x-038-111</v>
      </c>
      <c r="H613" s="241" t="s">
        <v>469</v>
      </c>
      <c r="I613" s="435" t="s">
        <v>52</v>
      </c>
      <c r="J613" s="438">
        <f>VLOOKUP(H613,'Full Trial Balance'!$A$4:$G$2306,3,FALSE)</f>
        <v>0</v>
      </c>
      <c r="K613" s="438">
        <f>VLOOKUP(H613,'Full Trial Balance'!$A$4:$G$2306,4,FALSE)</f>
        <v>0</v>
      </c>
      <c r="L613" s="438">
        <f>VLOOKUP(H613,'Full Trial Balance'!$A$4:$G$2306,5,FALSE)</f>
        <v>0</v>
      </c>
      <c r="M613" s="438">
        <f>VLOOKUP(H613,'Full Trial Balance'!$A$4:$G$2306,6,FALSE)</f>
        <v>0</v>
      </c>
      <c r="N613" s="438">
        <f>VLOOKUP(H613,'Full Trial Balance'!$A$4:$G$2306,7,FALSE)</f>
        <v>0</v>
      </c>
      <c r="O613" s="485">
        <f t="shared" si="74"/>
        <v>0</v>
      </c>
    </row>
    <row r="614" spans="1:15" x14ac:dyDescent="0.25">
      <c r="A614" s="241" t="str">
        <f t="shared" si="69"/>
        <v>01-04</v>
      </c>
      <c r="B614" s="241" t="str">
        <f t="shared" si="70"/>
        <v>01</v>
      </c>
      <c r="C614" s="241" t="str">
        <f t="shared" si="71"/>
        <v>04</v>
      </c>
      <c r="D614" s="235" t="str">
        <f t="shared" si="72"/>
        <v>01-</v>
      </c>
      <c r="E614" s="241" t="s">
        <v>1250</v>
      </c>
      <c r="F614" s="241" t="str">
        <f t="shared" si="73"/>
        <v>-040-025</v>
      </c>
      <c r="G614" s="235" t="str">
        <f>CONCATENATE(D614,E614,F614)</f>
        <v>01-0x-040-025</v>
      </c>
      <c r="H614" s="241" t="s">
        <v>481</v>
      </c>
      <c r="I614" s="435" t="s">
        <v>54</v>
      </c>
      <c r="J614" s="438">
        <f>VLOOKUP(H614,'Full Trial Balance'!$A$4:$G$2306,3,FALSE)</f>
        <v>1800</v>
      </c>
      <c r="K614" s="438">
        <f>VLOOKUP(H614,'Full Trial Balance'!$A$4:$G$2306,4,FALSE)</f>
        <v>0</v>
      </c>
      <c r="L614" s="438">
        <f>VLOOKUP(H614,'Full Trial Balance'!$A$4:$G$2306,5,FALSE)</f>
        <v>180</v>
      </c>
      <c r="M614" s="438">
        <f>VLOOKUP(H614,'Full Trial Balance'!$A$4:$G$2306,6,FALSE)</f>
        <v>0</v>
      </c>
      <c r="N614" s="438">
        <f>VLOOKUP(H614,'Full Trial Balance'!$A$4:$G$2306,7,FALSE)</f>
        <v>180</v>
      </c>
      <c r="O614" s="485">
        <f t="shared" si="74"/>
        <v>0</v>
      </c>
    </row>
    <row r="615" spans="1:15" x14ac:dyDescent="0.25">
      <c r="A615" s="241" t="str">
        <f t="shared" si="69"/>
        <v>01-04</v>
      </c>
      <c r="B615" s="241" t="str">
        <f t="shared" si="70"/>
        <v>01</v>
      </c>
      <c r="C615" s="241" t="str">
        <f t="shared" si="71"/>
        <v>04</v>
      </c>
      <c r="D615" s="235" t="str">
        <f t="shared" si="72"/>
        <v>01-</v>
      </c>
      <c r="E615" s="241" t="s">
        <v>1250</v>
      </c>
      <c r="F615" s="241" t="str">
        <f t="shared" si="73"/>
        <v>-076-000</v>
      </c>
      <c r="G615" s="235" t="s">
        <v>1418</v>
      </c>
      <c r="H615" s="241" t="s">
        <v>486</v>
      </c>
      <c r="I615" s="435" t="s">
        <v>56</v>
      </c>
      <c r="J615" s="438">
        <f>VLOOKUP(H615,'Full Trial Balance'!$A$4:$G$2306,3,FALSE)</f>
        <v>20000</v>
      </c>
      <c r="K615" s="438">
        <f>VLOOKUP(H615,'Full Trial Balance'!$A$4:$G$2306,4,FALSE)</f>
        <v>0</v>
      </c>
      <c r="L615" s="438">
        <f>VLOOKUP(H615,'Full Trial Balance'!$A$4:$G$2306,5,FALSE)</f>
        <v>11472.53</v>
      </c>
      <c r="M615" s="438">
        <f>VLOOKUP(H615,'Full Trial Balance'!$A$4:$G$2306,6,FALSE)</f>
        <v>0</v>
      </c>
      <c r="N615" s="438">
        <f>VLOOKUP(H615,'Full Trial Balance'!$A$4:$G$2306,7,FALSE)</f>
        <v>11472.53</v>
      </c>
      <c r="O615" s="485">
        <f t="shared" si="74"/>
        <v>0</v>
      </c>
    </row>
    <row r="616" spans="1:15" x14ac:dyDescent="0.25">
      <c r="A616" s="241" t="str">
        <f t="shared" si="69"/>
        <v>01-04</v>
      </c>
      <c r="B616" s="241" t="str">
        <f t="shared" si="70"/>
        <v>01</v>
      </c>
      <c r="C616" s="241" t="str">
        <f t="shared" si="71"/>
        <v>04</v>
      </c>
      <c r="D616" s="235" t="str">
        <f t="shared" si="72"/>
        <v>01-</v>
      </c>
      <c r="E616" s="241" t="s">
        <v>1250</v>
      </c>
      <c r="F616" s="241" t="str">
        <f t="shared" si="73"/>
        <v>-076-001</v>
      </c>
      <c r="G616" s="235" t="s">
        <v>1418</v>
      </c>
      <c r="H616" s="241" t="s">
        <v>489</v>
      </c>
      <c r="I616" s="435" t="s">
        <v>57</v>
      </c>
      <c r="J616" s="438">
        <f>VLOOKUP(H616,'Full Trial Balance'!$A$4:$G$2306,3,FALSE)</f>
        <v>25000</v>
      </c>
      <c r="K616" s="438">
        <f>VLOOKUP(H616,'Full Trial Balance'!$A$4:$G$2306,4,FALSE)</f>
        <v>0</v>
      </c>
      <c r="L616" s="438">
        <f>VLOOKUP(H616,'Full Trial Balance'!$A$4:$G$2306,5,FALSE)</f>
        <v>6000</v>
      </c>
      <c r="M616" s="438">
        <f>VLOOKUP(H616,'Full Trial Balance'!$A$4:$G$2306,6,FALSE)</f>
        <v>0</v>
      </c>
      <c r="N616" s="438">
        <f>VLOOKUP(H616,'Full Trial Balance'!$A$4:$G$2306,7,FALSE)</f>
        <v>6000</v>
      </c>
      <c r="O616" s="485">
        <f t="shared" si="74"/>
        <v>0</v>
      </c>
    </row>
    <row r="617" spans="1:15" x14ac:dyDescent="0.25">
      <c r="A617" s="241" t="str">
        <f t="shared" si="69"/>
        <v>01-04</v>
      </c>
      <c r="B617" s="241" t="str">
        <f t="shared" si="70"/>
        <v>01</v>
      </c>
      <c r="C617" s="241" t="str">
        <f t="shared" si="71"/>
        <v>04</v>
      </c>
      <c r="D617" s="235" t="str">
        <f t="shared" si="72"/>
        <v>01-</v>
      </c>
      <c r="E617" s="241" t="s">
        <v>1250</v>
      </c>
      <c r="F617" s="241" t="str">
        <f t="shared" si="73"/>
        <v>-076-005</v>
      </c>
      <c r="G617" s="235" t="s">
        <v>1421</v>
      </c>
      <c r="H617" s="241" t="s">
        <v>468</v>
      </c>
      <c r="I617" s="435" t="s">
        <v>58</v>
      </c>
      <c r="J617" s="438">
        <f>VLOOKUP(H617,'Full Trial Balance'!$A$4:$G$2306,3,FALSE)</f>
        <v>15250</v>
      </c>
      <c r="K617" s="438">
        <f>VLOOKUP(H617,'Full Trial Balance'!$A$4:$G$2306,4,FALSE)</f>
        <v>0</v>
      </c>
      <c r="L617" s="438">
        <f>VLOOKUP(H617,'Full Trial Balance'!$A$4:$G$2306,5,FALSE)</f>
        <v>4509.7700000000004</v>
      </c>
      <c r="M617" s="438">
        <f>VLOOKUP(H617,'Full Trial Balance'!$A$4:$G$2306,6,FALSE)</f>
        <v>0</v>
      </c>
      <c r="N617" s="438">
        <f>VLOOKUP(H617,'Full Trial Balance'!$A$4:$G$2306,7,FALSE)</f>
        <v>4509.7700000000004</v>
      </c>
      <c r="O617" s="485">
        <f t="shared" si="74"/>
        <v>0</v>
      </c>
    </row>
    <row r="618" spans="1:15" x14ac:dyDescent="0.25">
      <c r="A618" s="241" t="str">
        <f t="shared" si="69"/>
        <v>01-04</v>
      </c>
      <c r="B618" s="241" t="str">
        <f t="shared" si="70"/>
        <v>01</v>
      </c>
      <c r="C618" s="241" t="str">
        <f t="shared" si="71"/>
        <v>04</v>
      </c>
      <c r="D618" s="235" t="str">
        <f t="shared" si="72"/>
        <v>01-</v>
      </c>
      <c r="E618" s="241" t="s">
        <v>1250</v>
      </c>
      <c r="F618" s="241" t="str">
        <f t="shared" si="73"/>
        <v>-076-010</v>
      </c>
      <c r="G618" s="235" t="s">
        <v>1418</v>
      </c>
      <c r="H618" s="241" t="s">
        <v>478</v>
      </c>
      <c r="I618" s="435" t="s">
        <v>59</v>
      </c>
      <c r="J618" s="438">
        <f>VLOOKUP(H618,'Full Trial Balance'!$A$4:$G$2306,3,FALSE)</f>
        <v>20000</v>
      </c>
      <c r="K618" s="438">
        <f>VLOOKUP(H618,'Full Trial Balance'!$A$4:$G$2306,4,FALSE)</f>
        <v>0</v>
      </c>
      <c r="L618" s="438">
        <f>VLOOKUP(H618,'Full Trial Balance'!$A$4:$G$2306,5,FALSE)</f>
        <v>5224.47</v>
      </c>
      <c r="M618" s="438">
        <f>VLOOKUP(H618,'Full Trial Balance'!$A$4:$G$2306,6,FALSE)</f>
        <v>0</v>
      </c>
      <c r="N618" s="438">
        <f>VLOOKUP(H618,'Full Trial Balance'!$A$4:$G$2306,7,FALSE)</f>
        <v>5224.47</v>
      </c>
      <c r="O618" s="485">
        <f t="shared" si="74"/>
        <v>0</v>
      </c>
    </row>
    <row r="619" spans="1:15" x14ac:dyDescent="0.25">
      <c r="A619" s="241" t="str">
        <f t="shared" si="69"/>
        <v>01-04</v>
      </c>
      <c r="B619" s="241" t="str">
        <f t="shared" si="70"/>
        <v>01</v>
      </c>
      <c r="C619" s="241" t="str">
        <f t="shared" si="71"/>
        <v>04</v>
      </c>
      <c r="D619" s="235" t="str">
        <f t="shared" si="72"/>
        <v>01-</v>
      </c>
      <c r="E619" s="241" t="s">
        <v>1250</v>
      </c>
      <c r="F619" s="241" t="str">
        <f t="shared" si="73"/>
        <v>-076-015</v>
      </c>
      <c r="G619" s="235" t="s">
        <v>1418</v>
      </c>
      <c r="H619" s="241" t="s">
        <v>476</v>
      </c>
      <c r="I619" s="435" t="s">
        <v>179</v>
      </c>
      <c r="J619" s="438">
        <f>VLOOKUP(H619,'Full Trial Balance'!$A$4:$G$2306,3,FALSE)</f>
        <v>2500</v>
      </c>
      <c r="K619" s="438">
        <f>VLOOKUP(H619,'Full Trial Balance'!$A$4:$G$2306,4,FALSE)</f>
        <v>0</v>
      </c>
      <c r="L619" s="438">
        <f>VLOOKUP(H619,'Full Trial Balance'!$A$4:$G$2306,5,FALSE)</f>
        <v>670.1</v>
      </c>
      <c r="M619" s="438">
        <f>VLOOKUP(H619,'Full Trial Balance'!$A$4:$G$2306,6,FALSE)</f>
        <v>0</v>
      </c>
      <c r="N619" s="438">
        <f>VLOOKUP(H619,'Full Trial Balance'!$A$4:$G$2306,7,FALSE)</f>
        <v>670.1</v>
      </c>
      <c r="O619" s="485">
        <f t="shared" si="74"/>
        <v>0</v>
      </c>
    </row>
    <row r="620" spans="1:15" x14ac:dyDescent="0.25">
      <c r="A620" s="241" t="str">
        <f t="shared" si="69"/>
        <v>01-04</v>
      </c>
      <c r="B620" s="241" t="str">
        <f t="shared" si="70"/>
        <v>01</v>
      </c>
      <c r="C620" s="241" t="str">
        <f t="shared" si="71"/>
        <v>04</v>
      </c>
      <c r="D620" s="235" t="str">
        <f t="shared" si="72"/>
        <v>01-</v>
      </c>
      <c r="E620" s="241" t="s">
        <v>1250</v>
      </c>
      <c r="F620" s="241" t="str">
        <f t="shared" si="73"/>
        <v>-077-000</v>
      </c>
      <c r="G620" s="235" t="s">
        <v>1421</v>
      </c>
      <c r="H620" s="241" t="s">
        <v>477</v>
      </c>
      <c r="I620" s="435" t="s">
        <v>60</v>
      </c>
      <c r="J620" s="438">
        <f>VLOOKUP(H620,'Full Trial Balance'!$A$4:$G$2306,3,FALSE)</f>
        <v>1080</v>
      </c>
      <c r="K620" s="438">
        <f>VLOOKUP(H620,'Full Trial Balance'!$A$4:$G$2306,4,FALSE)</f>
        <v>0</v>
      </c>
      <c r="L620" s="438">
        <f>VLOOKUP(H620,'Full Trial Balance'!$A$4:$G$2306,5,FALSE)</f>
        <v>0</v>
      </c>
      <c r="M620" s="438">
        <f>VLOOKUP(H620,'Full Trial Balance'!$A$4:$G$2306,6,FALSE)</f>
        <v>0</v>
      </c>
      <c r="N620" s="438">
        <f>VLOOKUP(H620,'Full Trial Balance'!$A$4:$G$2306,7,FALSE)</f>
        <v>0</v>
      </c>
      <c r="O620" s="485">
        <f t="shared" si="74"/>
        <v>0</v>
      </c>
    </row>
    <row r="621" spans="1:15" x14ac:dyDescent="0.25">
      <c r="A621" s="241" t="str">
        <f t="shared" si="69"/>
        <v>03-04</v>
      </c>
      <c r="B621" s="241" t="str">
        <f t="shared" si="70"/>
        <v>03</v>
      </c>
      <c r="C621" s="241" t="str">
        <f t="shared" si="71"/>
        <v>04</v>
      </c>
      <c r="D621" s="235" t="str">
        <f t="shared" si="72"/>
        <v>03-</v>
      </c>
      <c r="E621" s="241" t="s">
        <v>1250</v>
      </c>
      <c r="F621" s="241" t="str">
        <f t="shared" si="73"/>
        <v>-010-000</v>
      </c>
      <c r="G621" s="235" t="str">
        <f t="shared" ref="G621:G632" si="76">CONCATENATE(D621,E621,F621)</f>
        <v>03-0x-010-000</v>
      </c>
      <c r="H621" s="241" t="s">
        <v>516</v>
      </c>
      <c r="I621" s="435" t="s">
        <v>36</v>
      </c>
      <c r="J621" s="438">
        <f>VLOOKUP(H621,'Full Trial Balance'!$A$4:$G$2306,3,FALSE)</f>
        <v>66470.399999999994</v>
      </c>
      <c r="K621" s="438">
        <f>VLOOKUP(H621,'Full Trial Balance'!$A$4:$G$2306,4,FALSE)</f>
        <v>0</v>
      </c>
      <c r="L621" s="438">
        <f>VLOOKUP(H621,'Full Trial Balance'!$A$4:$G$2306,5,FALSE)</f>
        <v>35075.56</v>
      </c>
      <c r="M621" s="438">
        <f>VLOOKUP(H621,'Full Trial Balance'!$A$4:$G$2306,6,FALSE)</f>
        <v>2792.27</v>
      </c>
      <c r="N621" s="438">
        <f>VLOOKUP(H621,'Full Trial Balance'!$A$4:$G$2306,7,FALSE)</f>
        <v>32283.29</v>
      </c>
      <c r="O621" s="485">
        <f t="shared" si="74"/>
        <v>0</v>
      </c>
    </row>
    <row r="622" spans="1:15" x14ac:dyDescent="0.25">
      <c r="A622" s="241" t="str">
        <f t="shared" si="69"/>
        <v>03-04</v>
      </c>
      <c r="B622" s="241" t="str">
        <f t="shared" si="70"/>
        <v>03</v>
      </c>
      <c r="C622" s="241" t="str">
        <f t="shared" si="71"/>
        <v>04</v>
      </c>
      <c r="D622" s="235" t="str">
        <f t="shared" si="72"/>
        <v>03-</v>
      </c>
      <c r="E622" s="241" t="s">
        <v>1250</v>
      </c>
      <c r="F622" s="241" t="str">
        <f t="shared" si="73"/>
        <v>-015-000</v>
      </c>
      <c r="G622" s="235" t="str">
        <f t="shared" si="76"/>
        <v>03-0x-015-000</v>
      </c>
      <c r="H622" s="241" t="s">
        <v>511</v>
      </c>
      <c r="I622" s="435" t="s">
        <v>37</v>
      </c>
      <c r="J622" s="438">
        <f>VLOOKUP(H622,'Full Trial Balance'!$A$4:$G$2306,3,FALSE)</f>
        <v>2519</v>
      </c>
      <c r="K622" s="438">
        <f>VLOOKUP(H622,'Full Trial Balance'!$A$4:$G$2306,4,FALSE)</f>
        <v>0</v>
      </c>
      <c r="L622" s="438">
        <f>VLOOKUP(H622,'Full Trial Balance'!$A$4:$G$2306,5,FALSE)</f>
        <v>1276.08</v>
      </c>
      <c r="M622" s="438">
        <f>VLOOKUP(H622,'Full Trial Balance'!$A$4:$G$2306,6,FALSE)</f>
        <v>0</v>
      </c>
      <c r="N622" s="438">
        <f>VLOOKUP(H622,'Full Trial Balance'!$A$4:$G$2306,7,FALSE)</f>
        <v>1276.08</v>
      </c>
      <c r="O622" s="485">
        <f t="shared" si="74"/>
        <v>0</v>
      </c>
    </row>
    <row r="623" spans="1:15" x14ac:dyDescent="0.25">
      <c r="A623" s="241" t="str">
        <f t="shared" si="69"/>
        <v>03-04</v>
      </c>
      <c r="B623" s="241" t="str">
        <f t="shared" si="70"/>
        <v>03</v>
      </c>
      <c r="C623" s="241" t="str">
        <f t="shared" si="71"/>
        <v>04</v>
      </c>
      <c r="D623" s="235" t="str">
        <f t="shared" si="72"/>
        <v>03-</v>
      </c>
      <c r="E623" s="241" t="s">
        <v>1250</v>
      </c>
      <c r="F623" s="241" t="str">
        <f t="shared" si="73"/>
        <v>-020-202</v>
      </c>
      <c r="G623" s="235" t="str">
        <f t="shared" si="76"/>
        <v>03-0x-020-202</v>
      </c>
      <c r="H623" s="241" t="s">
        <v>502</v>
      </c>
      <c r="I623" s="435" t="s">
        <v>153</v>
      </c>
      <c r="J623" s="438">
        <f>VLOOKUP(H623,'Full Trial Balance'!$A$4:$G$2306,3,FALSE)</f>
        <v>4277</v>
      </c>
      <c r="K623" s="438">
        <f>VLOOKUP(H623,'Full Trial Balance'!$A$4:$G$2306,4,FALSE)</f>
        <v>0</v>
      </c>
      <c r="L623" s="438">
        <f>VLOOKUP(H623,'Full Trial Balance'!$A$4:$G$2306,5,FALSE)</f>
        <v>2148.4</v>
      </c>
      <c r="M623" s="438">
        <f>VLOOKUP(H623,'Full Trial Balance'!$A$4:$G$2306,6,FALSE)</f>
        <v>164.53</v>
      </c>
      <c r="N623" s="438">
        <f>VLOOKUP(H623,'Full Trial Balance'!$A$4:$G$2306,7,FALSE)</f>
        <v>1983.87</v>
      </c>
      <c r="O623" s="485">
        <f t="shared" si="74"/>
        <v>0</v>
      </c>
    </row>
    <row r="624" spans="1:15" x14ac:dyDescent="0.25">
      <c r="A624" s="241" t="str">
        <f t="shared" si="69"/>
        <v>03-04</v>
      </c>
      <c r="B624" s="241" t="str">
        <f t="shared" si="70"/>
        <v>03</v>
      </c>
      <c r="C624" s="241" t="str">
        <f t="shared" si="71"/>
        <v>04</v>
      </c>
      <c r="D624" s="235" t="str">
        <f t="shared" si="72"/>
        <v>03-</v>
      </c>
      <c r="E624" s="241" t="s">
        <v>1250</v>
      </c>
      <c r="F624" s="241" t="str">
        <f t="shared" si="73"/>
        <v>-020-203</v>
      </c>
      <c r="G624" s="235" t="str">
        <f t="shared" si="76"/>
        <v>03-0x-020-203</v>
      </c>
      <c r="H624" s="241" t="s">
        <v>501</v>
      </c>
      <c r="I624" s="435" t="s">
        <v>154</v>
      </c>
      <c r="J624" s="438">
        <f>VLOOKUP(H624,'Full Trial Balance'!$A$4:$G$2306,3,FALSE)</f>
        <v>1000</v>
      </c>
      <c r="K624" s="438">
        <f>VLOOKUP(H624,'Full Trial Balance'!$A$4:$G$2306,4,FALSE)</f>
        <v>0</v>
      </c>
      <c r="L624" s="438">
        <f>VLOOKUP(H624,'Full Trial Balance'!$A$4:$G$2306,5,FALSE)</f>
        <v>523.83000000000004</v>
      </c>
      <c r="M624" s="438">
        <f>VLOOKUP(H624,'Full Trial Balance'!$A$4:$G$2306,6,FALSE)</f>
        <v>38.47</v>
      </c>
      <c r="N624" s="438">
        <f>VLOOKUP(H624,'Full Trial Balance'!$A$4:$G$2306,7,FALSE)</f>
        <v>485.36</v>
      </c>
      <c r="O624" s="485">
        <f t="shared" si="74"/>
        <v>0</v>
      </c>
    </row>
    <row r="625" spans="1:15" x14ac:dyDescent="0.25">
      <c r="A625" s="241" t="str">
        <f t="shared" si="69"/>
        <v>03-04</v>
      </c>
      <c r="B625" s="241" t="str">
        <f t="shared" si="70"/>
        <v>03</v>
      </c>
      <c r="C625" s="241" t="str">
        <f t="shared" si="71"/>
        <v>04</v>
      </c>
      <c r="D625" s="235" t="str">
        <f t="shared" si="72"/>
        <v>03-</v>
      </c>
      <c r="E625" s="241" t="s">
        <v>1250</v>
      </c>
      <c r="F625" s="241" t="str">
        <f t="shared" si="73"/>
        <v>-020-204</v>
      </c>
      <c r="G625" s="235" t="str">
        <f t="shared" si="76"/>
        <v>03-0x-020-204</v>
      </c>
      <c r="H625" s="241" t="s">
        <v>508</v>
      </c>
      <c r="I625" s="435" t="s">
        <v>38</v>
      </c>
      <c r="J625" s="438">
        <f>VLOOKUP(H625,'Full Trial Balance'!$A$4:$G$2306,3,FALSE)</f>
        <v>8597.76</v>
      </c>
      <c r="K625" s="438">
        <f>VLOOKUP(H625,'Full Trial Balance'!$A$4:$G$2306,4,FALSE)</f>
        <v>0</v>
      </c>
      <c r="L625" s="438">
        <f>VLOOKUP(H625,'Full Trial Balance'!$A$4:$G$2306,5,FALSE)</f>
        <v>4307.84</v>
      </c>
      <c r="M625" s="438">
        <f>VLOOKUP(H625,'Full Trial Balance'!$A$4:$G$2306,6,FALSE)</f>
        <v>0</v>
      </c>
      <c r="N625" s="438">
        <f>VLOOKUP(H625,'Full Trial Balance'!$A$4:$G$2306,7,FALSE)</f>
        <v>4307.84</v>
      </c>
      <c r="O625" s="485">
        <f t="shared" si="74"/>
        <v>0</v>
      </c>
    </row>
    <row r="626" spans="1:15" x14ac:dyDescent="0.25">
      <c r="A626" s="241" t="str">
        <f t="shared" si="69"/>
        <v>03-04</v>
      </c>
      <c r="B626" s="241" t="str">
        <f t="shared" si="70"/>
        <v>03</v>
      </c>
      <c r="C626" s="241" t="str">
        <f t="shared" si="71"/>
        <v>04</v>
      </c>
      <c r="D626" s="235" t="str">
        <f t="shared" si="72"/>
        <v>03-</v>
      </c>
      <c r="E626" s="241" t="s">
        <v>1250</v>
      </c>
      <c r="F626" s="241" t="str">
        <f t="shared" si="73"/>
        <v>-020-205</v>
      </c>
      <c r="G626" s="235" t="str">
        <f t="shared" si="76"/>
        <v>03-0x-020-205</v>
      </c>
      <c r="H626" s="241" t="s">
        <v>498</v>
      </c>
      <c r="I626" s="435" t="s">
        <v>77</v>
      </c>
      <c r="J626" s="438">
        <f>VLOOKUP(H626,'Full Trial Balance'!$A$4:$G$2306,3,FALSE)</f>
        <v>460.8</v>
      </c>
      <c r="K626" s="438">
        <f>VLOOKUP(H626,'Full Trial Balance'!$A$4:$G$2306,4,FALSE)</f>
        <v>0</v>
      </c>
      <c r="L626" s="438">
        <f>VLOOKUP(H626,'Full Trial Balance'!$A$4:$G$2306,5,FALSE)</f>
        <v>230.35</v>
      </c>
      <c r="M626" s="438">
        <f>VLOOKUP(H626,'Full Trial Balance'!$A$4:$G$2306,6,FALSE)</f>
        <v>0</v>
      </c>
      <c r="N626" s="438">
        <f>VLOOKUP(H626,'Full Trial Balance'!$A$4:$G$2306,7,FALSE)</f>
        <v>230.35</v>
      </c>
      <c r="O626" s="485">
        <f t="shared" si="74"/>
        <v>0</v>
      </c>
    </row>
    <row r="627" spans="1:15" x14ac:dyDescent="0.25">
      <c r="A627" s="241" t="str">
        <f t="shared" si="69"/>
        <v>03-04</v>
      </c>
      <c r="B627" s="241" t="str">
        <f t="shared" si="70"/>
        <v>03</v>
      </c>
      <c r="C627" s="241" t="str">
        <f t="shared" si="71"/>
        <v>04</v>
      </c>
      <c r="D627" s="235" t="str">
        <f t="shared" si="72"/>
        <v>03-</v>
      </c>
      <c r="E627" s="241" t="s">
        <v>1250</v>
      </c>
      <c r="F627" s="241" t="str">
        <f t="shared" si="73"/>
        <v>-020-206</v>
      </c>
      <c r="G627" s="235" t="str">
        <f t="shared" si="76"/>
        <v>03-0x-020-206</v>
      </c>
      <c r="H627" s="241" t="s">
        <v>515</v>
      </c>
      <c r="I627" s="435" t="s">
        <v>78</v>
      </c>
      <c r="J627" s="438">
        <f>VLOOKUP(H627,'Full Trial Balance'!$A$4:$G$2306,3,FALSE)</f>
        <v>145.28</v>
      </c>
      <c r="K627" s="438">
        <f>VLOOKUP(H627,'Full Trial Balance'!$A$4:$G$2306,4,FALSE)</f>
        <v>0</v>
      </c>
      <c r="L627" s="438">
        <f>VLOOKUP(H627,'Full Trial Balance'!$A$4:$G$2306,5,FALSE)</f>
        <v>79.2</v>
      </c>
      <c r="M627" s="438">
        <f>VLOOKUP(H627,'Full Trial Balance'!$A$4:$G$2306,6,FALSE)</f>
        <v>0</v>
      </c>
      <c r="N627" s="438">
        <f>VLOOKUP(H627,'Full Trial Balance'!$A$4:$G$2306,7,FALSE)</f>
        <v>79.2</v>
      </c>
      <c r="O627" s="485">
        <f t="shared" si="74"/>
        <v>0</v>
      </c>
    </row>
    <row r="628" spans="1:15" x14ac:dyDescent="0.25">
      <c r="A628" s="241" t="str">
        <f t="shared" si="69"/>
        <v>03-04</v>
      </c>
      <c r="B628" s="241" t="str">
        <f t="shared" si="70"/>
        <v>03</v>
      </c>
      <c r="C628" s="241" t="str">
        <f t="shared" si="71"/>
        <v>04</v>
      </c>
      <c r="D628" s="235" t="str">
        <f t="shared" si="72"/>
        <v>03-</v>
      </c>
      <c r="E628" s="241" t="s">
        <v>1250</v>
      </c>
      <c r="F628" s="241" t="str">
        <f t="shared" si="73"/>
        <v>-020-208</v>
      </c>
      <c r="G628" s="235" t="str">
        <f t="shared" si="76"/>
        <v>03-0x-020-208</v>
      </c>
      <c r="H628" s="241" t="s">
        <v>518</v>
      </c>
      <c r="I628" s="435" t="s">
        <v>893</v>
      </c>
      <c r="J628" s="438">
        <f>VLOOKUP(H628,'Full Trial Balance'!$A$4:$G$2306,3,FALSE)</f>
        <v>708</v>
      </c>
      <c r="K628" s="438">
        <f>VLOOKUP(H628,'Full Trial Balance'!$A$4:$G$2306,4,FALSE)</f>
        <v>0</v>
      </c>
      <c r="L628" s="438">
        <f>VLOOKUP(H628,'Full Trial Balance'!$A$4:$G$2306,5,FALSE)</f>
        <v>670.18</v>
      </c>
      <c r="M628" s="438">
        <f>VLOOKUP(H628,'Full Trial Balance'!$A$4:$G$2306,6,FALSE)</f>
        <v>15.95</v>
      </c>
      <c r="N628" s="438">
        <f>VLOOKUP(H628,'Full Trial Balance'!$A$4:$G$2306,7,FALSE)</f>
        <v>654.23</v>
      </c>
      <c r="O628" s="485">
        <f t="shared" si="74"/>
        <v>6.7501559897209518E-14</v>
      </c>
    </row>
    <row r="629" spans="1:15" x14ac:dyDescent="0.25">
      <c r="A629" s="241" t="str">
        <f t="shared" si="69"/>
        <v>03-04</v>
      </c>
      <c r="B629" s="241" t="str">
        <f t="shared" si="70"/>
        <v>03</v>
      </c>
      <c r="C629" s="241" t="str">
        <f t="shared" si="71"/>
        <v>04</v>
      </c>
      <c r="D629" s="235" t="str">
        <f t="shared" si="72"/>
        <v>03-</v>
      </c>
      <c r="E629" s="241" t="s">
        <v>1250</v>
      </c>
      <c r="F629" s="241" t="str">
        <f t="shared" si="73"/>
        <v>-020-209</v>
      </c>
      <c r="G629" s="235" t="str">
        <f t="shared" si="76"/>
        <v>03-0x-020-209</v>
      </c>
      <c r="H629" s="241" t="s">
        <v>507</v>
      </c>
      <c r="I629" s="435" t="s">
        <v>39</v>
      </c>
      <c r="J629" s="438">
        <f>VLOOKUP(H629,'Full Trial Balance'!$A$4:$G$2306,3,FALSE)</f>
        <v>231.68</v>
      </c>
      <c r="K629" s="438">
        <f>VLOOKUP(H629,'Full Trial Balance'!$A$4:$G$2306,4,FALSE)</f>
        <v>0</v>
      </c>
      <c r="L629" s="438">
        <f>VLOOKUP(H629,'Full Trial Balance'!$A$4:$G$2306,5,FALSE)</f>
        <v>121.49</v>
      </c>
      <c r="M629" s="438">
        <f>VLOOKUP(H629,'Full Trial Balance'!$A$4:$G$2306,6,FALSE)</f>
        <v>34</v>
      </c>
      <c r="N629" s="438">
        <f>VLOOKUP(H629,'Full Trial Balance'!$A$4:$G$2306,7,FALSE)</f>
        <v>87.49</v>
      </c>
      <c r="O629" s="485">
        <f t="shared" si="74"/>
        <v>0</v>
      </c>
    </row>
    <row r="630" spans="1:15" x14ac:dyDescent="0.25">
      <c r="A630" s="241" t="str">
        <f t="shared" si="69"/>
        <v>03-04</v>
      </c>
      <c r="B630" s="241" t="str">
        <f t="shared" si="70"/>
        <v>03</v>
      </c>
      <c r="C630" s="241" t="str">
        <f t="shared" si="71"/>
        <v>04</v>
      </c>
      <c r="D630" s="235" t="str">
        <f t="shared" si="72"/>
        <v>03-</v>
      </c>
      <c r="E630" s="241" t="s">
        <v>1250</v>
      </c>
      <c r="F630" s="241" t="str">
        <f t="shared" si="73"/>
        <v>-020-212</v>
      </c>
      <c r="G630" s="235" t="str">
        <f t="shared" si="76"/>
        <v>03-0x-020-212</v>
      </c>
      <c r="H630" s="241" t="s">
        <v>513</v>
      </c>
      <c r="I630" s="435" t="s">
        <v>40</v>
      </c>
      <c r="J630" s="438">
        <f>VLOOKUP(H630,'Full Trial Balance'!$A$4:$G$2306,3,FALSE)</f>
        <v>443.52</v>
      </c>
      <c r="K630" s="438">
        <f>VLOOKUP(H630,'Full Trial Balance'!$A$4:$G$2306,4,FALSE)</f>
        <v>0</v>
      </c>
      <c r="L630" s="438">
        <f>VLOOKUP(H630,'Full Trial Balance'!$A$4:$G$2306,5,FALSE)</f>
        <v>39.61</v>
      </c>
      <c r="M630" s="438">
        <f>VLOOKUP(H630,'Full Trial Balance'!$A$4:$G$2306,6,FALSE)</f>
        <v>20.96</v>
      </c>
      <c r="N630" s="438">
        <f>VLOOKUP(H630,'Full Trial Balance'!$A$4:$G$2306,7,FALSE)</f>
        <v>18.649999999999999</v>
      </c>
      <c r="O630" s="485">
        <f t="shared" si="74"/>
        <v>0</v>
      </c>
    </row>
    <row r="631" spans="1:15" x14ac:dyDescent="0.25">
      <c r="A631" s="241" t="str">
        <f t="shared" si="69"/>
        <v>03-04</v>
      </c>
      <c r="B631" s="241" t="str">
        <f t="shared" si="70"/>
        <v>03</v>
      </c>
      <c r="C631" s="241" t="str">
        <f t="shared" si="71"/>
        <v>04</v>
      </c>
      <c r="D631" s="235" t="str">
        <f t="shared" si="72"/>
        <v>03-</v>
      </c>
      <c r="E631" s="241" t="s">
        <v>1250</v>
      </c>
      <c r="F631" s="241" t="str">
        <f t="shared" si="73"/>
        <v>-020-213</v>
      </c>
      <c r="G631" s="235" t="str">
        <f t="shared" si="76"/>
        <v>03-0x-020-213</v>
      </c>
      <c r="H631" s="241" t="s">
        <v>500</v>
      </c>
      <c r="I631" s="435" t="s">
        <v>41</v>
      </c>
      <c r="J631" s="438">
        <f>VLOOKUP(H631,'Full Trial Balance'!$A$4:$G$2306,3,FALSE)</f>
        <v>9.6</v>
      </c>
      <c r="K631" s="438">
        <f>VLOOKUP(H631,'Full Trial Balance'!$A$4:$G$2306,4,FALSE)</f>
        <v>0</v>
      </c>
      <c r="L631" s="438">
        <f>VLOOKUP(H631,'Full Trial Balance'!$A$4:$G$2306,5,FALSE)</f>
        <v>0.97</v>
      </c>
      <c r="M631" s="438">
        <f>VLOOKUP(H631,'Full Trial Balance'!$A$4:$G$2306,6,FALSE)</f>
        <v>0.53</v>
      </c>
      <c r="N631" s="438">
        <f>VLOOKUP(H631,'Full Trial Balance'!$A$4:$G$2306,7,FALSE)</f>
        <v>0.44</v>
      </c>
      <c r="O631" s="485">
        <f t="shared" si="74"/>
        <v>0</v>
      </c>
    </row>
    <row r="632" spans="1:15" x14ac:dyDescent="0.25">
      <c r="A632" s="241" t="str">
        <f t="shared" si="69"/>
        <v>03-04</v>
      </c>
      <c r="B632" s="241" t="str">
        <f t="shared" si="70"/>
        <v>03</v>
      </c>
      <c r="C632" s="241" t="str">
        <f t="shared" si="71"/>
        <v>04</v>
      </c>
      <c r="D632" s="235" t="str">
        <f t="shared" si="72"/>
        <v>03-</v>
      </c>
      <c r="E632" s="241" t="s">
        <v>1250</v>
      </c>
      <c r="F632" s="241" t="str">
        <f t="shared" si="73"/>
        <v>-020-215</v>
      </c>
      <c r="G632" s="235" t="str">
        <f t="shared" si="76"/>
        <v>03-0x-020-215</v>
      </c>
      <c r="H632" s="241" t="s">
        <v>499</v>
      </c>
      <c r="I632" s="435" t="s">
        <v>42</v>
      </c>
      <c r="J632" s="438">
        <f>VLOOKUP(H632,'Full Trial Balance'!$A$4:$G$2306,3,FALSE)</f>
        <v>181.76</v>
      </c>
      <c r="K632" s="438">
        <f>VLOOKUP(H632,'Full Trial Balance'!$A$4:$G$2306,4,FALSE)</f>
        <v>0</v>
      </c>
      <c r="L632" s="438">
        <f>VLOOKUP(H632,'Full Trial Balance'!$A$4:$G$2306,5,FALSE)</f>
        <v>64.55</v>
      </c>
      <c r="M632" s="438">
        <f>VLOOKUP(H632,'Full Trial Balance'!$A$4:$G$2306,6,FALSE)</f>
        <v>3.47</v>
      </c>
      <c r="N632" s="438">
        <f>VLOOKUP(H632,'Full Trial Balance'!$A$4:$G$2306,7,FALSE)</f>
        <v>61.08</v>
      </c>
      <c r="O632" s="485">
        <f t="shared" si="74"/>
        <v>0</v>
      </c>
    </row>
    <row r="633" spans="1:15" x14ac:dyDescent="0.25">
      <c r="A633" s="241" t="str">
        <f t="shared" si="69"/>
        <v>03-04</v>
      </c>
      <c r="B633" s="241" t="str">
        <f t="shared" si="70"/>
        <v>03</v>
      </c>
      <c r="C633" s="241" t="str">
        <f t="shared" si="71"/>
        <v>04</v>
      </c>
      <c r="D633" s="235" t="str">
        <f t="shared" si="72"/>
        <v>03-</v>
      </c>
      <c r="E633" s="241" t="s">
        <v>1250</v>
      </c>
      <c r="F633" s="241" t="str">
        <f t="shared" si="73"/>
        <v>-020-217</v>
      </c>
      <c r="G633" s="489" t="s">
        <v>3437</v>
      </c>
      <c r="H633" s="241" t="s">
        <v>493</v>
      </c>
      <c r="I633" s="435" t="s">
        <v>43</v>
      </c>
      <c r="J633" s="438">
        <f>VLOOKUP(H633,'Full Trial Balance'!$A$4:$G$2306,3,FALSE)</f>
        <v>5302.4</v>
      </c>
      <c r="K633" s="438">
        <f>VLOOKUP(H633,'Full Trial Balance'!$A$4:$G$2306,4,FALSE)</f>
        <v>0</v>
      </c>
      <c r="L633" s="438">
        <f>VLOOKUP(H633,'Full Trial Balance'!$A$4:$G$2306,5,FALSE)</f>
        <v>2601.4299999999998</v>
      </c>
      <c r="M633" s="438">
        <f>VLOOKUP(H633,'Full Trial Balance'!$A$4:$G$2306,6,FALSE)</f>
        <v>191.85</v>
      </c>
      <c r="N633" s="438">
        <f>VLOOKUP(H633,'Full Trial Balance'!$A$4:$G$2306,7,FALSE)</f>
        <v>2409.58</v>
      </c>
      <c r="O633" s="485">
        <f t="shared" si="74"/>
        <v>0</v>
      </c>
    </row>
    <row r="634" spans="1:15" x14ac:dyDescent="0.25">
      <c r="A634" s="241" t="str">
        <f t="shared" si="69"/>
        <v>03-04</v>
      </c>
      <c r="B634" s="241" t="str">
        <f t="shared" si="70"/>
        <v>03</v>
      </c>
      <c r="C634" s="241" t="str">
        <f t="shared" si="71"/>
        <v>04</v>
      </c>
      <c r="D634" s="235" t="str">
        <f t="shared" si="72"/>
        <v>03-</v>
      </c>
      <c r="E634" s="241" t="s">
        <v>1250</v>
      </c>
      <c r="F634" s="241" t="str">
        <f t="shared" si="73"/>
        <v>-020-218</v>
      </c>
      <c r="G634" s="489" t="s">
        <v>3438</v>
      </c>
      <c r="H634" s="241" t="s">
        <v>494</v>
      </c>
      <c r="I634" s="435" t="s">
        <v>44</v>
      </c>
      <c r="J634" s="438">
        <f>VLOOKUP(H634,'Full Trial Balance'!$A$4:$G$2306,3,FALSE)</f>
        <v>4380.16</v>
      </c>
      <c r="K634" s="438">
        <f>VLOOKUP(H634,'Full Trial Balance'!$A$4:$G$2306,4,FALSE)</f>
        <v>0</v>
      </c>
      <c r="L634" s="438">
        <f>VLOOKUP(H634,'Full Trial Balance'!$A$4:$G$2306,5,FALSE)</f>
        <v>2158.14</v>
      </c>
      <c r="M634" s="438">
        <f>VLOOKUP(H634,'Full Trial Balance'!$A$4:$G$2306,6,FALSE)</f>
        <v>158.31</v>
      </c>
      <c r="N634" s="438">
        <f>VLOOKUP(H634,'Full Trial Balance'!$A$4:$G$2306,7,FALSE)</f>
        <v>1999.83</v>
      </c>
      <c r="O634" s="485">
        <f t="shared" si="74"/>
        <v>0</v>
      </c>
    </row>
    <row r="635" spans="1:15" x14ac:dyDescent="0.25">
      <c r="A635" s="241" t="str">
        <f t="shared" si="69"/>
        <v>03-04</v>
      </c>
      <c r="B635" s="241" t="str">
        <f t="shared" si="70"/>
        <v>03</v>
      </c>
      <c r="C635" s="241" t="str">
        <f t="shared" si="71"/>
        <v>04</v>
      </c>
      <c r="D635" s="235" t="str">
        <f t="shared" si="72"/>
        <v>03-</v>
      </c>
      <c r="E635" s="241" t="s">
        <v>1250</v>
      </c>
      <c r="F635" s="241" t="str">
        <f t="shared" si="73"/>
        <v>-020-220</v>
      </c>
      <c r="G635" s="235" t="str">
        <f>CONCATENATE(D635,E635,F635)</f>
        <v>03-0x-020-220</v>
      </c>
      <c r="H635" s="241" t="s">
        <v>510</v>
      </c>
      <c r="I635" s="435" t="s">
        <v>183</v>
      </c>
      <c r="J635" s="438">
        <f>VLOOKUP(H635,'Full Trial Balance'!$A$4:$G$2306,3,FALSE)</f>
        <v>2528</v>
      </c>
      <c r="K635" s="438">
        <f>VLOOKUP(H635,'Full Trial Balance'!$A$4:$G$2306,4,FALSE)</f>
        <v>0</v>
      </c>
      <c r="L635" s="438">
        <f>VLOOKUP(H635,'Full Trial Balance'!$A$4:$G$2306,5,FALSE)</f>
        <v>0</v>
      </c>
      <c r="M635" s="438">
        <f>VLOOKUP(H635,'Full Trial Balance'!$A$4:$G$2306,6,FALSE)</f>
        <v>0</v>
      </c>
      <c r="N635" s="438">
        <f>VLOOKUP(H635,'Full Trial Balance'!$A$4:$G$2306,7,FALSE)</f>
        <v>0</v>
      </c>
      <c r="O635" s="485">
        <f t="shared" si="74"/>
        <v>0</v>
      </c>
    </row>
    <row r="636" spans="1:15" x14ac:dyDescent="0.25">
      <c r="A636" s="241" t="str">
        <f t="shared" si="69"/>
        <v>03-04</v>
      </c>
      <c r="B636" s="241" t="str">
        <f t="shared" si="70"/>
        <v>03</v>
      </c>
      <c r="C636" s="241" t="str">
        <f t="shared" si="71"/>
        <v>04</v>
      </c>
      <c r="D636" s="235" t="str">
        <f t="shared" si="72"/>
        <v>03-</v>
      </c>
      <c r="E636" s="241" t="s">
        <v>1250</v>
      </c>
      <c r="F636" s="241" t="str">
        <f t="shared" si="73"/>
        <v>-033-106</v>
      </c>
      <c r="G636" s="235" t="s">
        <v>1455</v>
      </c>
      <c r="H636" s="241" t="s">
        <v>492</v>
      </c>
      <c r="I636" s="435" t="s">
        <v>1161</v>
      </c>
      <c r="J636" s="438">
        <f>VLOOKUP(H636,'Full Trial Balance'!$A$4:$G$2306,3,FALSE)</f>
        <v>128</v>
      </c>
      <c r="K636" s="438">
        <f>VLOOKUP(H636,'Full Trial Balance'!$A$4:$G$2306,4,FALSE)</f>
        <v>0</v>
      </c>
      <c r="L636" s="438">
        <f>VLOOKUP(H636,'Full Trial Balance'!$A$4:$G$2306,5,FALSE)</f>
        <v>0</v>
      </c>
      <c r="M636" s="438">
        <f>VLOOKUP(H636,'Full Trial Balance'!$A$4:$G$2306,6,FALSE)</f>
        <v>0</v>
      </c>
      <c r="N636" s="438">
        <f>VLOOKUP(H636,'Full Trial Balance'!$A$4:$G$2306,7,FALSE)</f>
        <v>0</v>
      </c>
      <c r="O636" s="485">
        <f t="shared" si="74"/>
        <v>0</v>
      </c>
    </row>
    <row r="637" spans="1:15" x14ac:dyDescent="0.25">
      <c r="A637" s="241" t="str">
        <f t="shared" si="69"/>
        <v>03-04</v>
      </c>
      <c r="B637" s="241" t="str">
        <f t="shared" si="70"/>
        <v>03</v>
      </c>
      <c r="C637" s="241" t="str">
        <f t="shared" si="71"/>
        <v>04</v>
      </c>
      <c r="D637" s="235" t="str">
        <f t="shared" si="72"/>
        <v>03-</v>
      </c>
      <c r="E637" s="241" t="s">
        <v>1250</v>
      </c>
      <c r="F637" s="241" t="str">
        <f t="shared" si="73"/>
        <v>-035-002</v>
      </c>
      <c r="G637" s="256" t="str">
        <f>CONCATENATE(D637,E637,F637)</f>
        <v>03-0x-035-002</v>
      </c>
      <c r="H637" s="241" t="s">
        <v>512</v>
      </c>
      <c r="I637" s="435" t="s">
        <v>47</v>
      </c>
      <c r="J637" s="438">
        <f>VLOOKUP(H637,'Full Trial Balance'!$A$4:$G$2306,3,FALSE)</f>
        <v>2685</v>
      </c>
      <c r="K637" s="438">
        <f>VLOOKUP(H637,'Full Trial Balance'!$A$4:$G$2306,4,FALSE)</f>
        <v>0</v>
      </c>
      <c r="L637" s="438">
        <f>VLOOKUP(H637,'Full Trial Balance'!$A$4:$G$2306,5,FALSE)</f>
        <v>1754.3</v>
      </c>
      <c r="M637" s="438">
        <f>VLOOKUP(H637,'Full Trial Balance'!$A$4:$G$2306,6,FALSE)</f>
        <v>0</v>
      </c>
      <c r="N637" s="438">
        <f>VLOOKUP(H637,'Full Trial Balance'!$A$4:$G$2306,7,FALSE)</f>
        <v>1754.3</v>
      </c>
      <c r="O637" s="485">
        <f t="shared" si="74"/>
        <v>0</v>
      </c>
    </row>
    <row r="638" spans="1:15" x14ac:dyDescent="0.25">
      <c r="A638" s="241" t="str">
        <f t="shared" si="69"/>
        <v>03-04</v>
      </c>
      <c r="B638" s="241" t="str">
        <f t="shared" si="70"/>
        <v>03</v>
      </c>
      <c r="C638" s="241" t="str">
        <f t="shared" si="71"/>
        <v>04</v>
      </c>
      <c r="D638" s="235" t="str">
        <f t="shared" si="72"/>
        <v>03-</v>
      </c>
      <c r="E638" s="241" t="s">
        <v>1250</v>
      </c>
      <c r="F638" s="241" t="str">
        <f t="shared" si="73"/>
        <v>-035-004</v>
      </c>
      <c r="G638" s="256" t="s">
        <v>1455</v>
      </c>
      <c r="H638" s="241" t="s">
        <v>503</v>
      </c>
      <c r="I638" s="435" t="s">
        <v>49</v>
      </c>
      <c r="J638" s="438">
        <f>VLOOKUP(H638,'Full Trial Balance'!$A$4:$G$2306,3,FALSE)</f>
        <v>250</v>
      </c>
      <c r="K638" s="438">
        <f>VLOOKUP(H638,'Full Trial Balance'!$A$4:$G$2306,4,FALSE)</f>
        <v>0</v>
      </c>
      <c r="L638" s="438">
        <f>VLOOKUP(H638,'Full Trial Balance'!$A$4:$G$2306,5,FALSE)</f>
        <v>0</v>
      </c>
      <c r="M638" s="438">
        <f>VLOOKUP(H638,'Full Trial Balance'!$A$4:$G$2306,6,FALSE)</f>
        <v>0</v>
      </c>
      <c r="N638" s="438">
        <f>VLOOKUP(H638,'Full Trial Balance'!$A$4:$G$2306,7,FALSE)</f>
        <v>0</v>
      </c>
      <c r="O638" s="485">
        <f t="shared" si="74"/>
        <v>0</v>
      </c>
    </row>
    <row r="639" spans="1:15" x14ac:dyDescent="0.25">
      <c r="A639" s="241" t="str">
        <f t="shared" si="69"/>
        <v>03-04</v>
      </c>
      <c r="B639" s="241" t="str">
        <f t="shared" si="70"/>
        <v>03</v>
      </c>
      <c r="C639" s="241" t="str">
        <f t="shared" si="71"/>
        <v>04</v>
      </c>
      <c r="D639" s="235" t="str">
        <f t="shared" si="72"/>
        <v>03-</v>
      </c>
      <c r="E639" s="241" t="s">
        <v>1250</v>
      </c>
      <c r="F639" s="241" t="str">
        <f t="shared" si="73"/>
        <v>-035-005</v>
      </c>
      <c r="G639" s="256" t="s">
        <v>1460</v>
      </c>
      <c r="H639" s="241" t="s">
        <v>495</v>
      </c>
      <c r="I639" s="435" t="s">
        <v>50</v>
      </c>
      <c r="J639" s="438">
        <f>VLOOKUP(H639,'Full Trial Balance'!$A$4:$G$2306,3,FALSE)</f>
        <v>320</v>
      </c>
      <c r="K639" s="438">
        <f>VLOOKUP(H639,'Full Trial Balance'!$A$4:$G$2306,4,FALSE)</f>
        <v>0</v>
      </c>
      <c r="L639" s="438">
        <f>VLOOKUP(H639,'Full Trial Balance'!$A$4:$G$2306,5,FALSE)</f>
        <v>224</v>
      </c>
      <c r="M639" s="438">
        <f>VLOOKUP(H639,'Full Trial Balance'!$A$4:$G$2306,6,FALSE)</f>
        <v>0</v>
      </c>
      <c r="N639" s="438">
        <f>VLOOKUP(H639,'Full Trial Balance'!$A$4:$G$2306,7,FALSE)</f>
        <v>224</v>
      </c>
      <c r="O639" s="485">
        <f t="shared" si="74"/>
        <v>0</v>
      </c>
    </row>
    <row r="640" spans="1:15" x14ac:dyDescent="0.25">
      <c r="A640" s="241" t="str">
        <f t="shared" si="69"/>
        <v>03-04</v>
      </c>
      <c r="B640" s="241" t="str">
        <f t="shared" si="70"/>
        <v>03</v>
      </c>
      <c r="C640" s="241" t="str">
        <f t="shared" si="71"/>
        <v>04</v>
      </c>
      <c r="D640" s="235" t="str">
        <f t="shared" si="72"/>
        <v>03-</v>
      </c>
      <c r="E640" s="241" t="s">
        <v>1250</v>
      </c>
      <c r="F640" s="241" t="str">
        <f t="shared" si="73"/>
        <v>-035-007</v>
      </c>
      <c r="G640" s="235" t="str">
        <f>CONCATENATE(D640,E640,F640)</f>
        <v>03-0x-035-007</v>
      </c>
      <c r="H640" s="241" t="s">
        <v>491</v>
      </c>
      <c r="I640" s="435" t="s">
        <v>51</v>
      </c>
      <c r="J640" s="438">
        <f>VLOOKUP(H640,'Full Trial Balance'!$A$4:$G$2306,3,FALSE)</f>
        <v>500</v>
      </c>
      <c r="K640" s="438">
        <f>VLOOKUP(H640,'Full Trial Balance'!$A$4:$G$2306,4,FALSE)</f>
        <v>0</v>
      </c>
      <c r="L640" s="438">
        <f>VLOOKUP(H640,'Full Trial Balance'!$A$4:$G$2306,5,FALSE)</f>
        <v>0</v>
      </c>
      <c r="M640" s="438">
        <f>VLOOKUP(H640,'Full Trial Balance'!$A$4:$G$2306,6,FALSE)</f>
        <v>0</v>
      </c>
      <c r="N640" s="438">
        <f>VLOOKUP(H640,'Full Trial Balance'!$A$4:$G$2306,7,FALSE)</f>
        <v>0</v>
      </c>
      <c r="O640" s="485">
        <f t="shared" si="74"/>
        <v>0</v>
      </c>
    </row>
    <row r="641" spans="1:15" x14ac:dyDescent="0.25">
      <c r="A641" s="241" t="str">
        <f t="shared" si="69"/>
        <v>03-04</v>
      </c>
      <c r="B641" s="241" t="str">
        <f t="shared" si="70"/>
        <v>03</v>
      </c>
      <c r="C641" s="241" t="str">
        <f t="shared" si="71"/>
        <v>04</v>
      </c>
      <c r="D641" s="235" t="str">
        <f t="shared" si="72"/>
        <v>03-</v>
      </c>
      <c r="E641" s="241" t="s">
        <v>1250</v>
      </c>
      <c r="F641" s="241" t="str">
        <f t="shared" si="73"/>
        <v>-038-111</v>
      </c>
      <c r="G641" s="235" t="str">
        <f>CONCATENATE(D641,E641,F641)</f>
        <v>03-0x-038-111</v>
      </c>
      <c r="H641" s="241" t="s">
        <v>497</v>
      </c>
      <c r="I641" s="435" t="s">
        <v>52</v>
      </c>
      <c r="J641" s="438">
        <f>VLOOKUP(H641,'Full Trial Balance'!$A$4:$G$2306,3,FALSE)</f>
        <v>0</v>
      </c>
      <c r="K641" s="438">
        <f>VLOOKUP(H641,'Full Trial Balance'!$A$4:$G$2306,4,FALSE)</f>
        <v>0</v>
      </c>
      <c r="L641" s="438">
        <f>VLOOKUP(H641,'Full Trial Balance'!$A$4:$G$2306,5,FALSE)</f>
        <v>0</v>
      </c>
      <c r="M641" s="438">
        <f>VLOOKUP(H641,'Full Trial Balance'!$A$4:$G$2306,6,FALSE)</f>
        <v>0</v>
      </c>
      <c r="N641" s="438">
        <f>VLOOKUP(H641,'Full Trial Balance'!$A$4:$G$2306,7,FALSE)</f>
        <v>0</v>
      </c>
      <c r="O641" s="485">
        <f t="shared" si="74"/>
        <v>0</v>
      </c>
    </row>
    <row r="642" spans="1:15" x14ac:dyDescent="0.25">
      <c r="A642" s="241" t="str">
        <f t="shared" si="69"/>
        <v>03-04</v>
      </c>
      <c r="B642" s="241" t="str">
        <f t="shared" si="70"/>
        <v>03</v>
      </c>
      <c r="C642" s="241" t="str">
        <f t="shared" si="71"/>
        <v>04</v>
      </c>
      <c r="D642" s="235" t="str">
        <f t="shared" si="72"/>
        <v>03-</v>
      </c>
      <c r="E642" s="241" t="s">
        <v>1250</v>
      </c>
      <c r="F642" s="241" t="str">
        <f t="shared" si="73"/>
        <v>-040-025</v>
      </c>
      <c r="G642" s="235" t="str">
        <f>CONCATENATE(D642,E642,F642)</f>
        <v>03-0x-040-025</v>
      </c>
      <c r="H642" s="241" t="s">
        <v>509</v>
      </c>
      <c r="I642" s="435" t="s">
        <v>54</v>
      </c>
      <c r="J642" s="438">
        <f>VLOOKUP(H642,'Full Trial Balance'!$A$4:$G$2306,3,FALSE)</f>
        <v>3200</v>
      </c>
      <c r="K642" s="438">
        <f>VLOOKUP(H642,'Full Trial Balance'!$A$4:$G$2306,4,FALSE)</f>
        <v>0</v>
      </c>
      <c r="L642" s="438">
        <f>VLOOKUP(H642,'Full Trial Balance'!$A$4:$G$2306,5,FALSE)</f>
        <v>320</v>
      </c>
      <c r="M642" s="438">
        <f>VLOOKUP(H642,'Full Trial Balance'!$A$4:$G$2306,6,FALSE)</f>
        <v>0</v>
      </c>
      <c r="N642" s="438">
        <f>VLOOKUP(H642,'Full Trial Balance'!$A$4:$G$2306,7,FALSE)</f>
        <v>320</v>
      </c>
      <c r="O642" s="485">
        <f t="shared" si="74"/>
        <v>0</v>
      </c>
    </row>
    <row r="643" spans="1:15" x14ac:dyDescent="0.25">
      <c r="A643" s="241" t="str">
        <f t="shared" ref="A643:A706" si="77">LEFT(H643,5)</f>
        <v>03-04</v>
      </c>
      <c r="B643" s="241" t="str">
        <f t="shared" ref="B643:B706" si="78">LEFT(H643,2)</f>
        <v>03</v>
      </c>
      <c r="C643" s="241" t="str">
        <f t="shared" ref="C643:C706" si="79">RIGHT(A643,2)</f>
        <v>04</v>
      </c>
      <c r="D643" s="235" t="str">
        <f t="shared" ref="D643:D706" si="80">LEFT(A643,3)</f>
        <v>03-</v>
      </c>
      <c r="E643" s="241" t="s">
        <v>1250</v>
      </c>
      <c r="F643" s="241" t="str">
        <f t="shared" ref="F643:F706" si="81">RIGHT(H643,8)</f>
        <v>-076-000</v>
      </c>
      <c r="G643" s="235" t="s">
        <v>1419</v>
      </c>
      <c r="H643" s="241" t="s">
        <v>514</v>
      </c>
      <c r="I643" s="435" t="s">
        <v>56</v>
      </c>
      <c r="J643" s="438">
        <f>VLOOKUP(H643,'Full Trial Balance'!$A$4:$G$2306,3,FALSE)</f>
        <v>26380</v>
      </c>
      <c r="K643" s="438">
        <f>VLOOKUP(H643,'Full Trial Balance'!$A$4:$G$2306,4,FALSE)</f>
        <v>0</v>
      </c>
      <c r="L643" s="438">
        <f>VLOOKUP(H643,'Full Trial Balance'!$A$4:$G$2306,5,FALSE)</f>
        <v>26377.56</v>
      </c>
      <c r="M643" s="438">
        <f>VLOOKUP(H643,'Full Trial Balance'!$A$4:$G$2306,6,FALSE)</f>
        <v>0</v>
      </c>
      <c r="N643" s="438">
        <f>VLOOKUP(H643,'Full Trial Balance'!$A$4:$G$2306,7,FALSE)</f>
        <v>26377.56</v>
      </c>
      <c r="O643" s="485">
        <f t="shared" ref="O643:O706" si="82">N643-L643+M643</f>
        <v>0</v>
      </c>
    </row>
    <row r="644" spans="1:15" x14ac:dyDescent="0.25">
      <c r="A644" s="241" t="str">
        <f t="shared" si="77"/>
        <v>03-04</v>
      </c>
      <c r="B644" s="241" t="str">
        <f t="shared" si="78"/>
        <v>03</v>
      </c>
      <c r="C644" s="241" t="str">
        <f t="shared" si="79"/>
        <v>04</v>
      </c>
      <c r="D644" s="235" t="str">
        <f t="shared" si="80"/>
        <v>03-</v>
      </c>
      <c r="E644" s="241" t="s">
        <v>1250</v>
      </c>
      <c r="F644" s="241" t="str">
        <f t="shared" si="81"/>
        <v>-076-001</v>
      </c>
      <c r="G644" s="235" t="s">
        <v>1419</v>
      </c>
      <c r="H644" s="241" t="s">
        <v>517</v>
      </c>
      <c r="I644" s="435" t="s">
        <v>57</v>
      </c>
      <c r="J644" s="438">
        <f>VLOOKUP(H644,'Full Trial Balance'!$A$4:$G$2306,3,FALSE)</f>
        <v>9375</v>
      </c>
      <c r="K644" s="438">
        <f>VLOOKUP(H644,'Full Trial Balance'!$A$4:$G$2306,4,FALSE)</f>
        <v>0</v>
      </c>
      <c r="L644" s="438">
        <f>VLOOKUP(H644,'Full Trial Balance'!$A$4:$G$2306,5,FALSE)</f>
        <v>5375</v>
      </c>
      <c r="M644" s="438">
        <f>VLOOKUP(H644,'Full Trial Balance'!$A$4:$G$2306,6,FALSE)</f>
        <v>0</v>
      </c>
      <c r="N644" s="438">
        <f>VLOOKUP(H644,'Full Trial Balance'!$A$4:$G$2306,7,FALSE)</f>
        <v>5375</v>
      </c>
      <c r="O644" s="485">
        <f t="shared" si="82"/>
        <v>0</v>
      </c>
    </row>
    <row r="645" spans="1:15" x14ac:dyDescent="0.25">
      <c r="A645" s="241" t="str">
        <f t="shared" si="77"/>
        <v>03-04</v>
      </c>
      <c r="B645" s="241" t="str">
        <f t="shared" si="78"/>
        <v>03</v>
      </c>
      <c r="C645" s="241" t="str">
        <f t="shared" si="79"/>
        <v>04</v>
      </c>
      <c r="D645" s="235" t="str">
        <f t="shared" si="80"/>
        <v>03-</v>
      </c>
      <c r="E645" s="241" t="s">
        <v>1250</v>
      </c>
      <c r="F645" s="241" t="str">
        <f t="shared" si="81"/>
        <v>-076-005</v>
      </c>
      <c r="G645" s="256" t="s">
        <v>1422</v>
      </c>
      <c r="H645" s="241" t="s">
        <v>496</v>
      </c>
      <c r="I645" s="435" t="s">
        <v>58</v>
      </c>
      <c r="J645" s="438">
        <f>VLOOKUP(H645,'Full Trial Balance'!$A$4:$G$2306,3,FALSE)</f>
        <v>15250</v>
      </c>
      <c r="K645" s="438">
        <f>VLOOKUP(H645,'Full Trial Balance'!$A$4:$G$2306,4,FALSE)</f>
        <v>0</v>
      </c>
      <c r="L645" s="438">
        <f>VLOOKUP(H645,'Full Trial Balance'!$A$4:$G$2306,5,FALSE)</f>
        <v>4933.53</v>
      </c>
      <c r="M645" s="438">
        <f>VLOOKUP(H645,'Full Trial Balance'!$A$4:$G$2306,6,FALSE)</f>
        <v>0</v>
      </c>
      <c r="N645" s="438">
        <f>VLOOKUP(H645,'Full Trial Balance'!$A$4:$G$2306,7,FALSE)</f>
        <v>4933.53</v>
      </c>
      <c r="O645" s="485">
        <f t="shared" si="82"/>
        <v>0</v>
      </c>
    </row>
    <row r="646" spans="1:15" x14ac:dyDescent="0.25">
      <c r="A646" s="241" t="str">
        <f t="shared" si="77"/>
        <v>03-04</v>
      </c>
      <c r="B646" s="241" t="str">
        <f t="shared" si="78"/>
        <v>03</v>
      </c>
      <c r="C646" s="241" t="str">
        <f t="shared" si="79"/>
        <v>04</v>
      </c>
      <c r="D646" s="235" t="str">
        <f t="shared" si="80"/>
        <v>03-</v>
      </c>
      <c r="E646" s="241" t="s">
        <v>1250</v>
      </c>
      <c r="F646" s="241" t="str">
        <f t="shared" si="81"/>
        <v>-076-010</v>
      </c>
      <c r="G646" s="235" t="s">
        <v>1419</v>
      </c>
      <c r="H646" s="241" t="s">
        <v>506</v>
      </c>
      <c r="I646" s="435" t="s">
        <v>59</v>
      </c>
      <c r="J646" s="438">
        <f>VLOOKUP(H646,'Full Trial Balance'!$A$4:$G$2306,3,FALSE)</f>
        <v>3970</v>
      </c>
      <c r="K646" s="438">
        <f>VLOOKUP(H646,'Full Trial Balance'!$A$4:$G$2306,4,FALSE)</f>
        <v>0</v>
      </c>
      <c r="L646" s="438">
        <f>VLOOKUP(H646,'Full Trial Balance'!$A$4:$G$2306,5,FALSE)</f>
        <v>0</v>
      </c>
      <c r="M646" s="438">
        <f>VLOOKUP(H646,'Full Trial Balance'!$A$4:$G$2306,6,FALSE)</f>
        <v>0</v>
      </c>
      <c r="N646" s="438">
        <f>VLOOKUP(H646,'Full Trial Balance'!$A$4:$G$2306,7,FALSE)</f>
        <v>0</v>
      </c>
      <c r="O646" s="485">
        <f t="shared" si="82"/>
        <v>0</v>
      </c>
    </row>
    <row r="647" spans="1:15" x14ac:dyDescent="0.25">
      <c r="A647" s="241" t="str">
        <f t="shared" si="77"/>
        <v>03-04</v>
      </c>
      <c r="B647" s="241" t="str">
        <f t="shared" si="78"/>
        <v>03</v>
      </c>
      <c r="C647" s="241" t="str">
        <f t="shared" si="79"/>
        <v>04</v>
      </c>
      <c r="D647" s="235" t="str">
        <f t="shared" si="80"/>
        <v>03-</v>
      </c>
      <c r="E647" s="241" t="s">
        <v>1250</v>
      </c>
      <c r="F647" s="241" t="str">
        <f t="shared" si="81"/>
        <v>-076-015</v>
      </c>
      <c r="G647" s="235" t="s">
        <v>1419</v>
      </c>
      <c r="H647" s="241" t="s">
        <v>504</v>
      </c>
      <c r="I647" s="435" t="s">
        <v>179</v>
      </c>
      <c r="J647" s="438">
        <f>VLOOKUP(H647,'Full Trial Balance'!$A$4:$G$2306,3,FALSE)</f>
        <v>1000</v>
      </c>
      <c r="K647" s="438">
        <f>VLOOKUP(H647,'Full Trial Balance'!$A$4:$G$2306,4,FALSE)</f>
        <v>0</v>
      </c>
      <c r="L647" s="438">
        <f>VLOOKUP(H647,'Full Trial Balance'!$A$4:$G$2306,5,FALSE)</f>
        <v>0</v>
      </c>
      <c r="M647" s="438">
        <f>VLOOKUP(H647,'Full Trial Balance'!$A$4:$G$2306,6,FALSE)</f>
        <v>0</v>
      </c>
      <c r="N647" s="438">
        <f>VLOOKUP(H647,'Full Trial Balance'!$A$4:$G$2306,7,FALSE)</f>
        <v>0</v>
      </c>
      <c r="O647" s="485">
        <f t="shared" si="82"/>
        <v>0</v>
      </c>
    </row>
    <row r="648" spans="1:15" s="258" customFormat="1" x14ac:dyDescent="0.25">
      <c r="A648" s="241" t="str">
        <f t="shared" si="77"/>
        <v>03-04</v>
      </c>
      <c r="B648" s="241" t="str">
        <f t="shared" si="78"/>
        <v>03</v>
      </c>
      <c r="C648" s="241" t="str">
        <f t="shared" si="79"/>
        <v>04</v>
      </c>
      <c r="D648" s="489" t="str">
        <f t="shared" si="80"/>
        <v>03-</v>
      </c>
      <c r="E648" s="241" t="s">
        <v>1250</v>
      </c>
      <c r="F648" s="241" t="str">
        <f t="shared" si="81"/>
        <v>-077-000</v>
      </c>
      <c r="G648" s="489" t="s">
        <v>1422</v>
      </c>
      <c r="H648" s="241" t="s">
        <v>505</v>
      </c>
      <c r="I648" s="435" t="s">
        <v>60</v>
      </c>
      <c r="J648" s="438">
        <f>VLOOKUP(H648,'Full Trial Balance'!$A$4:$G$2306,3,FALSE)</f>
        <v>500</v>
      </c>
      <c r="K648" s="438">
        <f>VLOOKUP(H648,'Full Trial Balance'!$A$4:$G$2306,4,FALSE)</f>
        <v>0</v>
      </c>
      <c r="L648" s="438">
        <f>VLOOKUP(H648,'Full Trial Balance'!$A$4:$G$2306,5,FALSE)</f>
        <v>0</v>
      </c>
      <c r="M648" s="438">
        <f>VLOOKUP(H648,'Full Trial Balance'!$A$4:$G$2306,6,FALSE)</f>
        <v>0</v>
      </c>
      <c r="N648" s="438">
        <f>VLOOKUP(H648,'Full Trial Balance'!$A$4:$G$2306,7,FALSE)</f>
        <v>0</v>
      </c>
      <c r="O648" s="485">
        <f t="shared" si="82"/>
        <v>0</v>
      </c>
    </row>
    <row r="649" spans="1:15" x14ac:dyDescent="0.25">
      <c r="A649" s="241" t="str">
        <f t="shared" si="77"/>
        <v>01-05</v>
      </c>
      <c r="B649" s="241" t="str">
        <f t="shared" si="78"/>
        <v>01</v>
      </c>
      <c r="C649" s="241" t="str">
        <f t="shared" si="79"/>
        <v>05</v>
      </c>
      <c r="D649" s="235" t="str">
        <f t="shared" si="80"/>
        <v>01-</v>
      </c>
      <c r="E649" s="241" t="s">
        <v>1250</v>
      </c>
      <c r="F649" s="241" t="str">
        <f t="shared" si="81"/>
        <v>-010-000</v>
      </c>
      <c r="G649" s="235" t="str">
        <f t="shared" ref="G649:G663" si="83">CONCATENATE(D649,E649,F649)</f>
        <v>01-0x-010-000</v>
      </c>
      <c r="H649" s="241" t="s">
        <v>539</v>
      </c>
      <c r="I649" s="435" t="s">
        <v>150</v>
      </c>
      <c r="J649" s="438">
        <f>VLOOKUP(H649,'Full Trial Balance'!$A$4:$G$2306,3,FALSE)</f>
        <v>180019</v>
      </c>
      <c r="K649" s="438">
        <f>VLOOKUP(H649,'Full Trial Balance'!$A$4:$G$2306,4,FALSE)</f>
        <v>0</v>
      </c>
      <c r="L649" s="438">
        <f>VLOOKUP(H649,'Full Trial Balance'!$A$4:$G$2306,5,FALSE)</f>
        <v>73314.679999999993</v>
      </c>
      <c r="M649" s="438">
        <f>VLOOKUP(H649,'Full Trial Balance'!$A$4:$G$2306,6,FALSE)</f>
        <v>5412.8</v>
      </c>
      <c r="N649" s="438">
        <f>VLOOKUP(H649,'Full Trial Balance'!$A$4:$G$2306,7,FALSE)</f>
        <v>67901.88</v>
      </c>
      <c r="O649" s="485">
        <f t="shared" si="82"/>
        <v>1.1823431123048067E-11</v>
      </c>
    </row>
    <row r="650" spans="1:15" x14ac:dyDescent="0.25">
      <c r="A650" s="241" t="str">
        <f t="shared" si="77"/>
        <v>01-05</v>
      </c>
      <c r="B650" s="241" t="str">
        <f t="shared" si="78"/>
        <v>01</v>
      </c>
      <c r="C650" s="241" t="str">
        <f t="shared" si="79"/>
        <v>05</v>
      </c>
      <c r="D650" s="235" t="str">
        <f t="shared" si="80"/>
        <v>01-</v>
      </c>
      <c r="E650" s="241" t="s">
        <v>1250</v>
      </c>
      <c r="F650" s="241" t="str">
        <f t="shared" si="81"/>
        <v>-010-005</v>
      </c>
      <c r="G650" s="235" t="str">
        <f t="shared" si="83"/>
        <v>01-0x-010-005</v>
      </c>
      <c r="H650" s="241" t="s">
        <v>540</v>
      </c>
      <c r="I650" s="435" t="s">
        <v>667</v>
      </c>
      <c r="J650" s="438">
        <f>VLOOKUP(H650,'Full Trial Balance'!$A$4:$G$2306,3,FALSE)</f>
        <v>-112635.4</v>
      </c>
      <c r="K650" s="438">
        <f>VLOOKUP(H650,'Full Trial Balance'!$A$4:$G$2306,4,FALSE)</f>
        <v>0</v>
      </c>
      <c r="L650" s="438">
        <f>VLOOKUP(H650,'Full Trial Balance'!$A$4:$G$2306,5,FALSE)</f>
        <v>0</v>
      </c>
      <c r="M650" s="438">
        <f>VLOOKUP(H650,'Full Trial Balance'!$A$4:$G$2306,6,FALSE)</f>
        <v>10546.75</v>
      </c>
      <c r="N650" s="438">
        <f>VLOOKUP(H650,'Full Trial Balance'!$A$4:$G$2306,7,FALSE)</f>
        <v>-10546.75</v>
      </c>
      <c r="O650" s="485">
        <f t="shared" si="82"/>
        <v>0</v>
      </c>
    </row>
    <row r="651" spans="1:15" x14ac:dyDescent="0.25">
      <c r="A651" s="241" t="str">
        <f t="shared" si="77"/>
        <v>01-05</v>
      </c>
      <c r="B651" s="241" t="str">
        <f t="shared" si="78"/>
        <v>01</v>
      </c>
      <c r="C651" s="241" t="str">
        <f t="shared" si="79"/>
        <v>05</v>
      </c>
      <c r="D651" s="235" t="str">
        <f t="shared" si="80"/>
        <v>01-</v>
      </c>
      <c r="E651" s="241" t="s">
        <v>1250</v>
      </c>
      <c r="F651" s="241" t="str">
        <f t="shared" si="81"/>
        <v>-015-000</v>
      </c>
      <c r="G651" s="235" t="str">
        <f t="shared" si="83"/>
        <v>01-0x-015-000</v>
      </c>
      <c r="H651" s="241" t="s">
        <v>534</v>
      </c>
      <c r="I651" s="435" t="s">
        <v>37</v>
      </c>
      <c r="J651" s="438">
        <f>VLOOKUP(H651,'Full Trial Balance'!$A$4:$G$2306,3,FALSE)</f>
        <v>919</v>
      </c>
      <c r="K651" s="438">
        <f>VLOOKUP(H651,'Full Trial Balance'!$A$4:$G$2306,4,FALSE)</f>
        <v>0</v>
      </c>
      <c r="L651" s="438">
        <f>VLOOKUP(H651,'Full Trial Balance'!$A$4:$G$2306,5,FALSE)</f>
        <v>0</v>
      </c>
      <c r="M651" s="438">
        <f>VLOOKUP(H651,'Full Trial Balance'!$A$4:$G$2306,6,FALSE)</f>
        <v>0</v>
      </c>
      <c r="N651" s="438">
        <f>VLOOKUP(H651,'Full Trial Balance'!$A$4:$G$2306,7,FALSE)</f>
        <v>0</v>
      </c>
      <c r="O651" s="485">
        <f t="shared" si="82"/>
        <v>0</v>
      </c>
    </row>
    <row r="652" spans="1:15" x14ac:dyDescent="0.25">
      <c r="A652" s="241" t="str">
        <f t="shared" si="77"/>
        <v>01-05</v>
      </c>
      <c r="B652" s="241" t="str">
        <f t="shared" si="78"/>
        <v>01</v>
      </c>
      <c r="C652" s="241" t="str">
        <f t="shared" si="79"/>
        <v>05</v>
      </c>
      <c r="D652" s="235" t="str">
        <f t="shared" si="80"/>
        <v>01-</v>
      </c>
      <c r="E652" s="241" t="s">
        <v>1250</v>
      </c>
      <c r="F652" s="241" t="str">
        <f t="shared" si="81"/>
        <v>-020-202</v>
      </c>
      <c r="G652" s="235" t="str">
        <f t="shared" si="83"/>
        <v>01-0x-020-202</v>
      </c>
      <c r="H652" s="241" t="s">
        <v>528</v>
      </c>
      <c r="I652" s="435" t="s">
        <v>153</v>
      </c>
      <c r="J652" s="438">
        <f>VLOOKUP(H652,'Full Trial Balance'!$A$4:$G$2306,3,FALSE)</f>
        <v>10232</v>
      </c>
      <c r="K652" s="438">
        <f>VLOOKUP(H652,'Full Trial Balance'!$A$4:$G$2306,4,FALSE)</f>
        <v>0</v>
      </c>
      <c r="L652" s="438">
        <f>VLOOKUP(H652,'Full Trial Balance'!$A$4:$G$2306,5,FALSE)</f>
        <v>3778.13</v>
      </c>
      <c r="M652" s="438">
        <f>VLOOKUP(H652,'Full Trial Balance'!$A$4:$G$2306,6,FALSE)</f>
        <v>313.51</v>
      </c>
      <c r="N652" s="438">
        <f>VLOOKUP(H652,'Full Trial Balance'!$A$4:$G$2306,7,FALSE)</f>
        <v>3464.62</v>
      </c>
      <c r="O652" s="485">
        <f t="shared" si="82"/>
        <v>0</v>
      </c>
    </row>
    <row r="653" spans="1:15" x14ac:dyDescent="0.25">
      <c r="A653" s="241" t="str">
        <f t="shared" si="77"/>
        <v>01-05</v>
      </c>
      <c r="B653" s="241" t="str">
        <f t="shared" si="78"/>
        <v>01</v>
      </c>
      <c r="C653" s="241" t="str">
        <f t="shared" si="79"/>
        <v>05</v>
      </c>
      <c r="D653" s="235" t="str">
        <f t="shared" si="80"/>
        <v>01-</v>
      </c>
      <c r="E653" s="241" t="s">
        <v>1250</v>
      </c>
      <c r="F653" s="241" t="str">
        <f t="shared" si="81"/>
        <v>-020-203</v>
      </c>
      <c r="G653" s="235" t="str">
        <f t="shared" si="83"/>
        <v>01-0x-020-203</v>
      </c>
      <c r="H653" s="241" t="s">
        <v>527</v>
      </c>
      <c r="I653" s="435" t="s">
        <v>154</v>
      </c>
      <c r="J653" s="438">
        <f>VLOOKUP(H653,'Full Trial Balance'!$A$4:$G$2306,3,FALSE)</f>
        <v>2624</v>
      </c>
      <c r="K653" s="438">
        <f>VLOOKUP(H653,'Full Trial Balance'!$A$4:$G$2306,4,FALSE)</f>
        <v>0</v>
      </c>
      <c r="L653" s="438">
        <f>VLOOKUP(H653,'Full Trial Balance'!$A$4:$G$2306,5,FALSE)</f>
        <v>1042.49</v>
      </c>
      <c r="M653" s="438">
        <f>VLOOKUP(H653,'Full Trial Balance'!$A$4:$G$2306,6,FALSE)</f>
        <v>73.349999999999994</v>
      </c>
      <c r="N653" s="438">
        <f>VLOOKUP(H653,'Full Trial Balance'!$A$4:$G$2306,7,FALSE)</f>
        <v>969.14</v>
      </c>
      <c r="O653" s="485">
        <f t="shared" si="82"/>
        <v>0</v>
      </c>
    </row>
    <row r="654" spans="1:15" x14ac:dyDescent="0.25">
      <c r="A654" s="241" t="str">
        <f t="shared" si="77"/>
        <v>01-05</v>
      </c>
      <c r="B654" s="241" t="str">
        <f t="shared" si="78"/>
        <v>01</v>
      </c>
      <c r="C654" s="241" t="str">
        <f t="shared" si="79"/>
        <v>05</v>
      </c>
      <c r="D654" s="235" t="str">
        <f t="shared" si="80"/>
        <v>01-</v>
      </c>
      <c r="E654" s="241" t="s">
        <v>1250</v>
      </c>
      <c r="F654" s="241" t="str">
        <f t="shared" si="81"/>
        <v>-020-204</v>
      </c>
      <c r="G654" s="235" t="str">
        <f t="shared" si="83"/>
        <v>01-0x-020-204</v>
      </c>
      <c r="H654" s="241" t="s">
        <v>530</v>
      </c>
      <c r="I654" s="435" t="s">
        <v>38</v>
      </c>
      <c r="J654" s="438">
        <f>VLOOKUP(H654,'Full Trial Balance'!$A$4:$G$2306,3,FALSE)</f>
        <v>34915</v>
      </c>
      <c r="K654" s="438">
        <f>VLOOKUP(H654,'Full Trial Balance'!$A$4:$G$2306,4,FALSE)</f>
        <v>0</v>
      </c>
      <c r="L654" s="438">
        <f>VLOOKUP(H654,'Full Trial Balance'!$A$4:$G$2306,5,FALSE)</f>
        <v>14086.78</v>
      </c>
      <c r="M654" s="438">
        <f>VLOOKUP(H654,'Full Trial Balance'!$A$4:$G$2306,6,FALSE)</f>
        <v>0</v>
      </c>
      <c r="N654" s="438">
        <f>VLOOKUP(H654,'Full Trial Balance'!$A$4:$G$2306,7,FALSE)</f>
        <v>14086.78</v>
      </c>
      <c r="O654" s="485">
        <f t="shared" si="82"/>
        <v>0</v>
      </c>
    </row>
    <row r="655" spans="1:15" x14ac:dyDescent="0.25">
      <c r="A655" s="241" t="str">
        <f t="shared" si="77"/>
        <v>01-05</v>
      </c>
      <c r="B655" s="241" t="str">
        <f t="shared" si="78"/>
        <v>01</v>
      </c>
      <c r="C655" s="241" t="str">
        <f t="shared" si="79"/>
        <v>05</v>
      </c>
      <c r="D655" s="235" t="str">
        <f t="shared" si="80"/>
        <v>01-</v>
      </c>
      <c r="E655" s="241" t="s">
        <v>1250</v>
      </c>
      <c r="F655" s="241" t="str">
        <f t="shared" si="81"/>
        <v>-020-205</v>
      </c>
      <c r="G655" s="235" t="str">
        <f t="shared" si="83"/>
        <v>01-0x-020-205</v>
      </c>
      <c r="H655" s="241" t="s">
        <v>522</v>
      </c>
      <c r="I655" s="435" t="s">
        <v>77</v>
      </c>
      <c r="J655" s="438">
        <f>VLOOKUP(H655,'Full Trial Balance'!$A$4:$G$2306,3,FALSE)</f>
        <v>2110</v>
      </c>
      <c r="K655" s="438">
        <f>VLOOKUP(H655,'Full Trial Balance'!$A$4:$G$2306,4,FALSE)</f>
        <v>0</v>
      </c>
      <c r="L655" s="438">
        <f>VLOOKUP(H655,'Full Trial Balance'!$A$4:$G$2306,5,FALSE)</f>
        <v>827.1</v>
      </c>
      <c r="M655" s="438">
        <f>VLOOKUP(H655,'Full Trial Balance'!$A$4:$G$2306,6,FALSE)</f>
        <v>0</v>
      </c>
      <c r="N655" s="438">
        <f>VLOOKUP(H655,'Full Trial Balance'!$A$4:$G$2306,7,FALSE)</f>
        <v>827.1</v>
      </c>
      <c r="O655" s="485">
        <f t="shared" si="82"/>
        <v>0</v>
      </c>
    </row>
    <row r="656" spans="1:15" x14ac:dyDescent="0.25">
      <c r="A656" s="241" t="str">
        <f t="shared" si="77"/>
        <v>01-05</v>
      </c>
      <c r="B656" s="241" t="str">
        <f t="shared" si="78"/>
        <v>01</v>
      </c>
      <c r="C656" s="241" t="str">
        <f t="shared" si="79"/>
        <v>05</v>
      </c>
      <c r="D656" s="235" t="str">
        <f t="shared" si="80"/>
        <v>01-</v>
      </c>
      <c r="E656" s="241" t="s">
        <v>1250</v>
      </c>
      <c r="F656" s="241" t="str">
        <f t="shared" si="81"/>
        <v>-020-206</v>
      </c>
      <c r="G656" s="235" t="str">
        <f t="shared" si="83"/>
        <v>01-0x-020-206</v>
      </c>
      <c r="H656" s="241" t="s">
        <v>538</v>
      </c>
      <c r="I656" s="435" t="s">
        <v>78</v>
      </c>
      <c r="J656" s="438">
        <f>VLOOKUP(H656,'Full Trial Balance'!$A$4:$G$2306,3,FALSE)</f>
        <v>344</v>
      </c>
      <c r="K656" s="438">
        <f>VLOOKUP(H656,'Full Trial Balance'!$A$4:$G$2306,4,FALSE)</f>
        <v>0</v>
      </c>
      <c r="L656" s="438">
        <f>VLOOKUP(H656,'Full Trial Balance'!$A$4:$G$2306,5,FALSE)</f>
        <v>157.09</v>
      </c>
      <c r="M656" s="438">
        <f>VLOOKUP(H656,'Full Trial Balance'!$A$4:$G$2306,6,FALSE)</f>
        <v>0</v>
      </c>
      <c r="N656" s="438">
        <f>VLOOKUP(H656,'Full Trial Balance'!$A$4:$G$2306,7,FALSE)</f>
        <v>157.09</v>
      </c>
      <c r="O656" s="485">
        <f t="shared" si="82"/>
        <v>0</v>
      </c>
    </row>
    <row r="657" spans="1:15" x14ac:dyDescent="0.25">
      <c r="A657" s="241" t="str">
        <f t="shared" si="77"/>
        <v>01-05</v>
      </c>
      <c r="B657" s="241" t="str">
        <f t="shared" si="78"/>
        <v>01</v>
      </c>
      <c r="C657" s="241" t="str">
        <f t="shared" si="79"/>
        <v>05</v>
      </c>
      <c r="D657" s="235" t="str">
        <f t="shared" si="80"/>
        <v>01-</v>
      </c>
      <c r="E657" s="241" t="s">
        <v>1250</v>
      </c>
      <c r="F657" s="241" t="str">
        <f t="shared" si="81"/>
        <v>-020-208</v>
      </c>
      <c r="G657" s="235" t="str">
        <f t="shared" si="83"/>
        <v>01-0x-020-208</v>
      </c>
      <c r="H657" s="241" t="s">
        <v>541</v>
      </c>
      <c r="I657" s="435" t="s">
        <v>893</v>
      </c>
      <c r="J657" s="438">
        <f>VLOOKUP(H657,'Full Trial Balance'!$A$4:$G$2306,3,FALSE)</f>
        <v>1803</v>
      </c>
      <c r="K657" s="438">
        <f>VLOOKUP(H657,'Full Trial Balance'!$A$4:$G$2306,4,FALSE)</f>
        <v>0</v>
      </c>
      <c r="L657" s="438">
        <f>VLOOKUP(H657,'Full Trial Balance'!$A$4:$G$2306,5,FALSE)</f>
        <v>716.29</v>
      </c>
      <c r="M657" s="438">
        <f>VLOOKUP(H657,'Full Trial Balance'!$A$4:$G$2306,6,FALSE)</f>
        <v>40.76</v>
      </c>
      <c r="N657" s="438">
        <f>VLOOKUP(H657,'Full Trial Balance'!$A$4:$G$2306,7,FALSE)</f>
        <v>675.53</v>
      </c>
      <c r="O657" s="485">
        <f t="shared" si="82"/>
        <v>0</v>
      </c>
    </row>
    <row r="658" spans="1:15" x14ac:dyDescent="0.25">
      <c r="A658" s="241" t="str">
        <f t="shared" si="77"/>
        <v>01-05</v>
      </c>
      <c r="B658" s="241" t="str">
        <f t="shared" si="78"/>
        <v>01</v>
      </c>
      <c r="C658" s="241" t="str">
        <f t="shared" si="79"/>
        <v>05</v>
      </c>
      <c r="D658" s="235" t="str">
        <f t="shared" si="80"/>
        <v>01-</v>
      </c>
      <c r="E658" s="241" t="s">
        <v>1250</v>
      </c>
      <c r="F658" s="241" t="str">
        <f t="shared" si="81"/>
        <v>-020-209</v>
      </c>
      <c r="G658" s="235" t="str">
        <f t="shared" si="83"/>
        <v>01-0x-020-209</v>
      </c>
      <c r="H658" s="241" t="s">
        <v>529</v>
      </c>
      <c r="I658" s="435" t="s">
        <v>39</v>
      </c>
      <c r="J658" s="438">
        <f>VLOOKUP(H658,'Full Trial Balance'!$A$4:$G$2306,3,FALSE)</f>
        <v>673</v>
      </c>
      <c r="K658" s="438">
        <f>VLOOKUP(H658,'Full Trial Balance'!$A$4:$G$2306,4,FALSE)</f>
        <v>0</v>
      </c>
      <c r="L658" s="438">
        <f>VLOOKUP(H658,'Full Trial Balance'!$A$4:$G$2306,5,FALSE)</f>
        <v>491.71</v>
      </c>
      <c r="M658" s="438">
        <f>VLOOKUP(H658,'Full Trial Balance'!$A$4:$G$2306,6,FALSE)</f>
        <v>150.24</v>
      </c>
      <c r="N658" s="438">
        <f>VLOOKUP(H658,'Full Trial Balance'!$A$4:$G$2306,7,FALSE)</f>
        <v>341.47</v>
      </c>
      <c r="O658" s="485">
        <f t="shared" si="82"/>
        <v>0</v>
      </c>
    </row>
    <row r="659" spans="1:15" x14ac:dyDescent="0.25">
      <c r="A659" s="241" t="str">
        <f t="shared" si="77"/>
        <v>01-05</v>
      </c>
      <c r="B659" s="241" t="str">
        <f t="shared" si="78"/>
        <v>01</v>
      </c>
      <c r="C659" s="241" t="str">
        <f t="shared" si="79"/>
        <v>05</v>
      </c>
      <c r="D659" s="235" t="str">
        <f t="shared" si="80"/>
        <v>01-</v>
      </c>
      <c r="E659" s="241" t="s">
        <v>1250</v>
      </c>
      <c r="F659" s="241" t="str">
        <f t="shared" si="81"/>
        <v>-020-210</v>
      </c>
      <c r="G659" s="235" t="str">
        <f t="shared" si="83"/>
        <v>01-0x-020-210</v>
      </c>
      <c r="H659" s="241" t="s">
        <v>537</v>
      </c>
      <c r="I659" s="435" t="s">
        <v>64</v>
      </c>
      <c r="J659" s="438">
        <f>VLOOKUP(H659,'Full Trial Balance'!$A$4:$G$2306,3,FALSE)</f>
        <v>0</v>
      </c>
      <c r="K659" s="438">
        <f>VLOOKUP(H659,'Full Trial Balance'!$A$4:$G$2306,4,FALSE)</f>
        <v>0</v>
      </c>
      <c r="L659" s="438">
        <f>VLOOKUP(H659,'Full Trial Balance'!$A$4:$G$2306,5,FALSE)</f>
        <v>0</v>
      </c>
      <c r="M659" s="438">
        <f>VLOOKUP(H659,'Full Trial Balance'!$A$4:$G$2306,6,FALSE)</f>
        <v>0</v>
      </c>
      <c r="N659" s="438">
        <f>VLOOKUP(H659,'Full Trial Balance'!$A$4:$G$2306,7,FALSE)</f>
        <v>0</v>
      </c>
      <c r="O659" s="485">
        <f t="shared" si="82"/>
        <v>0</v>
      </c>
    </row>
    <row r="660" spans="1:15" x14ac:dyDescent="0.25">
      <c r="A660" s="241" t="str">
        <f t="shared" si="77"/>
        <v>01-05</v>
      </c>
      <c r="B660" s="241" t="str">
        <f t="shared" si="78"/>
        <v>01</v>
      </c>
      <c r="C660" s="241" t="str">
        <f t="shared" si="79"/>
        <v>05</v>
      </c>
      <c r="D660" s="235" t="str">
        <f t="shared" si="80"/>
        <v>01-</v>
      </c>
      <c r="E660" s="241" t="s">
        <v>1250</v>
      </c>
      <c r="F660" s="241" t="str">
        <f t="shared" si="81"/>
        <v>-020-211</v>
      </c>
      <c r="G660" s="235" t="str">
        <f t="shared" si="83"/>
        <v>01-0x-020-211</v>
      </c>
      <c r="H660" s="241" t="s">
        <v>519</v>
      </c>
      <c r="I660" s="435" t="s">
        <v>65</v>
      </c>
      <c r="J660" s="438">
        <f>VLOOKUP(H660,'Full Trial Balance'!$A$4:$G$2306,3,FALSE)</f>
        <v>232</v>
      </c>
      <c r="K660" s="438">
        <f>VLOOKUP(H660,'Full Trial Balance'!$A$4:$G$2306,4,FALSE)</f>
        <v>0</v>
      </c>
      <c r="L660" s="438">
        <f>VLOOKUP(H660,'Full Trial Balance'!$A$4:$G$2306,5,FALSE)</f>
        <v>39.74</v>
      </c>
      <c r="M660" s="438">
        <f>VLOOKUP(H660,'Full Trial Balance'!$A$4:$G$2306,6,FALSE)</f>
        <v>0</v>
      </c>
      <c r="N660" s="438">
        <f>VLOOKUP(H660,'Full Trial Balance'!$A$4:$G$2306,7,FALSE)</f>
        <v>39.74</v>
      </c>
      <c r="O660" s="485">
        <f t="shared" si="82"/>
        <v>0</v>
      </c>
    </row>
    <row r="661" spans="1:15" x14ac:dyDescent="0.25">
      <c r="A661" s="241" t="str">
        <f t="shared" si="77"/>
        <v>01-05</v>
      </c>
      <c r="B661" s="241" t="str">
        <f t="shared" si="78"/>
        <v>01</v>
      </c>
      <c r="C661" s="241" t="str">
        <f t="shared" si="79"/>
        <v>05</v>
      </c>
      <c r="D661" s="235" t="str">
        <f t="shared" si="80"/>
        <v>01-</v>
      </c>
      <c r="E661" s="241" t="s">
        <v>1250</v>
      </c>
      <c r="F661" s="241" t="str">
        <f t="shared" si="81"/>
        <v>-020-212</v>
      </c>
      <c r="G661" s="235" t="str">
        <f t="shared" si="83"/>
        <v>01-0x-020-212</v>
      </c>
      <c r="H661" s="241" t="s">
        <v>536</v>
      </c>
      <c r="I661" s="435" t="s">
        <v>40</v>
      </c>
      <c r="J661" s="438">
        <f>VLOOKUP(H661,'Full Trial Balance'!$A$4:$G$2306,3,FALSE)</f>
        <v>639</v>
      </c>
      <c r="K661" s="438">
        <f>VLOOKUP(H661,'Full Trial Balance'!$A$4:$G$2306,4,FALSE)</f>
        <v>0</v>
      </c>
      <c r="L661" s="438">
        <f>VLOOKUP(H661,'Full Trial Balance'!$A$4:$G$2306,5,FALSE)</f>
        <v>103.65</v>
      </c>
      <c r="M661" s="438">
        <f>VLOOKUP(H661,'Full Trial Balance'!$A$4:$G$2306,6,FALSE)</f>
        <v>4.3600000000000003</v>
      </c>
      <c r="N661" s="438">
        <f>VLOOKUP(H661,'Full Trial Balance'!$A$4:$G$2306,7,FALSE)</f>
        <v>99.29</v>
      </c>
      <c r="O661" s="485">
        <f t="shared" si="82"/>
        <v>0</v>
      </c>
    </row>
    <row r="662" spans="1:15" x14ac:dyDescent="0.25">
      <c r="A662" s="241" t="str">
        <f t="shared" si="77"/>
        <v>01-05</v>
      </c>
      <c r="B662" s="241" t="str">
        <f t="shared" si="78"/>
        <v>01</v>
      </c>
      <c r="C662" s="241" t="str">
        <f t="shared" si="79"/>
        <v>05</v>
      </c>
      <c r="D662" s="235" t="str">
        <f t="shared" si="80"/>
        <v>01-</v>
      </c>
      <c r="E662" s="241" t="s">
        <v>1250</v>
      </c>
      <c r="F662" s="241" t="str">
        <f t="shared" si="81"/>
        <v>-020-213</v>
      </c>
      <c r="G662" s="235" t="str">
        <f t="shared" si="83"/>
        <v>01-0x-020-213</v>
      </c>
      <c r="H662" s="241" t="s">
        <v>526</v>
      </c>
      <c r="I662" s="435" t="s">
        <v>41</v>
      </c>
      <c r="J662" s="438">
        <f>VLOOKUP(H662,'Full Trial Balance'!$A$4:$G$2306,3,FALSE)</f>
        <v>14</v>
      </c>
      <c r="K662" s="438">
        <f>VLOOKUP(H662,'Full Trial Balance'!$A$4:$G$2306,4,FALSE)</f>
        <v>0</v>
      </c>
      <c r="L662" s="438">
        <f>VLOOKUP(H662,'Full Trial Balance'!$A$4:$G$2306,5,FALSE)</f>
        <v>2.64</v>
      </c>
      <c r="M662" s="438">
        <f>VLOOKUP(H662,'Full Trial Balance'!$A$4:$G$2306,6,FALSE)</f>
        <v>0.12</v>
      </c>
      <c r="N662" s="438">
        <f>VLOOKUP(H662,'Full Trial Balance'!$A$4:$G$2306,7,FALSE)</f>
        <v>2.52</v>
      </c>
      <c r="O662" s="485">
        <f t="shared" si="82"/>
        <v>-1.1102230246251565E-16</v>
      </c>
    </row>
    <row r="663" spans="1:15" x14ac:dyDescent="0.25">
      <c r="A663" s="241" t="str">
        <f t="shared" si="77"/>
        <v>01-05</v>
      </c>
      <c r="B663" s="241" t="str">
        <f t="shared" si="78"/>
        <v>01</v>
      </c>
      <c r="C663" s="241" t="str">
        <f t="shared" si="79"/>
        <v>05</v>
      </c>
      <c r="D663" s="235" t="str">
        <f t="shared" si="80"/>
        <v>01-</v>
      </c>
      <c r="E663" s="241" t="s">
        <v>1250</v>
      </c>
      <c r="F663" s="241" t="str">
        <f t="shared" si="81"/>
        <v>-020-215</v>
      </c>
      <c r="G663" s="235" t="str">
        <f t="shared" si="83"/>
        <v>01-0x-020-215</v>
      </c>
      <c r="H663" s="241" t="s">
        <v>523</v>
      </c>
      <c r="I663" s="435" t="s">
        <v>42</v>
      </c>
      <c r="J663" s="438">
        <f>VLOOKUP(H663,'Full Trial Balance'!$A$4:$G$2306,3,FALSE)</f>
        <v>548</v>
      </c>
      <c r="K663" s="438">
        <f>VLOOKUP(H663,'Full Trial Balance'!$A$4:$G$2306,4,FALSE)</f>
        <v>0</v>
      </c>
      <c r="L663" s="438">
        <f>VLOOKUP(H663,'Full Trial Balance'!$A$4:$G$2306,5,FALSE)</f>
        <v>269.14</v>
      </c>
      <c r="M663" s="438">
        <f>VLOOKUP(H663,'Full Trial Balance'!$A$4:$G$2306,6,FALSE)</f>
        <v>17.239999999999998</v>
      </c>
      <c r="N663" s="438">
        <f>VLOOKUP(H663,'Full Trial Balance'!$A$4:$G$2306,7,FALSE)</f>
        <v>251.9</v>
      </c>
      <c r="O663" s="485">
        <f t="shared" si="82"/>
        <v>0</v>
      </c>
    </row>
    <row r="664" spans="1:15" x14ac:dyDescent="0.25">
      <c r="A664" s="241" t="str">
        <f t="shared" si="77"/>
        <v>01-05</v>
      </c>
      <c r="B664" s="241" t="str">
        <f t="shared" si="78"/>
        <v>01</v>
      </c>
      <c r="C664" s="241" t="str">
        <f t="shared" si="79"/>
        <v>05</v>
      </c>
      <c r="D664" s="235" t="str">
        <f t="shared" si="80"/>
        <v>01-</v>
      </c>
      <c r="E664" s="241" t="s">
        <v>1250</v>
      </c>
      <c r="F664" s="241" t="str">
        <f t="shared" si="81"/>
        <v>-020-217</v>
      </c>
      <c r="G664" s="235" t="s">
        <v>3433</v>
      </c>
      <c r="H664" s="241" t="s">
        <v>520</v>
      </c>
      <c r="I664" s="435" t="s">
        <v>43</v>
      </c>
      <c r="J664" s="438">
        <f>VLOOKUP(H664,'Full Trial Balance'!$A$4:$G$2306,3,FALSE)</f>
        <v>15969</v>
      </c>
      <c r="K664" s="438">
        <f>VLOOKUP(H664,'Full Trial Balance'!$A$4:$G$2306,4,FALSE)</f>
        <v>0</v>
      </c>
      <c r="L664" s="438">
        <f>VLOOKUP(H664,'Full Trial Balance'!$A$4:$G$2306,5,FALSE)</f>
        <v>5784.58</v>
      </c>
      <c r="M664" s="438">
        <f>VLOOKUP(H664,'Full Trial Balance'!$A$4:$G$2306,6,FALSE)</f>
        <v>457.49</v>
      </c>
      <c r="N664" s="438">
        <f>VLOOKUP(H664,'Full Trial Balance'!$A$4:$G$2306,7,FALSE)</f>
        <v>5327.09</v>
      </c>
      <c r="O664" s="485">
        <f t="shared" si="82"/>
        <v>0</v>
      </c>
    </row>
    <row r="665" spans="1:15" x14ac:dyDescent="0.25">
      <c r="A665" s="241" t="str">
        <f t="shared" si="77"/>
        <v>01-05</v>
      </c>
      <c r="B665" s="241" t="str">
        <f t="shared" si="78"/>
        <v>01</v>
      </c>
      <c r="C665" s="241" t="str">
        <f t="shared" si="79"/>
        <v>05</v>
      </c>
      <c r="D665" s="235" t="str">
        <f t="shared" si="80"/>
        <v>01-</v>
      </c>
      <c r="E665" s="241" t="s">
        <v>1250</v>
      </c>
      <c r="F665" s="241" t="str">
        <f t="shared" si="81"/>
        <v>-020-218</v>
      </c>
      <c r="G665" s="489" t="s">
        <v>3434</v>
      </c>
      <c r="H665" s="241" t="s">
        <v>521</v>
      </c>
      <c r="I665" s="435" t="s">
        <v>44</v>
      </c>
      <c r="J665" s="438">
        <f>VLOOKUP(H665,'Full Trial Balance'!$A$4:$G$2306,3,FALSE)</f>
        <v>13192</v>
      </c>
      <c r="K665" s="438">
        <f>VLOOKUP(H665,'Full Trial Balance'!$A$4:$G$2306,4,FALSE)</f>
        <v>0</v>
      </c>
      <c r="L665" s="438">
        <f>VLOOKUP(H665,'Full Trial Balance'!$A$4:$G$2306,5,FALSE)</f>
        <v>4796.9399999999996</v>
      </c>
      <c r="M665" s="438">
        <f>VLOOKUP(H665,'Full Trial Balance'!$A$4:$G$2306,6,FALSE)</f>
        <v>377.14</v>
      </c>
      <c r="N665" s="438">
        <f>VLOOKUP(H665,'Full Trial Balance'!$A$4:$G$2306,7,FALSE)</f>
        <v>4419.8</v>
      </c>
      <c r="O665" s="485">
        <f t="shared" si="82"/>
        <v>5.6843418860808015E-13</v>
      </c>
    </row>
    <row r="666" spans="1:15" x14ac:dyDescent="0.25">
      <c r="A666" s="241" t="str">
        <f t="shared" si="77"/>
        <v>01-05</v>
      </c>
      <c r="B666" s="241" t="str">
        <f t="shared" si="78"/>
        <v>01</v>
      </c>
      <c r="C666" s="241" t="str">
        <f t="shared" si="79"/>
        <v>05</v>
      </c>
      <c r="D666" s="235" t="str">
        <f t="shared" si="80"/>
        <v>01-</v>
      </c>
      <c r="E666" s="241" t="s">
        <v>1250</v>
      </c>
      <c r="F666" s="241" t="str">
        <f t="shared" si="81"/>
        <v>-020-220</v>
      </c>
      <c r="G666" s="235" t="str">
        <f>CONCATENATE(D666,E666,F666)</f>
        <v>01-0x-020-220</v>
      </c>
      <c r="H666" s="241" t="s">
        <v>533</v>
      </c>
      <c r="I666" s="435" t="s">
        <v>183</v>
      </c>
      <c r="J666" s="438">
        <f>VLOOKUP(H666,'Full Trial Balance'!$A$4:$G$2306,3,FALSE)</f>
        <v>7859</v>
      </c>
      <c r="K666" s="438">
        <f>VLOOKUP(H666,'Full Trial Balance'!$A$4:$G$2306,4,FALSE)</f>
        <v>0</v>
      </c>
      <c r="L666" s="438">
        <f>VLOOKUP(H666,'Full Trial Balance'!$A$4:$G$2306,5,FALSE)</f>
        <v>0</v>
      </c>
      <c r="M666" s="438">
        <f>VLOOKUP(H666,'Full Trial Balance'!$A$4:$G$2306,6,FALSE)</f>
        <v>0</v>
      </c>
      <c r="N666" s="438">
        <f>VLOOKUP(H666,'Full Trial Balance'!$A$4:$G$2306,7,FALSE)</f>
        <v>0</v>
      </c>
      <c r="O666" s="485">
        <f t="shared" si="82"/>
        <v>0</v>
      </c>
    </row>
    <row r="667" spans="1:15" x14ac:dyDescent="0.25">
      <c r="A667" s="241" t="str">
        <f t="shared" si="77"/>
        <v>01-05</v>
      </c>
      <c r="B667" s="241" t="str">
        <f t="shared" si="78"/>
        <v>01</v>
      </c>
      <c r="C667" s="241" t="str">
        <f t="shared" si="79"/>
        <v>05</v>
      </c>
      <c r="D667" s="489" t="str">
        <f t="shared" si="80"/>
        <v>01-</v>
      </c>
      <c r="E667" s="241" t="s">
        <v>1250</v>
      </c>
      <c r="F667" s="241" t="str">
        <f t="shared" si="81"/>
        <v>-020-222</v>
      </c>
      <c r="G667" s="489" t="s">
        <v>3433</v>
      </c>
      <c r="H667" s="241" t="s">
        <v>2323</v>
      </c>
      <c r="I667" s="435" t="s">
        <v>2254</v>
      </c>
      <c r="J667" s="438">
        <f>VLOOKUP(H667,'Full Trial Balance'!$A$4:$G$2306,3,FALSE)</f>
        <v>0</v>
      </c>
      <c r="K667" s="438">
        <f>VLOOKUP(H667,'Full Trial Balance'!$A$4:$G$2306,4,FALSE)</f>
        <v>0</v>
      </c>
      <c r="L667" s="438">
        <f>VLOOKUP(H667,'Full Trial Balance'!$A$4:$G$2306,5,FALSE)</f>
        <v>344.08</v>
      </c>
      <c r="M667" s="438">
        <f>VLOOKUP(H667,'Full Trial Balance'!$A$4:$G$2306,6,FALSE)</f>
        <v>0</v>
      </c>
      <c r="N667" s="438">
        <f>VLOOKUP(H667,'Full Trial Balance'!$A$4:$G$2306,7,FALSE)</f>
        <v>344.08</v>
      </c>
      <c r="O667" s="485">
        <f t="shared" si="82"/>
        <v>0</v>
      </c>
    </row>
    <row r="668" spans="1:15" x14ac:dyDescent="0.25">
      <c r="A668" s="241" t="str">
        <f t="shared" si="77"/>
        <v>01-05</v>
      </c>
      <c r="B668" s="241" t="str">
        <f t="shared" si="78"/>
        <v>01</v>
      </c>
      <c r="C668" s="241" t="str">
        <f t="shared" si="79"/>
        <v>05</v>
      </c>
      <c r="D668" s="235" t="str">
        <f t="shared" si="80"/>
        <v>01-</v>
      </c>
      <c r="E668" s="241" t="s">
        <v>1250</v>
      </c>
      <c r="F668" s="241" t="str">
        <f t="shared" si="81"/>
        <v>-020-223</v>
      </c>
      <c r="G668" s="489" t="s">
        <v>3434</v>
      </c>
      <c r="H668" s="241" t="s">
        <v>2324</v>
      </c>
      <c r="I668" s="435" t="s">
        <v>2256</v>
      </c>
      <c r="J668" s="438">
        <f>VLOOKUP(H668,'Full Trial Balance'!$A$4:$G$2306,3,FALSE)</f>
        <v>0</v>
      </c>
      <c r="K668" s="438">
        <f>VLOOKUP(H668,'Full Trial Balance'!$A$4:$G$2306,4,FALSE)</f>
        <v>0</v>
      </c>
      <c r="L668" s="438">
        <f>VLOOKUP(H668,'Full Trial Balance'!$A$4:$G$2306,5,FALSE)</f>
        <v>438.08</v>
      </c>
      <c r="M668" s="438">
        <f>VLOOKUP(H668,'Full Trial Balance'!$A$4:$G$2306,6,FALSE)</f>
        <v>0</v>
      </c>
      <c r="N668" s="438">
        <f>VLOOKUP(H668,'Full Trial Balance'!$A$4:$G$2306,7,FALSE)</f>
        <v>438.08</v>
      </c>
      <c r="O668" s="485">
        <f t="shared" si="82"/>
        <v>0</v>
      </c>
    </row>
    <row r="669" spans="1:15" x14ac:dyDescent="0.25">
      <c r="A669" s="241" t="str">
        <f t="shared" si="77"/>
        <v>01-05</v>
      </c>
      <c r="B669" s="241" t="str">
        <f t="shared" si="78"/>
        <v>01</v>
      </c>
      <c r="C669" s="241" t="str">
        <f t="shared" si="79"/>
        <v>05</v>
      </c>
      <c r="D669" s="235" t="str">
        <f t="shared" si="80"/>
        <v>01-</v>
      </c>
      <c r="E669" s="241" t="s">
        <v>1250</v>
      </c>
      <c r="F669" s="241" t="str">
        <f t="shared" si="81"/>
        <v>-033-106</v>
      </c>
      <c r="G669" s="235" t="str">
        <f>CONCATENATE(D669,E669,F669)</f>
        <v>01-0x-033-106</v>
      </c>
      <c r="H669" s="241" t="s">
        <v>2325</v>
      </c>
      <c r="I669" s="435" t="s">
        <v>1161</v>
      </c>
      <c r="J669" s="438">
        <f>VLOOKUP(H669,'Full Trial Balance'!$A$4:$G$2306,3,FALSE)</f>
        <v>124</v>
      </c>
      <c r="K669" s="438">
        <f>VLOOKUP(H669,'Full Trial Balance'!$A$4:$G$2306,4,FALSE)</f>
        <v>0</v>
      </c>
      <c r="L669" s="438">
        <f>VLOOKUP(H669,'Full Trial Balance'!$A$4:$G$2306,5,FALSE)</f>
        <v>0</v>
      </c>
      <c r="M669" s="438">
        <f>VLOOKUP(H669,'Full Trial Balance'!$A$4:$G$2306,6,FALSE)</f>
        <v>0</v>
      </c>
      <c r="N669" s="438">
        <f>VLOOKUP(H669,'Full Trial Balance'!$A$4:$G$2306,7,FALSE)</f>
        <v>0</v>
      </c>
      <c r="O669" s="485">
        <f t="shared" si="82"/>
        <v>0</v>
      </c>
    </row>
    <row r="670" spans="1:15" x14ac:dyDescent="0.25">
      <c r="A670" s="241" t="str">
        <f t="shared" si="77"/>
        <v>01-05</v>
      </c>
      <c r="B670" s="241" t="str">
        <f t="shared" si="78"/>
        <v>01</v>
      </c>
      <c r="C670" s="241" t="str">
        <f t="shared" si="79"/>
        <v>05</v>
      </c>
      <c r="D670" s="235" t="str">
        <f t="shared" si="80"/>
        <v>01-</v>
      </c>
      <c r="E670" s="241" t="s">
        <v>1250</v>
      </c>
      <c r="F670" s="241" t="str">
        <f t="shared" si="81"/>
        <v>-035-001</v>
      </c>
      <c r="G670" s="235" t="str">
        <f>CONCATENATE(D670,E670,F670)</f>
        <v>01-0x-035-001</v>
      </c>
      <c r="H670" s="241" t="s">
        <v>535</v>
      </c>
      <c r="I670" s="435" t="s">
        <v>70</v>
      </c>
      <c r="J670" s="438">
        <f>VLOOKUP(H670,'Full Trial Balance'!$A$4:$G$2306,3,FALSE)</f>
        <v>0</v>
      </c>
      <c r="K670" s="438">
        <f>VLOOKUP(H670,'Full Trial Balance'!$A$4:$G$2306,4,FALSE)</f>
        <v>0</v>
      </c>
      <c r="L670" s="438">
        <f>VLOOKUP(H670,'Full Trial Balance'!$A$4:$G$2306,5,FALSE)</f>
        <v>0</v>
      </c>
      <c r="M670" s="438">
        <f>VLOOKUP(H670,'Full Trial Balance'!$A$4:$G$2306,6,FALSE)</f>
        <v>0</v>
      </c>
      <c r="N670" s="438">
        <f>VLOOKUP(H670,'Full Trial Balance'!$A$4:$G$2306,7,FALSE)</f>
        <v>0</v>
      </c>
      <c r="O670" s="485">
        <f t="shared" si="82"/>
        <v>0</v>
      </c>
    </row>
    <row r="671" spans="1:15" x14ac:dyDescent="0.25">
      <c r="A671" s="241" t="str">
        <f t="shared" si="77"/>
        <v>01-05</v>
      </c>
      <c r="B671" s="241" t="str">
        <f t="shared" si="78"/>
        <v>01</v>
      </c>
      <c r="C671" s="241" t="str">
        <f t="shared" si="79"/>
        <v>05</v>
      </c>
      <c r="D671" s="235" t="str">
        <f t="shared" si="80"/>
        <v>01-</v>
      </c>
      <c r="E671" s="241" t="s">
        <v>1250</v>
      </c>
      <c r="F671" s="241" t="str">
        <f t="shared" si="81"/>
        <v>-035-003</v>
      </c>
      <c r="G671" s="235" t="s">
        <v>1453</v>
      </c>
      <c r="H671" s="241" t="s">
        <v>532</v>
      </c>
      <c r="I671" s="435" t="s">
        <v>48</v>
      </c>
      <c r="J671" s="438">
        <f>VLOOKUP(H671,'Full Trial Balance'!$A$4:$G$2306,3,FALSE)</f>
        <v>0</v>
      </c>
      <c r="K671" s="438">
        <f>VLOOKUP(H671,'Full Trial Balance'!$A$4:$G$2306,4,FALSE)</f>
        <v>0</v>
      </c>
      <c r="L671" s="438">
        <f>VLOOKUP(H671,'Full Trial Balance'!$A$4:$G$2306,5,FALSE)</f>
        <v>0</v>
      </c>
      <c r="M671" s="438">
        <f>VLOOKUP(H671,'Full Trial Balance'!$A$4:$G$2306,6,FALSE)</f>
        <v>0</v>
      </c>
      <c r="N671" s="438">
        <f>VLOOKUP(H671,'Full Trial Balance'!$A$4:$G$2306,7,FALSE)</f>
        <v>0</v>
      </c>
      <c r="O671" s="485">
        <f t="shared" si="82"/>
        <v>0</v>
      </c>
    </row>
    <row r="672" spans="1:15" x14ac:dyDescent="0.25">
      <c r="A672" s="241" t="str">
        <f t="shared" si="77"/>
        <v>01-05</v>
      </c>
      <c r="B672" s="241" t="str">
        <f t="shared" si="78"/>
        <v>01</v>
      </c>
      <c r="C672" s="241" t="str">
        <f t="shared" si="79"/>
        <v>05</v>
      </c>
      <c r="D672" s="235" t="str">
        <f t="shared" si="80"/>
        <v>01-</v>
      </c>
      <c r="E672" s="241" t="s">
        <v>1250</v>
      </c>
      <c r="F672" s="241" t="str">
        <f t="shared" si="81"/>
        <v>-040-025</v>
      </c>
      <c r="G672" s="235" t="str">
        <f>CONCATENATE(D672,E672,F672)</f>
        <v>01-0x-040-025</v>
      </c>
      <c r="H672" s="241" t="s">
        <v>531</v>
      </c>
      <c r="I672" s="435" t="s">
        <v>54</v>
      </c>
      <c r="J672" s="438">
        <f>VLOOKUP(H672,'Full Trial Balance'!$A$4:$G$2306,3,FALSE)</f>
        <v>232.5</v>
      </c>
      <c r="K672" s="438">
        <f>VLOOKUP(H672,'Full Trial Balance'!$A$4:$G$2306,4,FALSE)</f>
        <v>0</v>
      </c>
      <c r="L672" s="438">
        <f>VLOOKUP(H672,'Full Trial Balance'!$A$4:$G$2306,5,FALSE)</f>
        <v>0</v>
      </c>
      <c r="M672" s="438">
        <f>VLOOKUP(H672,'Full Trial Balance'!$A$4:$G$2306,6,FALSE)</f>
        <v>0</v>
      </c>
      <c r="N672" s="438">
        <f>VLOOKUP(H672,'Full Trial Balance'!$A$4:$G$2306,7,FALSE)</f>
        <v>0</v>
      </c>
      <c r="O672" s="485">
        <f t="shared" si="82"/>
        <v>0</v>
      </c>
    </row>
    <row r="673" spans="1:15" x14ac:dyDescent="0.25">
      <c r="A673" s="241" t="str">
        <f t="shared" si="77"/>
        <v>01-05</v>
      </c>
      <c r="B673" s="241" t="str">
        <f t="shared" si="78"/>
        <v>01</v>
      </c>
      <c r="C673" s="241" t="str">
        <f t="shared" si="79"/>
        <v>05</v>
      </c>
      <c r="D673" s="235" t="str">
        <f t="shared" si="80"/>
        <v>01-</v>
      </c>
      <c r="E673" s="241" t="s">
        <v>1250</v>
      </c>
      <c r="F673" s="241" t="str">
        <f t="shared" si="81"/>
        <v>-040-026</v>
      </c>
      <c r="G673" s="235" t="str">
        <f>CONCATENATE(D673,E673,F673)</f>
        <v>01-0x-040-026</v>
      </c>
      <c r="H673" s="241" t="s">
        <v>1175</v>
      </c>
      <c r="I673" s="435" t="s">
        <v>1176</v>
      </c>
      <c r="J673" s="438">
        <f>VLOOKUP(H673,'Full Trial Balance'!$A$4:$G$2306,3,FALSE)</f>
        <v>0</v>
      </c>
      <c r="K673" s="438">
        <f>VLOOKUP(H673,'Full Trial Balance'!$A$4:$G$2306,4,FALSE)</f>
        <v>0</v>
      </c>
      <c r="L673" s="438">
        <f>VLOOKUP(H673,'Full Trial Balance'!$A$4:$G$2306,5,FALSE)</f>
        <v>0</v>
      </c>
      <c r="M673" s="438">
        <f>VLOOKUP(H673,'Full Trial Balance'!$A$4:$G$2306,6,FALSE)</f>
        <v>0</v>
      </c>
      <c r="N673" s="438">
        <f>VLOOKUP(H673,'Full Trial Balance'!$A$4:$G$2306,7,FALSE)</f>
        <v>0</v>
      </c>
      <c r="O673" s="485">
        <f t="shared" si="82"/>
        <v>0</v>
      </c>
    </row>
    <row r="674" spans="1:15" x14ac:dyDescent="0.25">
      <c r="A674" s="241" t="str">
        <f t="shared" si="77"/>
        <v>01-05</v>
      </c>
      <c r="B674" s="241" t="str">
        <f t="shared" si="78"/>
        <v>01</v>
      </c>
      <c r="C674" s="241" t="str">
        <f t="shared" si="79"/>
        <v>05</v>
      </c>
      <c r="D674" s="235" t="str">
        <f t="shared" si="80"/>
        <v>01-</v>
      </c>
      <c r="E674" s="241" t="s">
        <v>1250</v>
      </c>
      <c r="F674" s="241" t="str">
        <f t="shared" si="81"/>
        <v>-040-027</v>
      </c>
      <c r="G674" s="226" t="s">
        <v>1375</v>
      </c>
      <c r="H674" s="241" t="s">
        <v>524</v>
      </c>
      <c r="I674" s="435" t="s">
        <v>152</v>
      </c>
      <c r="J674" s="438">
        <f>VLOOKUP(H674,'Full Trial Balance'!$A$4:$G$2306,3,FALSE)</f>
        <v>62000</v>
      </c>
      <c r="K674" s="438">
        <f>VLOOKUP(H674,'Full Trial Balance'!$A$4:$G$2306,4,FALSE)</f>
        <v>0</v>
      </c>
      <c r="L674" s="438">
        <f>VLOOKUP(H674,'Full Trial Balance'!$A$4:$G$2306,5,FALSE)</f>
        <v>6357.22</v>
      </c>
      <c r="M674" s="438">
        <f>VLOOKUP(H674,'Full Trial Balance'!$A$4:$G$2306,6,FALSE)</f>
        <v>0</v>
      </c>
      <c r="N674" s="438">
        <f>VLOOKUP(H674,'Full Trial Balance'!$A$4:$G$2306,7,FALSE)</f>
        <v>6357.22</v>
      </c>
      <c r="O674" s="485">
        <f t="shared" si="82"/>
        <v>0</v>
      </c>
    </row>
    <row r="675" spans="1:15" x14ac:dyDescent="0.25">
      <c r="A675" s="241" t="str">
        <f t="shared" si="77"/>
        <v>01-05</v>
      </c>
      <c r="B675" s="241" t="str">
        <f t="shared" si="78"/>
        <v>01</v>
      </c>
      <c r="C675" s="241" t="str">
        <f t="shared" si="79"/>
        <v>05</v>
      </c>
      <c r="D675" s="235" t="str">
        <f t="shared" si="80"/>
        <v>01-</v>
      </c>
      <c r="E675" s="241" t="s">
        <v>1250</v>
      </c>
      <c r="F675" s="241" t="str">
        <f t="shared" si="81"/>
        <v>-040-030</v>
      </c>
      <c r="G675" s="235" t="str">
        <f>H675</f>
        <v>01-05-040-030</v>
      </c>
      <c r="H675" s="241" t="s">
        <v>525</v>
      </c>
      <c r="I675" s="435" t="s">
        <v>1177</v>
      </c>
      <c r="J675" s="438">
        <f>VLOOKUP(H675,'Full Trial Balance'!$A$4:$G$2306,3,FALSE)</f>
        <v>31000</v>
      </c>
      <c r="K675" s="438">
        <f>VLOOKUP(H675,'Full Trial Balance'!$A$4:$G$2306,4,FALSE)</f>
        <v>0</v>
      </c>
      <c r="L675" s="438">
        <f>VLOOKUP(H675,'Full Trial Balance'!$A$4:$G$2306,5,FALSE)</f>
        <v>0</v>
      </c>
      <c r="M675" s="438">
        <f>VLOOKUP(H675,'Full Trial Balance'!$A$4:$G$2306,6,FALSE)</f>
        <v>0</v>
      </c>
      <c r="N675" s="438">
        <f>VLOOKUP(H675,'Full Trial Balance'!$A$4:$G$2306,7,FALSE)</f>
        <v>0</v>
      </c>
      <c r="O675" s="485">
        <f t="shared" si="82"/>
        <v>0</v>
      </c>
    </row>
    <row r="676" spans="1:15" x14ac:dyDescent="0.25">
      <c r="A676" s="241" t="str">
        <f t="shared" si="77"/>
        <v>02-05</v>
      </c>
      <c r="B676" s="241" t="str">
        <f t="shared" si="78"/>
        <v>02</v>
      </c>
      <c r="C676" s="241" t="str">
        <f t="shared" si="79"/>
        <v>05</v>
      </c>
      <c r="D676" s="235" t="str">
        <f t="shared" si="80"/>
        <v>02-</v>
      </c>
      <c r="E676" s="241" t="s">
        <v>1250</v>
      </c>
      <c r="F676" s="241" t="str">
        <f t="shared" si="81"/>
        <v>-010-000</v>
      </c>
      <c r="G676" s="235" t="str">
        <f t="shared" ref="G676:G690" si="84">CONCATENATE(D676,E676,F676)</f>
        <v>02-0x-010-000</v>
      </c>
      <c r="H676" s="241" t="s">
        <v>562</v>
      </c>
      <c r="I676" s="435" t="s">
        <v>150</v>
      </c>
      <c r="J676" s="438">
        <f>VLOOKUP(H676,'Full Trial Balance'!$A$4:$G$2306,3,FALSE)</f>
        <v>49660</v>
      </c>
      <c r="K676" s="438">
        <f>VLOOKUP(H676,'Full Trial Balance'!$A$4:$G$2306,4,FALSE)</f>
        <v>0</v>
      </c>
      <c r="L676" s="438">
        <f>VLOOKUP(H676,'Full Trial Balance'!$A$4:$G$2306,5,FALSE)</f>
        <v>20056.53</v>
      </c>
      <c r="M676" s="438">
        <f>VLOOKUP(H676,'Full Trial Balance'!$A$4:$G$2306,6,FALSE)</f>
        <v>1645.6</v>
      </c>
      <c r="N676" s="438">
        <f>VLOOKUP(H676,'Full Trial Balance'!$A$4:$G$2306,7,FALSE)</f>
        <v>18410.93</v>
      </c>
      <c r="O676" s="485">
        <f t="shared" si="82"/>
        <v>0</v>
      </c>
    </row>
    <row r="677" spans="1:15" x14ac:dyDescent="0.25">
      <c r="A677" s="241" t="str">
        <f t="shared" si="77"/>
        <v>02-05</v>
      </c>
      <c r="B677" s="241" t="str">
        <f t="shared" si="78"/>
        <v>02</v>
      </c>
      <c r="C677" s="241" t="str">
        <f t="shared" si="79"/>
        <v>05</v>
      </c>
      <c r="D677" s="235" t="str">
        <f t="shared" si="80"/>
        <v>02-</v>
      </c>
      <c r="E677" s="241" t="s">
        <v>1250</v>
      </c>
      <c r="F677" s="241" t="str">
        <f t="shared" si="81"/>
        <v>-010-005</v>
      </c>
      <c r="G677" s="235" t="str">
        <f t="shared" si="84"/>
        <v>02-0x-010-005</v>
      </c>
      <c r="H677" s="241" t="s">
        <v>563</v>
      </c>
      <c r="I677" s="435" t="s">
        <v>667</v>
      </c>
      <c r="J677" s="438">
        <f>VLOOKUP(H677,'Full Trial Balance'!$A$4:$G$2306,3,FALSE)</f>
        <v>-25433.8</v>
      </c>
      <c r="K677" s="438">
        <f>VLOOKUP(H677,'Full Trial Balance'!$A$4:$G$2306,4,FALSE)</f>
        <v>0</v>
      </c>
      <c r="L677" s="438">
        <f>VLOOKUP(H677,'Full Trial Balance'!$A$4:$G$2306,5,FALSE)</f>
        <v>0</v>
      </c>
      <c r="M677" s="438">
        <f>VLOOKUP(H677,'Full Trial Balance'!$A$4:$G$2306,6,FALSE)</f>
        <v>3686.59</v>
      </c>
      <c r="N677" s="438">
        <f>VLOOKUP(H677,'Full Trial Balance'!$A$4:$G$2306,7,FALSE)</f>
        <v>-3686.59</v>
      </c>
      <c r="O677" s="485">
        <f t="shared" si="82"/>
        <v>0</v>
      </c>
    </row>
    <row r="678" spans="1:15" x14ac:dyDescent="0.25">
      <c r="A678" s="241" t="str">
        <f t="shared" si="77"/>
        <v>02-05</v>
      </c>
      <c r="B678" s="241" t="str">
        <f t="shared" si="78"/>
        <v>02</v>
      </c>
      <c r="C678" s="241" t="str">
        <f t="shared" si="79"/>
        <v>05</v>
      </c>
      <c r="D678" s="235" t="str">
        <f t="shared" si="80"/>
        <v>02-</v>
      </c>
      <c r="E678" s="241" t="s">
        <v>1250</v>
      </c>
      <c r="F678" s="241" t="str">
        <f t="shared" si="81"/>
        <v>-015-000</v>
      </c>
      <c r="G678" s="235" t="str">
        <f t="shared" si="84"/>
        <v>02-0x-015-000</v>
      </c>
      <c r="H678" s="241" t="s">
        <v>557</v>
      </c>
      <c r="I678" s="435" t="s">
        <v>37</v>
      </c>
      <c r="J678" s="438">
        <f>VLOOKUP(H678,'Full Trial Balance'!$A$4:$G$2306,3,FALSE)</f>
        <v>254</v>
      </c>
      <c r="K678" s="438">
        <f>VLOOKUP(H678,'Full Trial Balance'!$A$4:$G$2306,4,FALSE)</f>
        <v>0</v>
      </c>
      <c r="L678" s="438">
        <f>VLOOKUP(H678,'Full Trial Balance'!$A$4:$G$2306,5,FALSE)</f>
        <v>0</v>
      </c>
      <c r="M678" s="438">
        <f>VLOOKUP(H678,'Full Trial Balance'!$A$4:$G$2306,6,FALSE)</f>
        <v>0</v>
      </c>
      <c r="N678" s="438">
        <f>VLOOKUP(H678,'Full Trial Balance'!$A$4:$G$2306,7,FALSE)</f>
        <v>0</v>
      </c>
      <c r="O678" s="485">
        <f t="shared" si="82"/>
        <v>0</v>
      </c>
    </row>
    <row r="679" spans="1:15" x14ac:dyDescent="0.25">
      <c r="A679" s="241" t="str">
        <f t="shared" si="77"/>
        <v>02-05</v>
      </c>
      <c r="B679" s="241" t="str">
        <f t="shared" si="78"/>
        <v>02</v>
      </c>
      <c r="C679" s="241" t="str">
        <f t="shared" si="79"/>
        <v>05</v>
      </c>
      <c r="D679" s="235" t="str">
        <f t="shared" si="80"/>
        <v>02-</v>
      </c>
      <c r="E679" s="241" t="s">
        <v>1250</v>
      </c>
      <c r="F679" s="241" t="str">
        <f t="shared" si="81"/>
        <v>-020-202</v>
      </c>
      <c r="G679" s="235" t="str">
        <f t="shared" si="84"/>
        <v>02-0x-020-202</v>
      </c>
      <c r="H679" s="241" t="s">
        <v>551</v>
      </c>
      <c r="I679" s="435" t="s">
        <v>153</v>
      </c>
      <c r="J679" s="438">
        <f>VLOOKUP(H679,'Full Trial Balance'!$A$4:$G$2306,3,FALSE)</f>
        <v>2823</v>
      </c>
      <c r="K679" s="438">
        <f>VLOOKUP(H679,'Full Trial Balance'!$A$4:$G$2306,4,FALSE)</f>
        <v>0</v>
      </c>
      <c r="L679" s="438">
        <f>VLOOKUP(H679,'Full Trial Balance'!$A$4:$G$2306,5,FALSE)</f>
        <v>1049.51</v>
      </c>
      <c r="M679" s="438">
        <f>VLOOKUP(H679,'Full Trial Balance'!$A$4:$G$2306,6,FALSE)</f>
        <v>95.87</v>
      </c>
      <c r="N679" s="438">
        <f>VLOOKUP(H679,'Full Trial Balance'!$A$4:$G$2306,7,FALSE)</f>
        <v>953.64</v>
      </c>
      <c r="O679" s="485">
        <f t="shared" si="82"/>
        <v>0</v>
      </c>
    </row>
    <row r="680" spans="1:15" x14ac:dyDescent="0.25">
      <c r="A680" s="241" t="str">
        <f t="shared" si="77"/>
        <v>02-05</v>
      </c>
      <c r="B680" s="241" t="str">
        <f t="shared" si="78"/>
        <v>02</v>
      </c>
      <c r="C680" s="241" t="str">
        <f t="shared" si="79"/>
        <v>05</v>
      </c>
      <c r="D680" s="235" t="str">
        <f t="shared" si="80"/>
        <v>02-</v>
      </c>
      <c r="E680" s="241" t="s">
        <v>1250</v>
      </c>
      <c r="F680" s="241" t="str">
        <f t="shared" si="81"/>
        <v>-020-203</v>
      </c>
      <c r="G680" s="235" t="str">
        <f t="shared" si="84"/>
        <v>02-0x-020-203</v>
      </c>
      <c r="H680" s="241" t="s">
        <v>550</v>
      </c>
      <c r="I680" s="435" t="s">
        <v>154</v>
      </c>
      <c r="J680" s="438">
        <f>VLOOKUP(H680,'Full Trial Balance'!$A$4:$G$2306,3,FALSE)</f>
        <v>724</v>
      </c>
      <c r="K680" s="438">
        <f>VLOOKUP(H680,'Full Trial Balance'!$A$4:$G$2306,4,FALSE)</f>
        <v>0</v>
      </c>
      <c r="L680" s="438">
        <f>VLOOKUP(H680,'Full Trial Balance'!$A$4:$G$2306,5,FALSE)</f>
        <v>285.19</v>
      </c>
      <c r="M680" s="438">
        <f>VLOOKUP(H680,'Full Trial Balance'!$A$4:$G$2306,6,FALSE)</f>
        <v>22.34</v>
      </c>
      <c r="N680" s="438">
        <f>VLOOKUP(H680,'Full Trial Balance'!$A$4:$G$2306,7,FALSE)</f>
        <v>262.85000000000002</v>
      </c>
      <c r="O680" s="485">
        <f t="shared" si="82"/>
        <v>0</v>
      </c>
    </row>
    <row r="681" spans="1:15" x14ac:dyDescent="0.25">
      <c r="A681" s="241" t="str">
        <f t="shared" si="77"/>
        <v>02-05</v>
      </c>
      <c r="B681" s="241" t="str">
        <f t="shared" si="78"/>
        <v>02</v>
      </c>
      <c r="C681" s="241" t="str">
        <f t="shared" si="79"/>
        <v>05</v>
      </c>
      <c r="D681" s="235" t="str">
        <f t="shared" si="80"/>
        <v>02-</v>
      </c>
      <c r="E681" s="241" t="s">
        <v>1250</v>
      </c>
      <c r="F681" s="241" t="str">
        <f t="shared" si="81"/>
        <v>-020-204</v>
      </c>
      <c r="G681" s="235" t="str">
        <f t="shared" si="84"/>
        <v>02-0x-020-204</v>
      </c>
      <c r="H681" s="241" t="s">
        <v>553</v>
      </c>
      <c r="I681" s="435" t="s">
        <v>38</v>
      </c>
      <c r="J681" s="438">
        <f>VLOOKUP(H681,'Full Trial Balance'!$A$4:$G$2306,3,FALSE)</f>
        <v>9632</v>
      </c>
      <c r="K681" s="438">
        <f>VLOOKUP(H681,'Full Trial Balance'!$A$4:$G$2306,4,FALSE)</f>
        <v>0</v>
      </c>
      <c r="L681" s="438">
        <f>VLOOKUP(H681,'Full Trial Balance'!$A$4:$G$2306,5,FALSE)</f>
        <v>3917.9</v>
      </c>
      <c r="M681" s="438">
        <f>VLOOKUP(H681,'Full Trial Balance'!$A$4:$G$2306,6,FALSE)</f>
        <v>0</v>
      </c>
      <c r="N681" s="438">
        <f>VLOOKUP(H681,'Full Trial Balance'!$A$4:$G$2306,7,FALSE)</f>
        <v>3917.9</v>
      </c>
      <c r="O681" s="485">
        <f t="shared" si="82"/>
        <v>0</v>
      </c>
    </row>
    <row r="682" spans="1:15" x14ac:dyDescent="0.25">
      <c r="A682" s="241" t="str">
        <f t="shared" si="77"/>
        <v>02-05</v>
      </c>
      <c r="B682" s="241" t="str">
        <f t="shared" si="78"/>
        <v>02</v>
      </c>
      <c r="C682" s="241" t="str">
        <f t="shared" si="79"/>
        <v>05</v>
      </c>
      <c r="D682" s="235" t="str">
        <f t="shared" si="80"/>
        <v>02-</v>
      </c>
      <c r="E682" s="241" t="s">
        <v>1250</v>
      </c>
      <c r="F682" s="241" t="str">
        <f t="shared" si="81"/>
        <v>-020-205</v>
      </c>
      <c r="G682" s="235" t="str">
        <f t="shared" si="84"/>
        <v>02-0x-020-205</v>
      </c>
      <c r="H682" s="241" t="s">
        <v>545</v>
      </c>
      <c r="I682" s="435" t="s">
        <v>77</v>
      </c>
      <c r="J682" s="438">
        <f>VLOOKUP(H682,'Full Trial Balance'!$A$4:$G$2306,3,FALSE)</f>
        <v>582</v>
      </c>
      <c r="K682" s="438">
        <f>VLOOKUP(H682,'Full Trial Balance'!$A$4:$G$2306,4,FALSE)</f>
        <v>0</v>
      </c>
      <c r="L682" s="438">
        <f>VLOOKUP(H682,'Full Trial Balance'!$A$4:$G$2306,5,FALSE)</f>
        <v>230.07</v>
      </c>
      <c r="M682" s="438">
        <f>VLOOKUP(H682,'Full Trial Balance'!$A$4:$G$2306,6,FALSE)</f>
        <v>0</v>
      </c>
      <c r="N682" s="438">
        <f>VLOOKUP(H682,'Full Trial Balance'!$A$4:$G$2306,7,FALSE)</f>
        <v>230.07</v>
      </c>
      <c r="O682" s="485">
        <f t="shared" si="82"/>
        <v>0</v>
      </c>
    </row>
    <row r="683" spans="1:15" x14ac:dyDescent="0.25">
      <c r="A683" s="241" t="str">
        <f t="shared" si="77"/>
        <v>02-05</v>
      </c>
      <c r="B683" s="241" t="str">
        <f t="shared" si="78"/>
        <v>02</v>
      </c>
      <c r="C683" s="241" t="str">
        <f t="shared" si="79"/>
        <v>05</v>
      </c>
      <c r="D683" s="235" t="str">
        <f t="shared" si="80"/>
        <v>02-</v>
      </c>
      <c r="E683" s="241" t="s">
        <v>1250</v>
      </c>
      <c r="F683" s="241" t="str">
        <f t="shared" si="81"/>
        <v>-020-206</v>
      </c>
      <c r="G683" s="235" t="str">
        <f t="shared" si="84"/>
        <v>02-0x-020-206</v>
      </c>
      <c r="H683" s="241" t="s">
        <v>561</v>
      </c>
      <c r="I683" s="435" t="s">
        <v>78</v>
      </c>
      <c r="J683" s="438">
        <f>VLOOKUP(H683,'Full Trial Balance'!$A$4:$G$2306,3,FALSE)</f>
        <v>95</v>
      </c>
      <c r="K683" s="438">
        <f>VLOOKUP(H683,'Full Trial Balance'!$A$4:$G$2306,4,FALSE)</f>
        <v>0</v>
      </c>
      <c r="L683" s="438">
        <f>VLOOKUP(H683,'Full Trial Balance'!$A$4:$G$2306,5,FALSE)</f>
        <v>43.84</v>
      </c>
      <c r="M683" s="438">
        <f>VLOOKUP(H683,'Full Trial Balance'!$A$4:$G$2306,6,FALSE)</f>
        <v>0</v>
      </c>
      <c r="N683" s="438">
        <f>VLOOKUP(H683,'Full Trial Balance'!$A$4:$G$2306,7,FALSE)</f>
        <v>43.84</v>
      </c>
      <c r="O683" s="485">
        <f t="shared" si="82"/>
        <v>0</v>
      </c>
    </row>
    <row r="684" spans="1:15" x14ac:dyDescent="0.25">
      <c r="A684" s="241" t="str">
        <f t="shared" si="77"/>
        <v>02-05</v>
      </c>
      <c r="B684" s="241" t="str">
        <f t="shared" si="78"/>
        <v>02</v>
      </c>
      <c r="C684" s="241" t="str">
        <f t="shared" si="79"/>
        <v>05</v>
      </c>
      <c r="D684" s="235" t="str">
        <f t="shared" si="80"/>
        <v>02-</v>
      </c>
      <c r="E684" s="241" t="s">
        <v>1250</v>
      </c>
      <c r="F684" s="241" t="str">
        <f t="shared" si="81"/>
        <v>-020-208</v>
      </c>
      <c r="G684" s="235" t="str">
        <f t="shared" si="84"/>
        <v>02-0x-020-208</v>
      </c>
      <c r="H684" s="241" t="s">
        <v>564</v>
      </c>
      <c r="I684" s="435" t="s">
        <v>893</v>
      </c>
      <c r="J684" s="438">
        <f>VLOOKUP(H684,'Full Trial Balance'!$A$4:$G$2306,3,FALSE)</f>
        <v>497</v>
      </c>
      <c r="K684" s="438">
        <f>VLOOKUP(H684,'Full Trial Balance'!$A$4:$G$2306,4,FALSE)</f>
        <v>0</v>
      </c>
      <c r="L684" s="438">
        <f>VLOOKUP(H684,'Full Trial Balance'!$A$4:$G$2306,5,FALSE)</f>
        <v>196.25</v>
      </c>
      <c r="M684" s="438">
        <f>VLOOKUP(H684,'Full Trial Balance'!$A$4:$G$2306,6,FALSE)</f>
        <v>11.28</v>
      </c>
      <c r="N684" s="438">
        <f>VLOOKUP(H684,'Full Trial Balance'!$A$4:$G$2306,7,FALSE)</f>
        <v>184.97</v>
      </c>
      <c r="O684" s="485">
        <f t="shared" si="82"/>
        <v>0</v>
      </c>
    </row>
    <row r="685" spans="1:15" x14ac:dyDescent="0.25">
      <c r="A685" s="241" t="str">
        <f t="shared" si="77"/>
        <v>02-05</v>
      </c>
      <c r="B685" s="241" t="str">
        <f t="shared" si="78"/>
        <v>02</v>
      </c>
      <c r="C685" s="241" t="str">
        <f t="shared" si="79"/>
        <v>05</v>
      </c>
      <c r="D685" s="235" t="str">
        <f t="shared" si="80"/>
        <v>02-</v>
      </c>
      <c r="E685" s="241" t="s">
        <v>1250</v>
      </c>
      <c r="F685" s="241" t="str">
        <f t="shared" si="81"/>
        <v>-020-209</v>
      </c>
      <c r="G685" s="235" t="str">
        <f t="shared" si="84"/>
        <v>02-0x-020-209</v>
      </c>
      <c r="H685" s="241" t="s">
        <v>552</v>
      </c>
      <c r="I685" s="435" t="s">
        <v>39</v>
      </c>
      <c r="J685" s="438">
        <f>VLOOKUP(H685,'Full Trial Balance'!$A$4:$G$2306,3,FALSE)</f>
        <v>186</v>
      </c>
      <c r="K685" s="438">
        <f>VLOOKUP(H685,'Full Trial Balance'!$A$4:$G$2306,4,FALSE)</f>
        <v>0</v>
      </c>
      <c r="L685" s="438">
        <f>VLOOKUP(H685,'Full Trial Balance'!$A$4:$G$2306,5,FALSE)</f>
        <v>135.66</v>
      </c>
      <c r="M685" s="438">
        <f>VLOOKUP(H685,'Full Trial Balance'!$A$4:$G$2306,6,FALSE)</f>
        <v>41.45</v>
      </c>
      <c r="N685" s="438">
        <f>VLOOKUP(H685,'Full Trial Balance'!$A$4:$G$2306,7,FALSE)</f>
        <v>94.21</v>
      </c>
      <c r="O685" s="485">
        <f t="shared" si="82"/>
        <v>0</v>
      </c>
    </row>
    <row r="686" spans="1:15" x14ac:dyDescent="0.25">
      <c r="A686" s="241" t="str">
        <f t="shared" si="77"/>
        <v>02-05</v>
      </c>
      <c r="B686" s="241" t="str">
        <f t="shared" si="78"/>
        <v>02</v>
      </c>
      <c r="C686" s="241" t="str">
        <f t="shared" si="79"/>
        <v>05</v>
      </c>
      <c r="D686" s="235" t="str">
        <f t="shared" si="80"/>
        <v>02-</v>
      </c>
      <c r="E686" s="241" t="s">
        <v>1250</v>
      </c>
      <c r="F686" s="241" t="str">
        <f t="shared" si="81"/>
        <v>-020-210</v>
      </c>
      <c r="G686" s="235" t="str">
        <f t="shared" si="84"/>
        <v>02-0x-020-210</v>
      </c>
      <c r="H686" s="241" t="s">
        <v>560</v>
      </c>
      <c r="I686" s="435" t="s">
        <v>64</v>
      </c>
      <c r="J686" s="438">
        <f>VLOOKUP(H686,'Full Trial Balance'!$A$4:$G$2306,3,FALSE)</f>
        <v>0</v>
      </c>
      <c r="K686" s="438">
        <f>VLOOKUP(H686,'Full Trial Balance'!$A$4:$G$2306,4,FALSE)</f>
        <v>0</v>
      </c>
      <c r="L686" s="438">
        <f>VLOOKUP(H686,'Full Trial Balance'!$A$4:$G$2306,5,FALSE)</f>
        <v>0</v>
      </c>
      <c r="M686" s="438">
        <f>VLOOKUP(H686,'Full Trial Balance'!$A$4:$G$2306,6,FALSE)</f>
        <v>0</v>
      </c>
      <c r="N686" s="438">
        <f>VLOOKUP(H686,'Full Trial Balance'!$A$4:$G$2306,7,FALSE)</f>
        <v>0</v>
      </c>
      <c r="O686" s="485">
        <f t="shared" si="82"/>
        <v>0</v>
      </c>
    </row>
    <row r="687" spans="1:15" x14ac:dyDescent="0.25">
      <c r="A687" s="241" t="str">
        <f t="shared" si="77"/>
        <v>02-05</v>
      </c>
      <c r="B687" s="241" t="str">
        <f t="shared" si="78"/>
        <v>02</v>
      </c>
      <c r="C687" s="241" t="str">
        <f t="shared" si="79"/>
        <v>05</v>
      </c>
      <c r="D687" s="235" t="str">
        <f t="shared" si="80"/>
        <v>02-</v>
      </c>
      <c r="E687" s="241" t="s">
        <v>1250</v>
      </c>
      <c r="F687" s="241" t="str">
        <f t="shared" si="81"/>
        <v>-020-211</v>
      </c>
      <c r="G687" s="235" t="str">
        <f t="shared" si="84"/>
        <v>02-0x-020-211</v>
      </c>
      <c r="H687" s="241" t="s">
        <v>542</v>
      </c>
      <c r="I687" s="435" t="s">
        <v>65</v>
      </c>
      <c r="J687" s="438">
        <f>VLOOKUP(H687,'Full Trial Balance'!$A$4:$G$2306,3,FALSE)</f>
        <v>64</v>
      </c>
      <c r="K687" s="438">
        <f>VLOOKUP(H687,'Full Trial Balance'!$A$4:$G$2306,4,FALSE)</f>
        <v>0</v>
      </c>
      <c r="L687" s="438">
        <f>VLOOKUP(H687,'Full Trial Balance'!$A$4:$G$2306,5,FALSE)</f>
        <v>10.96</v>
      </c>
      <c r="M687" s="438">
        <f>VLOOKUP(H687,'Full Trial Balance'!$A$4:$G$2306,6,FALSE)</f>
        <v>0</v>
      </c>
      <c r="N687" s="438">
        <f>VLOOKUP(H687,'Full Trial Balance'!$A$4:$G$2306,7,FALSE)</f>
        <v>10.96</v>
      </c>
      <c r="O687" s="485">
        <f t="shared" si="82"/>
        <v>0</v>
      </c>
    </row>
    <row r="688" spans="1:15" x14ac:dyDescent="0.25">
      <c r="A688" s="241" t="str">
        <f t="shared" si="77"/>
        <v>02-05</v>
      </c>
      <c r="B688" s="241" t="str">
        <f t="shared" si="78"/>
        <v>02</v>
      </c>
      <c r="C688" s="241" t="str">
        <f t="shared" si="79"/>
        <v>05</v>
      </c>
      <c r="D688" s="235" t="str">
        <f t="shared" si="80"/>
        <v>02-</v>
      </c>
      <c r="E688" s="241" t="s">
        <v>1250</v>
      </c>
      <c r="F688" s="241" t="str">
        <f t="shared" si="81"/>
        <v>-020-212</v>
      </c>
      <c r="G688" s="235" t="str">
        <f t="shared" si="84"/>
        <v>02-0x-020-212</v>
      </c>
      <c r="H688" s="241" t="s">
        <v>559</v>
      </c>
      <c r="I688" s="435" t="s">
        <v>40</v>
      </c>
      <c r="J688" s="438">
        <f>VLOOKUP(H688,'Full Trial Balance'!$A$4:$G$2306,3,FALSE)</f>
        <v>176</v>
      </c>
      <c r="K688" s="438">
        <f>VLOOKUP(H688,'Full Trial Balance'!$A$4:$G$2306,4,FALSE)</f>
        <v>0</v>
      </c>
      <c r="L688" s="438">
        <f>VLOOKUP(H688,'Full Trial Balance'!$A$4:$G$2306,5,FALSE)</f>
        <v>28.68</v>
      </c>
      <c r="M688" s="438">
        <f>VLOOKUP(H688,'Full Trial Balance'!$A$4:$G$2306,6,FALSE)</f>
        <v>1.32</v>
      </c>
      <c r="N688" s="438">
        <f>VLOOKUP(H688,'Full Trial Balance'!$A$4:$G$2306,7,FALSE)</f>
        <v>27.36</v>
      </c>
      <c r="O688" s="485">
        <f t="shared" si="82"/>
        <v>0</v>
      </c>
    </row>
    <row r="689" spans="1:15" x14ac:dyDescent="0.25">
      <c r="A689" s="241" t="str">
        <f t="shared" si="77"/>
        <v>02-05</v>
      </c>
      <c r="B689" s="241" t="str">
        <f t="shared" si="78"/>
        <v>02</v>
      </c>
      <c r="C689" s="241" t="str">
        <f t="shared" si="79"/>
        <v>05</v>
      </c>
      <c r="D689" s="235" t="str">
        <f t="shared" si="80"/>
        <v>02-</v>
      </c>
      <c r="E689" s="241" t="s">
        <v>1250</v>
      </c>
      <c r="F689" s="241" t="str">
        <f t="shared" si="81"/>
        <v>-020-213</v>
      </c>
      <c r="G689" s="235" t="str">
        <f t="shared" si="84"/>
        <v>02-0x-020-213</v>
      </c>
      <c r="H689" s="241" t="s">
        <v>549</v>
      </c>
      <c r="I689" s="435" t="s">
        <v>41</v>
      </c>
      <c r="J689" s="438">
        <f>VLOOKUP(H689,'Full Trial Balance'!$A$4:$G$2306,3,FALSE)</f>
        <v>4</v>
      </c>
      <c r="K689" s="438">
        <f>VLOOKUP(H689,'Full Trial Balance'!$A$4:$G$2306,4,FALSE)</f>
        <v>0</v>
      </c>
      <c r="L689" s="438">
        <f>VLOOKUP(H689,'Full Trial Balance'!$A$4:$G$2306,5,FALSE)</f>
        <v>0.6</v>
      </c>
      <c r="M689" s="438">
        <f>VLOOKUP(H689,'Full Trial Balance'!$A$4:$G$2306,6,FALSE)</f>
        <v>0.04</v>
      </c>
      <c r="N689" s="438">
        <f>VLOOKUP(H689,'Full Trial Balance'!$A$4:$G$2306,7,FALSE)</f>
        <v>0.56000000000000005</v>
      </c>
      <c r="O689" s="485">
        <f t="shared" si="82"/>
        <v>7.6327832942979512E-17</v>
      </c>
    </row>
    <row r="690" spans="1:15" x14ac:dyDescent="0.25">
      <c r="A690" s="241" t="str">
        <f t="shared" si="77"/>
        <v>02-05</v>
      </c>
      <c r="B690" s="241" t="str">
        <f t="shared" si="78"/>
        <v>02</v>
      </c>
      <c r="C690" s="241" t="str">
        <f t="shared" si="79"/>
        <v>05</v>
      </c>
      <c r="D690" s="235" t="str">
        <f t="shared" si="80"/>
        <v>02-</v>
      </c>
      <c r="E690" s="241" t="s">
        <v>1250</v>
      </c>
      <c r="F690" s="241" t="str">
        <f t="shared" si="81"/>
        <v>-020-215</v>
      </c>
      <c r="G690" s="235" t="str">
        <f t="shared" si="84"/>
        <v>02-0x-020-215</v>
      </c>
      <c r="H690" s="241" t="s">
        <v>546</v>
      </c>
      <c r="I690" s="435" t="s">
        <v>42</v>
      </c>
      <c r="J690" s="438">
        <f>VLOOKUP(H690,'Full Trial Balance'!$A$4:$G$2306,3,FALSE)</f>
        <v>151</v>
      </c>
      <c r="K690" s="438">
        <f>VLOOKUP(H690,'Full Trial Balance'!$A$4:$G$2306,4,FALSE)</f>
        <v>0</v>
      </c>
      <c r="L690" s="438">
        <f>VLOOKUP(H690,'Full Trial Balance'!$A$4:$G$2306,5,FALSE)</f>
        <v>74.25</v>
      </c>
      <c r="M690" s="438">
        <f>VLOOKUP(H690,'Full Trial Balance'!$A$4:$G$2306,6,FALSE)</f>
        <v>4.76</v>
      </c>
      <c r="N690" s="438">
        <f>VLOOKUP(H690,'Full Trial Balance'!$A$4:$G$2306,7,FALSE)</f>
        <v>69.489999999999995</v>
      </c>
      <c r="O690" s="485">
        <f t="shared" si="82"/>
        <v>0</v>
      </c>
    </row>
    <row r="691" spans="1:15" x14ac:dyDescent="0.25">
      <c r="A691" s="241" t="str">
        <f t="shared" si="77"/>
        <v>02-05</v>
      </c>
      <c r="B691" s="241" t="str">
        <f t="shared" si="78"/>
        <v>02</v>
      </c>
      <c r="C691" s="241" t="str">
        <f t="shared" si="79"/>
        <v>05</v>
      </c>
      <c r="D691" s="235" t="str">
        <f t="shared" si="80"/>
        <v>02-</v>
      </c>
      <c r="E691" s="241" t="s">
        <v>1250</v>
      </c>
      <c r="F691" s="241" t="str">
        <f t="shared" si="81"/>
        <v>-020-217</v>
      </c>
      <c r="G691" s="489" t="s">
        <v>3435</v>
      </c>
      <c r="H691" s="241" t="s">
        <v>543</v>
      </c>
      <c r="I691" s="435" t="s">
        <v>43</v>
      </c>
      <c r="J691" s="438">
        <f>VLOOKUP(H691,'Full Trial Balance'!$A$4:$G$2306,3,FALSE)</f>
        <v>4405</v>
      </c>
      <c r="K691" s="438">
        <f>VLOOKUP(H691,'Full Trial Balance'!$A$4:$G$2306,4,FALSE)</f>
        <v>0</v>
      </c>
      <c r="L691" s="438">
        <f>VLOOKUP(H691,'Full Trial Balance'!$A$4:$G$2306,5,FALSE)</f>
        <v>1584.74</v>
      </c>
      <c r="M691" s="438">
        <f>VLOOKUP(H691,'Full Trial Balance'!$A$4:$G$2306,6,FALSE)</f>
        <v>139.91999999999999</v>
      </c>
      <c r="N691" s="438">
        <f>VLOOKUP(H691,'Full Trial Balance'!$A$4:$G$2306,7,FALSE)</f>
        <v>1444.82</v>
      </c>
      <c r="O691" s="485">
        <f t="shared" si="82"/>
        <v>0</v>
      </c>
    </row>
    <row r="692" spans="1:15" x14ac:dyDescent="0.25">
      <c r="A692" s="241" t="str">
        <f t="shared" si="77"/>
        <v>02-05</v>
      </c>
      <c r="B692" s="241" t="str">
        <f t="shared" si="78"/>
        <v>02</v>
      </c>
      <c r="C692" s="241" t="str">
        <f t="shared" si="79"/>
        <v>05</v>
      </c>
      <c r="D692" s="235" t="str">
        <f t="shared" si="80"/>
        <v>02-</v>
      </c>
      <c r="E692" s="241" t="s">
        <v>1250</v>
      </c>
      <c r="F692" s="241" t="str">
        <f t="shared" si="81"/>
        <v>-020-218</v>
      </c>
      <c r="G692" s="489" t="s">
        <v>3436</v>
      </c>
      <c r="H692" s="241" t="s">
        <v>544</v>
      </c>
      <c r="I692" s="435" t="s">
        <v>44</v>
      </c>
      <c r="J692" s="438">
        <f>VLOOKUP(H692,'Full Trial Balance'!$A$4:$G$2306,3,FALSE)</f>
        <v>3639</v>
      </c>
      <c r="K692" s="438">
        <f>VLOOKUP(H692,'Full Trial Balance'!$A$4:$G$2306,4,FALSE)</f>
        <v>0</v>
      </c>
      <c r="L692" s="438">
        <f>VLOOKUP(H692,'Full Trial Balance'!$A$4:$G$2306,5,FALSE)</f>
        <v>1313.9</v>
      </c>
      <c r="M692" s="438">
        <f>VLOOKUP(H692,'Full Trial Balance'!$A$4:$G$2306,6,FALSE)</f>
        <v>115.26</v>
      </c>
      <c r="N692" s="438">
        <f>VLOOKUP(H692,'Full Trial Balance'!$A$4:$G$2306,7,FALSE)</f>
        <v>1198.6400000000001</v>
      </c>
      <c r="O692" s="485">
        <f t="shared" si="82"/>
        <v>0</v>
      </c>
    </row>
    <row r="693" spans="1:15" x14ac:dyDescent="0.25">
      <c r="A693" s="241" t="str">
        <f t="shared" si="77"/>
        <v>02-05</v>
      </c>
      <c r="B693" s="241" t="str">
        <f t="shared" si="78"/>
        <v>02</v>
      </c>
      <c r="C693" s="241" t="str">
        <f t="shared" si="79"/>
        <v>05</v>
      </c>
      <c r="D693" s="235" t="str">
        <f t="shared" si="80"/>
        <v>02-</v>
      </c>
      <c r="E693" s="241" t="s">
        <v>1250</v>
      </c>
      <c r="F693" s="241" t="str">
        <f t="shared" si="81"/>
        <v>-020-220</v>
      </c>
      <c r="G693" s="235" t="str">
        <f>CONCATENATE(D693,E693,F693)</f>
        <v>02-0x-020-220</v>
      </c>
      <c r="H693" s="241" t="s">
        <v>556</v>
      </c>
      <c r="I693" s="435" t="s">
        <v>183</v>
      </c>
      <c r="J693" s="438">
        <f>VLOOKUP(H693,'Full Trial Balance'!$A$4:$G$2306,3,FALSE)</f>
        <v>2168</v>
      </c>
      <c r="K693" s="438">
        <f>VLOOKUP(H693,'Full Trial Balance'!$A$4:$G$2306,4,FALSE)</f>
        <v>0</v>
      </c>
      <c r="L693" s="438">
        <f>VLOOKUP(H693,'Full Trial Balance'!$A$4:$G$2306,5,FALSE)</f>
        <v>0</v>
      </c>
      <c r="M693" s="438">
        <f>VLOOKUP(H693,'Full Trial Balance'!$A$4:$G$2306,6,FALSE)</f>
        <v>0</v>
      </c>
      <c r="N693" s="438">
        <f>VLOOKUP(H693,'Full Trial Balance'!$A$4:$G$2306,7,FALSE)</f>
        <v>0</v>
      </c>
      <c r="O693" s="485">
        <f t="shared" si="82"/>
        <v>0</v>
      </c>
    </row>
    <row r="694" spans="1:15" x14ac:dyDescent="0.25">
      <c r="A694" s="241" t="str">
        <f t="shared" si="77"/>
        <v>02-05</v>
      </c>
      <c r="B694" s="241" t="str">
        <f t="shared" si="78"/>
        <v>02</v>
      </c>
      <c r="C694" s="241" t="str">
        <f t="shared" si="79"/>
        <v>05</v>
      </c>
      <c r="D694" s="235" t="str">
        <f t="shared" si="80"/>
        <v>02-</v>
      </c>
      <c r="E694" s="241" t="s">
        <v>1250</v>
      </c>
      <c r="F694" s="241" t="str">
        <f t="shared" si="81"/>
        <v>-020-222</v>
      </c>
      <c r="G694" s="489" t="s">
        <v>3435</v>
      </c>
      <c r="H694" s="241" t="s">
        <v>2514</v>
      </c>
      <c r="I694" s="435" t="s">
        <v>2254</v>
      </c>
      <c r="J694" s="438">
        <f>VLOOKUP(H694,'Full Trial Balance'!$A$4:$G$2306,3,FALSE)</f>
        <v>0</v>
      </c>
      <c r="K694" s="438">
        <f>VLOOKUP(H694,'Full Trial Balance'!$A$4:$G$2306,4,FALSE)</f>
        <v>0</v>
      </c>
      <c r="L694" s="438">
        <f>VLOOKUP(H694,'Full Trial Balance'!$A$4:$G$2306,5,FALSE)</f>
        <v>94.97</v>
      </c>
      <c r="M694" s="438">
        <f>VLOOKUP(H694,'Full Trial Balance'!$A$4:$G$2306,6,FALSE)</f>
        <v>0</v>
      </c>
      <c r="N694" s="438">
        <f>VLOOKUP(H694,'Full Trial Balance'!$A$4:$G$2306,7,FALSE)</f>
        <v>94.97</v>
      </c>
      <c r="O694" s="485">
        <f t="shared" si="82"/>
        <v>0</v>
      </c>
    </row>
    <row r="695" spans="1:15" x14ac:dyDescent="0.25">
      <c r="A695" s="241" t="str">
        <f t="shared" si="77"/>
        <v>02-05</v>
      </c>
      <c r="B695" s="241" t="str">
        <f t="shared" si="78"/>
        <v>02</v>
      </c>
      <c r="C695" s="241" t="str">
        <f t="shared" si="79"/>
        <v>05</v>
      </c>
      <c r="D695" s="235" t="str">
        <f t="shared" si="80"/>
        <v>02-</v>
      </c>
      <c r="E695" s="241" t="s">
        <v>1250</v>
      </c>
      <c r="F695" s="241" t="str">
        <f t="shared" si="81"/>
        <v>-020-223</v>
      </c>
      <c r="G695" s="489" t="s">
        <v>3436</v>
      </c>
      <c r="H695" s="241" t="s">
        <v>2515</v>
      </c>
      <c r="I695" s="435" t="s">
        <v>2256</v>
      </c>
      <c r="J695" s="438">
        <f>VLOOKUP(H695,'Full Trial Balance'!$A$4:$G$2306,3,FALSE)</f>
        <v>0</v>
      </c>
      <c r="K695" s="438">
        <f>VLOOKUP(H695,'Full Trial Balance'!$A$4:$G$2306,4,FALSE)</f>
        <v>0</v>
      </c>
      <c r="L695" s="438">
        <f>VLOOKUP(H695,'Full Trial Balance'!$A$4:$G$2306,5,FALSE)</f>
        <v>120.8</v>
      </c>
      <c r="M695" s="438">
        <f>VLOOKUP(H695,'Full Trial Balance'!$A$4:$G$2306,6,FALSE)</f>
        <v>0</v>
      </c>
      <c r="N695" s="438">
        <f>VLOOKUP(H695,'Full Trial Balance'!$A$4:$G$2306,7,FALSE)</f>
        <v>120.8</v>
      </c>
      <c r="O695" s="485">
        <f t="shared" si="82"/>
        <v>0</v>
      </c>
    </row>
    <row r="696" spans="1:15" x14ac:dyDescent="0.25">
      <c r="A696" s="241" t="str">
        <f t="shared" si="77"/>
        <v>02-05</v>
      </c>
      <c r="B696" s="241" t="str">
        <f t="shared" si="78"/>
        <v>02</v>
      </c>
      <c r="C696" s="241" t="str">
        <f t="shared" si="79"/>
        <v>05</v>
      </c>
      <c r="D696" s="235" t="str">
        <f t="shared" si="80"/>
        <v>02-</v>
      </c>
      <c r="E696" s="241" t="s">
        <v>1250</v>
      </c>
      <c r="F696" s="241" t="str">
        <f t="shared" si="81"/>
        <v>-033-106</v>
      </c>
      <c r="G696" s="235" t="str">
        <f>CONCATENATE(D696,E696,F696)</f>
        <v>02-0x-033-106</v>
      </c>
      <c r="H696" s="241" t="s">
        <v>2516</v>
      </c>
      <c r="I696" s="435" t="s">
        <v>1161</v>
      </c>
      <c r="J696" s="438">
        <f>VLOOKUP(H696,'Full Trial Balance'!$A$4:$G$2306,3,FALSE)</f>
        <v>28</v>
      </c>
      <c r="K696" s="438">
        <f>VLOOKUP(H696,'Full Trial Balance'!$A$4:$G$2306,4,FALSE)</f>
        <v>0</v>
      </c>
      <c r="L696" s="438">
        <f>VLOOKUP(H696,'Full Trial Balance'!$A$4:$G$2306,5,FALSE)</f>
        <v>0</v>
      </c>
      <c r="M696" s="438">
        <f>VLOOKUP(H696,'Full Trial Balance'!$A$4:$G$2306,6,FALSE)</f>
        <v>0</v>
      </c>
      <c r="N696" s="438">
        <f>VLOOKUP(H696,'Full Trial Balance'!$A$4:$G$2306,7,FALSE)</f>
        <v>0</v>
      </c>
      <c r="O696" s="485">
        <f t="shared" si="82"/>
        <v>0</v>
      </c>
    </row>
    <row r="697" spans="1:15" x14ac:dyDescent="0.25">
      <c r="A697" s="241" t="str">
        <f t="shared" si="77"/>
        <v>02-05</v>
      </c>
      <c r="B697" s="241" t="str">
        <f t="shared" si="78"/>
        <v>02</v>
      </c>
      <c r="C697" s="241" t="str">
        <f t="shared" si="79"/>
        <v>05</v>
      </c>
      <c r="D697" s="235" t="str">
        <f t="shared" si="80"/>
        <v>02-</v>
      </c>
      <c r="E697" s="241" t="s">
        <v>1250</v>
      </c>
      <c r="F697" s="241" t="str">
        <f t="shared" si="81"/>
        <v>-035-001</v>
      </c>
      <c r="G697" s="235" t="str">
        <f>CONCATENATE(D697,E697,F697)</f>
        <v>02-0x-035-001</v>
      </c>
      <c r="H697" s="241" t="s">
        <v>558</v>
      </c>
      <c r="I697" s="435" t="s">
        <v>70</v>
      </c>
      <c r="J697" s="438">
        <f>VLOOKUP(H697,'Full Trial Balance'!$A$4:$G$2306,3,FALSE)</f>
        <v>0</v>
      </c>
      <c r="K697" s="438">
        <f>VLOOKUP(H697,'Full Trial Balance'!$A$4:$G$2306,4,FALSE)</f>
        <v>0</v>
      </c>
      <c r="L697" s="438">
        <f>VLOOKUP(H697,'Full Trial Balance'!$A$4:$G$2306,5,FALSE)</f>
        <v>0</v>
      </c>
      <c r="M697" s="438">
        <f>VLOOKUP(H697,'Full Trial Balance'!$A$4:$G$2306,6,FALSE)</f>
        <v>0</v>
      </c>
      <c r="N697" s="438">
        <f>VLOOKUP(H697,'Full Trial Balance'!$A$4:$G$2306,7,FALSE)</f>
        <v>0</v>
      </c>
      <c r="O697" s="485">
        <f t="shared" si="82"/>
        <v>0</v>
      </c>
    </row>
    <row r="698" spans="1:15" x14ac:dyDescent="0.25">
      <c r="A698" s="241" t="str">
        <f t="shared" si="77"/>
        <v>02-05</v>
      </c>
      <c r="B698" s="241" t="str">
        <f t="shared" si="78"/>
        <v>02</v>
      </c>
      <c r="C698" s="241" t="str">
        <f t="shared" si="79"/>
        <v>05</v>
      </c>
      <c r="D698" s="235" t="str">
        <f t="shared" si="80"/>
        <v>02-</v>
      </c>
      <c r="E698" s="241" t="s">
        <v>1250</v>
      </c>
      <c r="F698" s="241" t="str">
        <f t="shared" si="81"/>
        <v>-035-003</v>
      </c>
      <c r="G698" s="235" t="s">
        <v>1454</v>
      </c>
      <c r="H698" s="241" t="s">
        <v>555</v>
      </c>
      <c r="I698" s="435" t="s">
        <v>48</v>
      </c>
      <c r="J698" s="438">
        <f>VLOOKUP(H698,'Full Trial Balance'!$A$4:$G$2306,3,FALSE)</f>
        <v>0</v>
      </c>
      <c r="K698" s="438">
        <f>VLOOKUP(H698,'Full Trial Balance'!$A$4:$G$2306,4,FALSE)</f>
        <v>0</v>
      </c>
      <c r="L698" s="438">
        <f>VLOOKUP(H698,'Full Trial Balance'!$A$4:$G$2306,5,FALSE)</f>
        <v>0</v>
      </c>
      <c r="M698" s="438">
        <f>VLOOKUP(H698,'Full Trial Balance'!$A$4:$G$2306,6,FALSE)</f>
        <v>0</v>
      </c>
      <c r="N698" s="438">
        <f>VLOOKUP(H698,'Full Trial Balance'!$A$4:$G$2306,7,FALSE)</f>
        <v>0</v>
      </c>
      <c r="O698" s="485">
        <f t="shared" si="82"/>
        <v>0</v>
      </c>
    </row>
    <row r="699" spans="1:15" x14ac:dyDescent="0.25">
      <c r="A699" s="241" t="str">
        <f t="shared" si="77"/>
        <v>02-05</v>
      </c>
      <c r="B699" s="241" t="str">
        <f t="shared" si="78"/>
        <v>02</v>
      </c>
      <c r="C699" s="241" t="str">
        <f t="shared" si="79"/>
        <v>05</v>
      </c>
      <c r="D699" s="235" t="str">
        <f t="shared" si="80"/>
        <v>02-</v>
      </c>
      <c r="E699" s="241" t="s">
        <v>1250</v>
      </c>
      <c r="F699" s="241" t="str">
        <f t="shared" si="81"/>
        <v>-040-025</v>
      </c>
      <c r="G699" s="235" t="str">
        <f>CONCATENATE(D699,E699,F699)</f>
        <v>02-0x-040-025</v>
      </c>
      <c r="H699" s="241" t="s">
        <v>554</v>
      </c>
      <c r="I699" s="435" t="s">
        <v>54</v>
      </c>
      <c r="J699" s="438">
        <f>VLOOKUP(H699,'Full Trial Balance'!$A$4:$G$2306,3,FALSE)</f>
        <v>52.5</v>
      </c>
      <c r="K699" s="438">
        <f>VLOOKUP(H699,'Full Trial Balance'!$A$4:$G$2306,4,FALSE)</f>
        <v>0</v>
      </c>
      <c r="L699" s="438">
        <f>VLOOKUP(H699,'Full Trial Balance'!$A$4:$G$2306,5,FALSE)</f>
        <v>0</v>
      </c>
      <c r="M699" s="438">
        <f>VLOOKUP(H699,'Full Trial Balance'!$A$4:$G$2306,6,FALSE)</f>
        <v>0</v>
      </c>
      <c r="N699" s="438">
        <f>VLOOKUP(H699,'Full Trial Balance'!$A$4:$G$2306,7,FALSE)</f>
        <v>0</v>
      </c>
      <c r="O699" s="485">
        <f t="shared" si="82"/>
        <v>0</v>
      </c>
    </row>
    <row r="700" spans="1:15" x14ac:dyDescent="0.25">
      <c r="A700" s="241" t="str">
        <f t="shared" si="77"/>
        <v>02-05</v>
      </c>
      <c r="B700" s="241" t="str">
        <f t="shared" si="78"/>
        <v>02</v>
      </c>
      <c r="C700" s="241" t="str">
        <f t="shared" si="79"/>
        <v>05</v>
      </c>
      <c r="D700" s="235" t="str">
        <f t="shared" si="80"/>
        <v>02-</v>
      </c>
      <c r="E700" s="241" t="s">
        <v>1250</v>
      </c>
      <c r="F700" s="241" t="str">
        <f t="shared" si="81"/>
        <v>-040-026</v>
      </c>
      <c r="G700" s="235" t="str">
        <f>CONCATENATE(D700,E700,F700)</f>
        <v>02-0x-040-026</v>
      </c>
      <c r="H700" s="241" t="s">
        <v>1187</v>
      </c>
      <c r="I700" s="435" t="s">
        <v>1176</v>
      </c>
      <c r="J700" s="438">
        <f>VLOOKUP(H700,'Full Trial Balance'!$A$4:$G$2306,3,FALSE)</f>
        <v>0</v>
      </c>
      <c r="K700" s="438">
        <f>VLOOKUP(H700,'Full Trial Balance'!$A$4:$G$2306,4,FALSE)</f>
        <v>0</v>
      </c>
      <c r="L700" s="438">
        <f>VLOOKUP(H700,'Full Trial Balance'!$A$4:$G$2306,5,FALSE)</f>
        <v>0</v>
      </c>
      <c r="M700" s="438">
        <f>VLOOKUP(H700,'Full Trial Balance'!$A$4:$G$2306,6,FALSE)</f>
        <v>0</v>
      </c>
      <c r="N700" s="438">
        <f>VLOOKUP(H700,'Full Trial Balance'!$A$4:$G$2306,7,FALSE)</f>
        <v>0</v>
      </c>
      <c r="O700" s="485">
        <f t="shared" si="82"/>
        <v>0</v>
      </c>
    </row>
    <row r="701" spans="1:15" x14ac:dyDescent="0.25">
      <c r="A701" s="241" t="str">
        <f t="shared" si="77"/>
        <v>02-05</v>
      </c>
      <c r="B701" s="241" t="str">
        <f t="shared" si="78"/>
        <v>02</v>
      </c>
      <c r="C701" s="241" t="str">
        <f t="shared" si="79"/>
        <v>05</v>
      </c>
      <c r="D701" s="235" t="str">
        <f t="shared" si="80"/>
        <v>02-</v>
      </c>
      <c r="E701" s="241" t="s">
        <v>1250</v>
      </c>
      <c r="F701" s="241" t="str">
        <f t="shared" si="81"/>
        <v>-040-027</v>
      </c>
      <c r="G701" s="226" t="s">
        <v>1376</v>
      </c>
      <c r="H701" s="241" t="s">
        <v>547</v>
      </c>
      <c r="I701" s="435" t="s">
        <v>152</v>
      </c>
      <c r="J701" s="438">
        <f>VLOOKUP(H701,'Full Trial Balance'!$A$4:$G$2306,3,FALSE)</f>
        <v>14000</v>
      </c>
      <c r="K701" s="438">
        <f>VLOOKUP(H701,'Full Trial Balance'!$A$4:$G$2306,4,FALSE)</f>
        <v>0</v>
      </c>
      <c r="L701" s="438">
        <f>VLOOKUP(H701,'Full Trial Balance'!$A$4:$G$2306,5,FALSE)</f>
        <v>711.67</v>
      </c>
      <c r="M701" s="438">
        <f>VLOOKUP(H701,'Full Trial Balance'!$A$4:$G$2306,6,FALSE)</f>
        <v>0</v>
      </c>
      <c r="N701" s="438">
        <f>VLOOKUP(H701,'Full Trial Balance'!$A$4:$G$2306,7,FALSE)</f>
        <v>711.67</v>
      </c>
      <c r="O701" s="485">
        <f t="shared" si="82"/>
        <v>0</v>
      </c>
    </row>
    <row r="702" spans="1:15" x14ac:dyDescent="0.25">
      <c r="A702" s="241" t="str">
        <f t="shared" si="77"/>
        <v>02-05</v>
      </c>
      <c r="B702" s="241" t="str">
        <f t="shared" si="78"/>
        <v>02</v>
      </c>
      <c r="C702" s="241" t="str">
        <f t="shared" si="79"/>
        <v>05</v>
      </c>
      <c r="D702" s="235" t="str">
        <f t="shared" si="80"/>
        <v>02-</v>
      </c>
      <c r="E702" s="241" t="s">
        <v>1250</v>
      </c>
      <c r="F702" s="241" t="str">
        <f t="shared" si="81"/>
        <v>-040-030</v>
      </c>
      <c r="G702" s="235" t="str">
        <f>H702</f>
        <v>02-05-040-030</v>
      </c>
      <c r="H702" s="241" t="s">
        <v>548</v>
      </c>
      <c r="I702" s="435" t="s">
        <v>1177</v>
      </c>
      <c r="J702" s="438">
        <f>VLOOKUP(H702,'Full Trial Balance'!$A$4:$G$2306,3,FALSE)</f>
        <v>7000</v>
      </c>
      <c r="K702" s="438">
        <f>VLOOKUP(H702,'Full Trial Balance'!$A$4:$G$2306,4,FALSE)</f>
        <v>0</v>
      </c>
      <c r="L702" s="438">
        <f>VLOOKUP(H702,'Full Trial Balance'!$A$4:$G$2306,5,FALSE)</f>
        <v>0</v>
      </c>
      <c r="M702" s="438">
        <f>VLOOKUP(H702,'Full Trial Balance'!$A$4:$G$2306,6,FALSE)</f>
        <v>0</v>
      </c>
      <c r="N702" s="438">
        <f>VLOOKUP(H702,'Full Trial Balance'!$A$4:$G$2306,7,FALSE)</f>
        <v>0</v>
      </c>
      <c r="O702" s="485">
        <f t="shared" si="82"/>
        <v>0</v>
      </c>
    </row>
    <row r="703" spans="1:15" x14ac:dyDescent="0.25">
      <c r="A703" s="241" t="str">
        <f t="shared" si="77"/>
        <v>03-05</v>
      </c>
      <c r="B703" s="241" t="str">
        <f t="shared" si="78"/>
        <v>03</v>
      </c>
      <c r="C703" s="241" t="str">
        <f t="shared" si="79"/>
        <v>05</v>
      </c>
      <c r="D703" s="235" t="str">
        <f t="shared" si="80"/>
        <v>03-</v>
      </c>
      <c r="E703" s="241" t="s">
        <v>1250</v>
      </c>
      <c r="F703" s="241" t="str">
        <f t="shared" si="81"/>
        <v>-010-000</v>
      </c>
      <c r="G703" s="235" t="str">
        <f t="shared" ref="G703:G717" si="85">CONCATENATE(D703,E703,F703)</f>
        <v>03-0x-010-000</v>
      </c>
      <c r="H703" s="241" t="s">
        <v>585</v>
      </c>
      <c r="I703" s="435" t="s">
        <v>150</v>
      </c>
      <c r="J703" s="438">
        <f>VLOOKUP(H703,'Full Trial Balance'!$A$4:$G$2306,3,FALSE)</f>
        <v>322793</v>
      </c>
      <c r="K703" s="438">
        <f>VLOOKUP(H703,'Full Trial Balance'!$A$4:$G$2306,4,FALSE)</f>
        <v>0</v>
      </c>
      <c r="L703" s="438">
        <f>VLOOKUP(H703,'Full Trial Balance'!$A$4:$G$2306,5,FALSE)</f>
        <v>130273.92</v>
      </c>
      <c r="M703" s="438">
        <f>VLOOKUP(H703,'Full Trial Balance'!$A$4:$G$2306,6,FALSE)</f>
        <v>9052.83</v>
      </c>
      <c r="N703" s="438">
        <f>VLOOKUP(H703,'Full Trial Balance'!$A$4:$G$2306,7,FALSE)</f>
        <v>121221.09</v>
      </c>
      <c r="O703" s="485">
        <f t="shared" si="82"/>
        <v>0</v>
      </c>
    </row>
    <row r="704" spans="1:15" x14ac:dyDescent="0.25">
      <c r="A704" s="241" t="str">
        <f t="shared" si="77"/>
        <v>03-05</v>
      </c>
      <c r="B704" s="241" t="str">
        <f t="shared" si="78"/>
        <v>03</v>
      </c>
      <c r="C704" s="241" t="str">
        <f t="shared" si="79"/>
        <v>05</v>
      </c>
      <c r="D704" s="235" t="str">
        <f t="shared" si="80"/>
        <v>03-</v>
      </c>
      <c r="E704" s="241" t="s">
        <v>1250</v>
      </c>
      <c r="F704" s="241" t="str">
        <f t="shared" si="81"/>
        <v>-010-005</v>
      </c>
      <c r="G704" s="235" t="str">
        <f t="shared" si="85"/>
        <v>03-0x-010-005</v>
      </c>
      <c r="H704" s="241" t="s">
        <v>586</v>
      </c>
      <c r="I704" s="435" t="s">
        <v>667</v>
      </c>
      <c r="J704" s="438">
        <f>VLOOKUP(H704,'Full Trial Balance'!$A$4:$G$2306,3,FALSE)</f>
        <v>-185303.4</v>
      </c>
      <c r="K704" s="438">
        <f>VLOOKUP(H704,'Full Trial Balance'!$A$4:$G$2306,4,FALSE)</f>
        <v>0</v>
      </c>
      <c r="L704" s="438">
        <f>VLOOKUP(H704,'Full Trial Balance'!$A$4:$G$2306,5,FALSE)</f>
        <v>0</v>
      </c>
      <c r="M704" s="438">
        <f>VLOOKUP(H704,'Full Trial Balance'!$A$4:$G$2306,6,FALSE)</f>
        <v>18783.509999999998</v>
      </c>
      <c r="N704" s="438">
        <f>VLOOKUP(H704,'Full Trial Balance'!$A$4:$G$2306,7,FALSE)</f>
        <v>-18783.509999999998</v>
      </c>
      <c r="O704" s="485">
        <f t="shared" si="82"/>
        <v>0</v>
      </c>
    </row>
    <row r="705" spans="1:15" x14ac:dyDescent="0.25">
      <c r="A705" s="241" t="str">
        <f t="shared" si="77"/>
        <v>03-05</v>
      </c>
      <c r="B705" s="241" t="str">
        <f t="shared" si="78"/>
        <v>03</v>
      </c>
      <c r="C705" s="241" t="str">
        <f t="shared" si="79"/>
        <v>05</v>
      </c>
      <c r="D705" s="235" t="str">
        <f t="shared" si="80"/>
        <v>03-</v>
      </c>
      <c r="E705" s="241" t="s">
        <v>1250</v>
      </c>
      <c r="F705" s="241" t="str">
        <f t="shared" si="81"/>
        <v>-015-000</v>
      </c>
      <c r="G705" s="235" t="str">
        <f t="shared" si="85"/>
        <v>03-0x-015-000</v>
      </c>
      <c r="H705" s="241" t="s">
        <v>580</v>
      </c>
      <c r="I705" s="435" t="s">
        <v>37</v>
      </c>
      <c r="J705" s="438">
        <f>VLOOKUP(H705,'Full Trial Balance'!$A$4:$G$2306,3,FALSE)</f>
        <v>1648</v>
      </c>
      <c r="K705" s="438">
        <f>VLOOKUP(H705,'Full Trial Balance'!$A$4:$G$2306,4,FALSE)</f>
        <v>0</v>
      </c>
      <c r="L705" s="438">
        <f>VLOOKUP(H705,'Full Trial Balance'!$A$4:$G$2306,5,FALSE)</f>
        <v>0</v>
      </c>
      <c r="M705" s="438">
        <f>VLOOKUP(H705,'Full Trial Balance'!$A$4:$G$2306,6,FALSE)</f>
        <v>0</v>
      </c>
      <c r="N705" s="438">
        <f>VLOOKUP(H705,'Full Trial Balance'!$A$4:$G$2306,7,FALSE)</f>
        <v>0</v>
      </c>
      <c r="O705" s="485">
        <f t="shared" si="82"/>
        <v>0</v>
      </c>
    </row>
    <row r="706" spans="1:15" x14ac:dyDescent="0.25">
      <c r="A706" s="241" t="str">
        <f t="shared" si="77"/>
        <v>03-05</v>
      </c>
      <c r="B706" s="241" t="str">
        <f t="shared" si="78"/>
        <v>03</v>
      </c>
      <c r="C706" s="241" t="str">
        <f t="shared" si="79"/>
        <v>05</v>
      </c>
      <c r="D706" s="235" t="str">
        <f t="shared" si="80"/>
        <v>03-</v>
      </c>
      <c r="E706" s="241" t="s">
        <v>1250</v>
      </c>
      <c r="F706" s="241" t="str">
        <f t="shared" si="81"/>
        <v>-020-202</v>
      </c>
      <c r="G706" s="235" t="str">
        <f t="shared" si="85"/>
        <v>03-0x-020-202</v>
      </c>
      <c r="H706" s="241" t="s">
        <v>574</v>
      </c>
      <c r="I706" s="435" t="s">
        <v>153</v>
      </c>
      <c r="J706" s="438">
        <f>VLOOKUP(H706,'Full Trial Balance'!$A$4:$G$2306,3,FALSE)</f>
        <v>18348.27</v>
      </c>
      <c r="K706" s="438">
        <f>VLOOKUP(H706,'Full Trial Balance'!$A$4:$G$2306,4,FALSE)</f>
        <v>0</v>
      </c>
      <c r="L706" s="438">
        <f>VLOOKUP(H706,'Full Trial Balance'!$A$4:$G$2306,5,FALSE)</f>
        <v>6731.42</v>
      </c>
      <c r="M706" s="438">
        <f>VLOOKUP(H706,'Full Trial Balance'!$A$4:$G$2306,6,FALSE)</f>
        <v>522.49</v>
      </c>
      <c r="N706" s="438">
        <f>VLOOKUP(H706,'Full Trial Balance'!$A$4:$G$2306,7,FALSE)</f>
        <v>6208.93</v>
      </c>
      <c r="O706" s="485">
        <f t="shared" si="82"/>
        <v>0</v>
      </c>
    </row>
    <row r="707" spans="1:15" x14ac:dyDescent="0.25">
      <c r="A707" s="241" t="str">
        <f t="shared" ref="A707:A757" si="86">LEFT(H707,5)</f>
        <v>03-05</v>
      </c>
      <c r="B707" s="241" t="str">
        <f t="shared" ref="B707:B757" si="87">LEFT(H707,2)</f>
        <v>03</v>
      </c>
      <c r="C707" s="241" t="str">
        <f t="shared" ref="C707:C757" si="88">RIGHT(A707,2)</f>
        <v>05</v>
      </c>
      <c r="D707" s="235" t="str">
        <f t="shared" ref="D707:D757" si="89">LEFT(A707,3)</f>
        <v>03-</v>
      </c>
      <c r="E707" s="241" t="s">
        <v>1250</v>
      </c>
      <c r="F707" s="241" t="str">
        <f t="shared" ref="F707:F757" si="90">RIGHT(H707,8)</f>
        <v>-020-203</v>
      </c>
      <c r="G707" s="235" t="str">
        <f t="shared" si="85"/>
        <v>03-0x-020-203</v>
      </c>
      <c r="H707" s="241" t="s">
        <v>573</v>
      </c>
      <c r="I707" s="435" t="s">
        <v>154</v>
      </c>
      <c r="J707" s="438">
        <f>VLOOKUP(H707,'Full Trial Balance'!$A$4:$G$2306,3,FALSE)</f>
        <v>4704</v>
      </c>
      <c r="K707" s="438">
        <f>VLOOKUP(H707,'Full Trial Balance'!$A$4:$G$2306,4,FALSE)</f>
        <v>0</v>
      </c>
      <c r="L707" s="438">
        <f>VLOOKUP(H707,'Full Trial Balance'!$A$4:$G$2306,5,FALSE)</f>
        <v>1852.03</v>
      </c>
      <c r="M707" s="438">
        <f>VLOOKUP(H707,'Full Trial Balance'!$A$4:$G$2306,6,FALSE)</f>
        <v>122.23</v>
      </c>
      <c r="N707" s="438">
        <f>VLOOKUP(H707,'Full Trial Balance'!$A$4:$G$2306,7,FALSE)</f>
        <v>1729.8</v>
      </c>
      <c r="O707" s="485">
        <f t="shared" ref="O707:O757" si="91">N707-L707+M707</f>
        <v>0</v>
      </c>
    </row>
    <row r="708" spans="1:15" x14ac:dyDescent="0.25">
      <c r="A708" s="241" t="str">
        <f t="shared" si="86"/>
        <v>03-05</v>
      </c>
      <c r="B708" s="241" t="str">
        <f t="shared" si="87"/>
        <v>03</v>
      </c>
      <c r="C708" s="241" t="str">
        <f t="shared" si="88"/>
        <v>05</v>
      </c>
      <c r="D708" s="235" t="str">
        <f t="shared" si="89"/>
        <v>03-</v>
      </c>
      <c r="E708" s="241" t="s">
        <v>1250</v>
      </c>
      <c r="F708" s="241" t="str">
        <f t="shared" si="90"/>
        <v>-020-204</v>
      </c>
      <c r="G708" s="235" t="str">
        <f t="shared" si="85"/>
        <v>03-0x-020-204</v>
      </c>
      <c r="H708" s="241" t="s">
        <v>576</v>
      </c>
      <c r="I708" s="435" t="s">
        <v>38</v>
      </c>
      <c r="J708" s="438">
        <f>VLOOKUP(H708,'Full Trial Balance'!$A$4:$G$2306,3,FALSE)</f>
        <v>62606</v>
      </c>
      <c r="K708" s="438">
        <f>VLOOKUP(H708,'Full Trial Balance'!$A$4:$G$2306,4,FALSE)</f>
        <v>0</v>
      </c>
      <c r="L708" s="438">
        <f>VLOOKUP(H708,'Full Trial Balance'!$A$4:$G$2306,5,FALSE)</f>
        <v>24929.61</v>
      </c>
      <c r="M708" s="438">
        <f>VLOOKUP(H708,'Full Trial Balance'!$A$4:$G$2306,6,FALSE)</f>
        <v>0</v>
      </c>
      <c r="N708" s="438">
        <f>VLOOKUP(H708,'Full Trial Balance'!$A$4:$G$2306,7,FALSE)</f>
        <v>24929.61</v>
      </c>
      <c r="O708" s="485">
        <f t="shared" si="91"/>
        <v>0</v>
      </c>
    </row>
    <row r="709" spans="1:15" x14ac:dyDescent="0.25">
      <c r="A709" s="241" t="str">
        <f t="shared" si="86"/>
        <v>03-05</v>
      </c>
      <c r="B709" s="241" t="str">
        <f t="shared" si="87"/>
        <v>03</v>
      </c>
      <c r="C709" s="241" t="str">
        <f t="shared" si="88"/>
        <v>05</v>
      </c>
      <c r="D709" s="235" t="str">
        <f t="shared" si="89"/>
        <v>03-</v>
      </c>
      <c r="E709" s="241" t="s">
        <v>1250</v>
      </c>
      <c r="F709" s="241" t="str">
        <f t="shared" si="90"/>
        <v>-020-205</v>
      </c>
      <c r="G709" s="235" t="str">
        <f t="shared" si="85"/>
        <v>03-0x-020-205</v>
      </c>
      <c r="H709" s="241" t="s">
        <v>568</v>
      </c>
      <c r="I709" s="435" t="s">
        <v>77</v>
      </c>
      <c r="J709" s="438">
        <f>VLOOKUP(H709,'Full Trial Balance'!$A$4:$G$2306,3,FALSE)</f>
        <v>3783</v>
      </c>
      <c r="K709" s="438">
        <f>VLOOKUP(H709,'Full Trial Balance'!$A$4:$G$2306,4,FALSE)</f>
        <v>0</v>
      </c>
      <c r="L709" s="438">
        <f>VLOOKUP(H709,'Full Trial Balance'!$A$4:$G$2306,5,FALSE)</f>
        <v>1463.05</v>
      </c>
      <c r="M709" s="438">
        <f>VLOOKUP(H709,'Full Trial Balance'!$A$4:$G$2306,6,FALSE)</f>
        <v>0</v>
      </c>
      <c r="N709" s="438">
        <f>VLOOKUP(H709,'Full Trial Balance'!$A$4:$G$2306,7,FALSE)</f>
        <v>1463.05</v>
      </c>
      <c r="O709" s="485">
        <f t="shared" si="91"/>
        <v>0</v>
      </c>
    </row>
    <row r="710" spans="1:15" x14ac:dyDescent="0.25">
      <c r="A710" s="241" t="str">
        <f t="shared" si="86"/>
        <v>03-05</v>
      </c>
      <c r="B710" s="241" t="str">
        <f t="shared" si="87"/>
        <v>03</v>
      </c>
      <c r="C710" s="241" t="str">
        <f t="shared" si="88"/>
        <v>05</v>
      </c>
      <c r="D710" s="235" t="str">
        <f t="shared" si="89"/>
        <v>03-</v>
      </c>
      <c r="E710" s="241" t="s">
        <v>1250</v>
      </c>
      <c r="F710" s="241" t="str">
        <f t="shared" si="90"/>
        <v>-020-206</v>
      </c>
      <c r="G710" s="235" t="str">
        <f t="shared" si="85"/>
        <v>03-0x-020-206</v>
      </c>
      <c r="H710" s="241" t="s">
        <v>584</v>
      </c>
      <c r="I710" s="435" t="s">
        <v>78</v>
      </c>
      <c r="J710" s="438">
        <f>VLOOKUP(H710,'Full Trial Balance'!$A$4:$G$2306,3,FALSE)</f>
        <v>617</v>
      </c>
      <c r="K710" s="438">
        <f>VLOOKUP(H710,'Full Trial Balance'!$A$4:$G$2306,4,FALSE)</f>
        <v>0</v>
      </c>
      <c r="L710" s="438">
        <f>VLOOKUP(H710,'Full Trial Balance'!$A$4:$G$2306,5,FALSE)</f>
        <v>278.42</v>
      </c>
      <c r="M710" s="438">
        <f>VLOOKUP(H710,'Full Trial Balance'!$A$4:$G$2306,6,FALSE)</f>
        <v>0</v>
      </c>
      <c r="N710" s="438">
        <f>VLOOKUP(H710,'Full Trial Balance'!$A$4:$G$2306,7,FALSE)</f>
        <v>278.42</v>
      </c>
      <c r="O710" s="485">
        <f t="shared" si="91"/>
        <v>0</v>
      </c>
    </row>
    <row r="711" spans="1:15" x14ac:dyDescent="0.25">
      <c r="A711" s="241" t="str">
        <f t="shared" si="86"/>
        <v>03-05</v>
      </c>
      <c r="B711" s="241" t="str">
        <f t="shared" si="87"/>
        <v>03</v>
      </c>
      <c r="C711" s="241" t="str">
        <f t="shared" si="88"/>
        <v>05</v>
      </c>
      <c r="D711" s="235" t="str">
        <f t="shared" si="89"/>
        <v>03-</v>
      </c>
      <c r="E711" s="241" t="s">
        <v>1250</v>
      </c>
      <c r="F711" s="241" t="str">
        <f t="shared" si="90"/>
        <v>-020-208</v>
      </c>
      <c r="G711" s="235" t="str">
        <f t="shared" si="85"/>
        <v>03-0x-020-208</v>
      </c>
      <c r="H711" s="241" t="s">
        <v>587</v>
      </c>
      <c r="I711" s="435" t="s">
        <v>893</v>
      </c>
      <c r="J711" s="438">
        <f>VLOOKUP(H711,'Full Trial Balance'!$A$4:$G$2306,3,FALSE)</f>
        <v>3232</v>
      </c>
      <c r="K711" s="438">
        <f>VLOOKUP(H711,'Full Trial Balance'!$A$4:$G$2306,4,FALSE)</f>
        <v>0</v>
      </c>
      <c r="L711" s="438">
        <f>VLOOKUP(H711,'Full Trial Balance'!$A$4:$G$2306,5,FALSE)</f>
        <v>1271.31</v>
      </c>
      <c r="M711" s="438">
        <f>VLOOKUP(H711,'Full Trial Balance'!$A$4:$G$2306,6,FALSE)</f>
        <v>72.989999999999995</v>
      </c>
      <c r="N711" s="438">
        <f>VLOOKUP(H711,'Full Trial Balance'!$A$4:$G$2306,7,FALSE)</f>
        <v>1198.32</v>
      </c>
      <c r="O711" s="485">
        <f t="shared" si="91"/>
        <v>0</v>
      </c>
    </row>
    <row r="712" spans="1:15" x14ac:dyDescent="0.25">
      <c r="A712" s="241" t="str">
        <f t="shared" si="86"/>
        <v>03-05</v>
      </c>
      <c r="B712" s="241" t="str">
        <f t="shared" si="87"/>
        <v>03</v>
      </c>
      <c r="C712" s="241" t="str">
        <f t="shared" si="88"/>
        <v>05</v>
      </c>
      <c r="D712" s="235" t="str">
        <f t="shared" si="89"/>
        <v>03-</v>
      </c>
      <c r="E712" s="241" t="s">
        <v>1250</v>
      </c>
      <c r="F712" s="241" t="str">
        <f t="shared" si="90"/>
        <v>-020-209</v>
      </c>
      <c r="G712" s="235" t="str">
        <f t="shared" si="85"/>
        <v>03-0x-020-209</v>
      </c>
      <c r="H712" s="241" t="s">
        <v>575</v>
      </c>
      <c r="I712" s="435" t="s">
        <v>39</v>
      </c>
      <c r="J712" s="438">
        <f>VLOOKUP(H712,'Full Trial Balance'!$A$4:$G$2306,3,FALSE)</f>
        <v>1206</v>
      </c>
      <c r="K712" s="438">
        <f>VLOOKUP(H712,'Full Trial Balance'!$A$4:$G$2306,4,FALSE)</f>
        <v>0</v>
      </c>
      <c r="L712" s="438">
        <f>VLOOKUP(H712,'Full Trial Balance'!$A$4:$G$2306,5,FALSE)</f>
        <v>881.69</v>
      </c>
      <c r="M712" s="438">
        <f>VLOOKUP(H712,'Full Trial Balance'!$A$4:$G$2306,6,FALSE)</f>
        <v>269.39999999999998</v>
      </c>
      <c r="N712" s="438">
        <f>VLOOKUP(H712,'Full Trial Balance'!$A$4:$G$2306,7,FALSE)</f>
        <v>612.29</v>
      </c>
      <c r="O712" s="485">
        <f t="shared" si="91"/>
        <v>0</v>
      </c>
    </row>
    <row r="713" spans="1:15" x14ac:dyDescent="0.25">
      <c r="A713" s="241" t="str">
        <f t="shared" si="86"/>
        <v>03-05</v>
      </c>
      <c r="B713" s="241" t="str">
        <f t="shared" si="87"/>
        <v>03</v>
      </c>
      <c r="C713" s="241" t="str">
        <f t="shared" si="88"/>
        <v>05</v>
      </c>
      <c r="D713" s="235" t="str">
        <f t="shared" si="89"/>
        <v>03-</v>
      </c>
      <c r="E713" s="241" t="s">
        <v>1250</v>
      </c>
      <c r="F713" s="241" t="str">
        <f t="shared" si="90"/>
        <v>-020-210</v>
      </c>
      <c r="G713" s="235" t="str">
        <f t="shared" si="85"/>
        <v>03-0x-020-210</v>
      </c>
      <c r="H713" s="241" t="s">
        <v>583</v>
      </c>
      <c r="I713" s="435" t="s">
        <v>64</v>
      </c>
      <c r="J713" s="438">
        <f>VLOOKUP(H713,'Full Trial Balance'!$A$4:$G$2306,3,FALSE)</f>
        <v>0</v>
      </c>
      <c r="K713" s="438">
        <f>VLOOKUP(H713,'Full Trial Balance'!$A$4:$G$2306,4,FALSE)</f>
        <v>0</v>
      </c>
      <c r="L713" s="438">
        <f>VLOOKUP(H713,'Full Trial Balance'!$A$4:$G$2306,5,FALSE)</f>
        <v>0</v>
      </c>
      <c r="M713" s="438">
        <f>VLOOKUP(H713,'Full Trial Balance'!$A$4:$G$2306,6,FALSE)</f>
        <v>0</v>
      </c>
      <c r="N713" s="438">
        <f>VLOOKUP(H713,'Full Trial Balance'!$A$4:$G$2306,7,FALSE)</f>
        <v>0</v>
      </c>
      <c r="O713" s="485">
        <f t="shared" si="91"/>
        <v>0</v>
      </c>
    </row>
    <row r="714" spans="1:15" x14ac:dyDescent="0.25">
      <c r="A714" s="241" t="str">
        <f t="shared" si="86"/>
        <v>03-05</v>
      </c>
      <c r="B714" s="241" t="str">
        <f t="shared" si="87"/>
        <v>03</v>
      </c>
      <c r="C714" s="241" t="str">
        <f t="shared" si="88"/>
        <v>05</v>
      </c>
      <c r="D714" s="235" t="str">
        <f t="shared" si="89"/>
        <v>03-</v>
      </c>
      <c r="E714" s="241" t="s">
        <v>1250</v>
      </c>
      <c r="F714" s="241" t="str">
        <f t="shared" si="90"/>
        <v>-020-211</v>
      </c>
      <c r="G714" s="235" t="str">
        <f t="shared" si="85"/>
        <v>03-0x-020-211</v>
      </c>
      <c r="H714" s="241" t="s">
        <v>565</v>
      </c>
      <c r="I714" s="435" t="s">
        <v>65</v>
      </c>
      <c r="J714" s="438">
        <f>VLOOKUP(H714,'Full Trial Balance'!$A$4:$G$2306,3,FALSE)</f>
        <v>416</v>
      </c>
      <c r="K714" s="438">
        <f>VLOOKUP(H714,'Full Trial Balance'!$A$4:$G$2306,4,FALSE)</f>
        <v>0</v>
      </c>
      <c r="L714" s="438">
        <f>VLOOKUP(H714,'Full Trial Balance'!$A$4:$G$2306,5,FALSE)</f>
        <v>71.27</v>
      </c>
      <c r="M714" s="438">
        <f>VLOOKUP(H714,'Full Trial Balance'!$A$4:$G$2306,6,FALSE)</f>
        <v>0</v>
      </c>
      <c r="N714" s="438">
        <f>VLOOKUP(H714,'Full Trial Balance'!$A$4:$G$2306,7,FALSE)</f>
        <v>71.27</v>
      </c>
      <c r="O714" s="485">
        <f t="shared" si="91"/>
        <v>0</v>
      </c>
    </row>
    <row r="715" spans="1:15" x14ac:dyDescent="0.25">
      <c r="A715" s="241" t="str">
        <f t="shared" si="86"/>
        <v>03-05</v>
      </c>
      <c r="B715" s="241" t="str">
        <f t="shared" si="87"/>
        <v>03</v>
      </c>
      <c r="C715" s="241" t="str">
        <f t="shared" si="88"/>
        <v>05</v>
      </c>
      <c r="D715" s="235" t="str">
        <f t="shared" si="89"/>
        <v>03-</v>
      </c>
      <c r="E715" s="241" t="s">
        <v>1250</v>
      </c>
      <c r="F715" s="241" t="str">
        <f t="shared" si="90"/>
        <v>-020-212</v>
      </c>
      <c r="G715" s="235" t="str">
        <f t="shared" si="85"/>
        <v>03-0x-020-212</v>
      </c>
      <c r="H715" s="241" t="s">
        <v>582</v>
      </c>
      <c r="I715" s="435" t="s">
        <v>40</v>
      </c>
      <c r="J715" s="438">
        <f>VLOOKUP(H715,'Full Trial Balance'!$A$4:$G$2306,3,FALSE)</f>
        <v>1147</v>
      </c>
      <c r="K715" s="438">
        <f>VLOOKUP(H715,'Full Trial Balance'!$A$4:$G$2306,4,FALSE)</f>
        <v>0</v>
      </c>
      <c r="L715" s="438">
        <f>VLOOKUP(H715,'Full Trial Balance'!$A$4:$G$2306,5,FALSE)</f>
        <v>185.14</v>
      </c>
      <c r="M715" s="438">
        <f>VLOOKUP(H715,'Full Trial Balance'!$A$4:$G$2306,6,FALSE)</f>
        <v>7.28</v>
      </c>
      <c r="N715" s="438">
        <f>VLOOKUP(H715,'Full Trial Balance'!$A$4:$G$2306,7,FALSE)</f>
        <v>177.86</v>
      </c>
      <c r="O715" s="485">
        <f t="shared" si="91"/>
        <v>2.7533531010703882E-14</v>
      </c>
    </row>
    <row r="716" spans="1:15" x14ac:dyDescent="0.25">
      <c r="A716" s="241" t="str">
        <f t="shared" si="86"/>
        <v>03-05</v>
      </c>
      <c r="B716" s="241" t="str">
        <f t="shared" si="87"/>
        <v>03</v>
      </c>
      <c r="C716" s="241" t="str">
        <f t="shared" si="88"/>
        <v>05</v>
      </c>
      <c r="D716" s="235" t="str">
        <f t="shared" si="89"/>
        <v>03-</v>
      </c>
      <c r="E716" s="241" t="s">
        <v>1250</v>
      </c>
      <c r="F716" s="241" t="str">
        <f t="shared" si="90"/>
        <v>-020-213</v>
      </c>
      <c r="G716" s="235" t="str">
        <f t="shared" si="85"/>
        <v>03-0x-020-213</v>
      </c>
      <c r="H716" s="241" t="s">
        <v>572</v>
      </c>
      <c r="I716" s="435" t="s">
        <v>41</v>
      </c>
      <c r="J716" s="438">
        <f>VLOOKUP(H716,'Full Trial Balance'!$A$4:$G$2306,3,FALSE)</f>
        <v>25</v>
      </c>
      <c r="K716" s="438">
        <f>VLOOKUP(H716,'Full Trial Balance'!$A$4:$G$2306,4,FALSE)</f>
        <v>0</v>
      </c>
      <c r="L716" s="438">
        <f>VLOOKUP(H716,'Full Trial Balance'!$A$4:$G$2306,5,FALSE)</f>
        <v>4.6399999999999997</v>
      </c>
      <c r="M716" s="438">
        <f>VLOOKUP(H716,'Full Trial Balance'!$A$4:$G$2306,6,FALSE)</f>
        <v>0.16</v>
      </c>
      <c r="N716" s="438">
        <f>VLOOKUP(H716,'Full Trial Balance'!$A$4:$G$2306,7,FALSE)</f>
        <v>4.4800000000000004</v>
      </c>
      <c r="O716" s="485">
        <f t="shared" si="91"/>
        <v>7.4940054162198066E-16</v>
      </c>
    </row>
    <row r="717" spans="1:15" x14ac:dyDescent="0.25">
      <c r="A717" s="241" t="str">
        <f t="shared" si="86"/>
        <v>03-05</v>
      </c>
      <c r="B717" s="241" t="str">
        <f t="shared" si="87"/>
        <v>03</v>
      </c>
      <c r="C717" s="241" t="str">
        <f t="shared" si="88"/>
        <v>05</v>
      </c>
      <c r="D717" s="235" t="str">
        <f t="shared" si="89"/>
        <v>03-</v>
      </c>
      <c r="E717" s="241" t="s">
        <v>1250</v>
      </c>
      <c r="F717" s="241" t="str">
        <f t="shared" si="90"/>
        <v>-020-215</v>
      </c>
      <c r="G717" s="235" t="str">
        <f t="shared" si="85"/>
        <v>03-0x-020-215</v>
      </c>
      <c r="H717" s="241" t="s">
        <v>569</v>
      </c>
      <c r="I717" s="435" t="s">
        <v>42</v>
      </c>
      <c r="J717" s="438">
        <f>VLOOKUP(H717,'Full Trial Balance'!$A$4:$G$2306,3,FALSE)</f>
        <v>983</v>
      </c>
      <c r="K717" s="438">
        <f>VLOOKUP(H717,'Full Trial Balance'!$A$4:$G$2306,4,FALSE)</f>
        <v>0</v>
      </c>
      <c r="L717" s="438">
        <f>VLOOKUP(H717,'Full Trial Balance'!$A$4:$G$2306,5,FALSE)</f>
        <v>482.61</v>
      </c>
      <c r="M717" s="438">
        <f>VLOOKUP(H717,'Full Trial Balance'!$A$4:$G$2306,6,FALSE)</f>
        <v>30.91</v>
      </c>
      <c r="N717" s="438">
        <f>VLOOKUP(H717,'Full Trial Balance'!$A$4:$G$2306,7,FALSE)</f>
        <v>451.7</v>
      </c>
      <c r="O717" s="485">
        <f t="shared" si="91"/>
        <v>0</v>
      </c>
    </row>
    <row r="718" spans="1:15" x14ac:dyDescent="0.25">
      <c r="A718" s="241" t="str">
        <f t="shared" si="86"/>
        <v>03-05</v>
      </c>
      <c r="B718" s="241" t="str">
        <f t="shared" si="87"/>
        <v>03</v>
      </c>
      <c r="C718" s="241" t="str">
        <f t="shared" si="88"/>
        <v>05</v>
      </c>
      <c r="D718" s="235" t="str">
        <f t="shared" si="89"/>
        <v>03-</v>
      </c>
      <c r="E718" s="241" t="s">
        <v>1250</v>
      </c>
      <c r="F718" s="241" t="str">
        <f t="shared" si="90"/>
        <v>-020-217</v>
      </c>
      <c r="G718" s="489" t="s">
        <v>3437</v>
      </c>
      <c r="H718" s="241" t="s">
        <v>566</v>
      </c>
      <c r="I718" s="435" t="s">
        <v>43</v>
      </c>
      <c r="J718" s="438">
        <f>VLOOKUP(H718,'Full Trial Balance'!$A$4:$G$2306,3,FALSE)</f>
        <v>28633</v>
      </c>
      <c r="K718" s="438">
        <f>VLOOKUP(H718,'Full Trial Balance'!$A$4:$G$2306,4,FALSE)</f>
        <v>0</v>
      </c>
      <c r="L718" s="438">
        <f>VLOOKUP(H718,'Full Trial Balance'!$A$4:$G$2306,5,FALSE)</f>
        <v>10273.81</v>
      </c>
      <c r="M718" s="438">
        <f>VLOOKUP(H718,'Full Trial Balance'!$A$4:$G$2306,6,FALSE)</f>
        <v>762.55</v>
      </c>
      <c r="N718" s="438">
        <f>VLOOKUP(H718,'Full Trial Balance'!$A$4:$G$2306,7,FALSE)</f>
        <v>9511.26</v>
      </c>
      <c r="O718" s="485">
        <f t="shared" si="91"/>
        <v>0</v>
      </c>
    </row>
    <row r="719" spans="1:15" x14ac:dyDescent="0.25">
      <c r="A719" s="241" t="str">
        <f t="shared" si="86"/>
        <v>03-05</v>
      </c>
      <c r="B719" s="241" t="str">
        <f t="shared" si="87"/>
        <v>03</v>
      </c>
      <c r="C719" s="241" t="str">
        <f t="shared" si="88"/>
        <v>05</v>
      </c>
      <c r="D719" s="235" t="str">
        <f t="shared" si="89"/>
        <v>03-</v>
      </c>
      <c r="E719" s="241" t="s">
        <v>1250</v>
      </c>
      <c r="F719" s="241" t="str">
        <f t="shared" si="90"/>
        <v>-020-218</v>
      </c>
      <c r="G719" s="489" t="s">
        <v>3438</v>
      </c>
      <c r="H719" s="241" t="s">
        <v>567</v>
      </c>
      <c r="I719" s="435" t="s">
        <v>44</v>
      </c>
      <c r="J719" s="438">
        <f>VLOOKUP(H719,'Full Trial Balance'!$A$4:$G$2306,3,FALSE)</f>
        <v>23654</v>
      </c>
      <c r="K719" s="438">
        <f>VLOOKUP(H719,'Full Trial Balance'!$A$4:$G$2306,4,FALSE)</f>
        <v>0</v>
      </c>
      <c r="L719" s="438">
        <f>VLOOKUP(H719,'Full Trial Balance'!$A$4:$G$2306,5,FALSE)</f>
        <v>8519.5499999999993</v>
      </c>
      <c r="M719" s="438">
        <f>VLOOKUP(H719,'Full Trial Balance'!$A$4:$G$2306,6,FALSE)</f>
        <v>628.55999999999995</v>
      </c>
      <c r="N719" s="438">
        <f>VLOOKUP(H719,'Full Trial Balance'!$A$4:$G$2306,7,FALSE)</f>
        <v>7890.99</v>
      </c>
      <c r="O719" s="485">
        <f t="shared" si="91"/>
        <v>0</v>
      </c>
    </row>
    <row r="720" spans="1:15" x14ac:dyDescent="0.25">
      <c r="A720" s="241" t="str">
        <f t="shared" si="86"/>
        <v>03-05</v>
      </c>
      <c r="B720" s="241" t="str">
        <f t="shared" si="87"/>
        <v>03</v>
      </c>
      <c r="C720" s="241" t="str">
        <f t="shared" si="88"/>
        <v>05</v>
      </c>
      <c r="D720" s="235" t="str">
        <f t="shared" si="89"/>
        <v>03-</v>
      </c>
      <c r="E720" s="241" t="s">
        <v>1250</v>
      </c>
      <c r="F720" s="241" t="str">
        <f t="shared" si="90"/>
        <v>-020-220</v>
      </c>
      <c r="G720" s="235" t="str">
        <f>CONCATENATE(D720,E720,F720)</f>
        <v>03-0x-020-220</v>
      </c>
      <c r="H720" s="241" t="s">
        <v>579</v>
      </c>
      <c r="I720" s="435" t="s">
        <v>183</v>
      </c>
      <c r="J720" s="438">
        <f>VLOOKUP(H720,'Full Trial Balance'!$A$4:$G$2306,3,FALSE)</f>
        <v>14092</v>
      </c>
      <c r="K720" s="438">
        <f>VLOOKUP(H720,'Full Trial Balance'!$A$4:$G$2306,4,FALSE)</f>
        <v>0</v>
      </c>
      <c r="L720" s="438">
        <f>VLOOKUP(H720,'Full Trial Balance'!$A$4:$G$2306,5,FALSE)</f>
        <v>0</v>
      </c>
      <c r="M720" s="438">
        <f>VLOOKUP(H720,'Full Trial Balance'!$A$4:$G$2306,6,FALSE)</f>
        <v>0</v>
      </c>
      <c r="N720" s="438">
        <f>VLOOKUP(H720,'Full Trial Balance'!$A$4:$G$2306,7,FALSE)</f>
        <v>0</v>
      </c>
      <c r="O720" s="485">
        <f t="shared" si="91"/>
        <v>0</v>
      </c>
    </row>
    <row r="721" spans="1:15" x14ac:dyDescent="0.25">
      <c r="A721" s="241" t="str">
        <f t="shared" si="86"/>
        <v>03-05</v>
      </c>
      <c r="B721" s="241" t="str">
        <f t="shared" si="87"/>
        <v>03</v>
      </c>
      <c r="C721" s="241" t="str">
        <f t="shared" si="88"/>
        <v>05</v>
      </c>
      <c r="D721" s="235" t="str">
        <f t="shared" si="89"/>
        <v>03-</v>
      </c>
      <c r="E721" s="241" t="s">
        <v>1250</v>
      </c>
      <c r="F721" s="241" t="str">
        <f t="shared" si="90"/>
        <v>-020-222</v>
      </c>
      <c r="G721" s="489" t="s">
        <v>3437</v>
      </c>
      <c r="H721" s="241" t="s">
        <v>2773</v>
      </c>
      <c r="I721" s="435" t="s">
        <v>2254</v>
      </c>
      <c r="J721" s="438">
        <f>VLOOKUP(H721,'Full Trial Balance'!$A$4:$G$2306,3,FALSE)</f>
        <v>0</v>
      </c>
      <c r="K721" s="438">
        <f>VLOOKUP(H721,'Full Trial Balance'!$A$4:$G$2306,4,FALSE)</f>
        <v>0</v>
      </c>
      <c r="L721" s="438">
        <f>VLOOKUP(H721,'Full Trial Balance'!$A$4:$G$2306,5,FALSE)</f>
        <v>617</v>
      </c>
      <c r="M721" s="438">
        <f>VLOOKUP(H721,'Full Trial Balance'!$A$4:$G$2306,6,FALSE)</f>
        <v>0</v>
      </c>
      <c r="N721" s="438">
        <f>VLOOKUP(H721,'Full Trial Balance'!$A$4:$G$2306,7,FALSE)</f>
        <v>617</v>
      </c>
      <c r="O721" s="485">
        <f t="shared" si="91"/>
        <v>0</v>
      </c>
    </row>
    <row r="722" spans="1:15" s="489" customFormat="1" x14ac:dyDescent="0.25">
      <c r="A722" s="241" t="str">
        <f t="shared" si="86"/>
        <v>03-05</v>
      </c>
      <c r="B722" s="241" t="str">
        <f t="shared" si="87"/>
        <v>03</v>
      </c>
      <c r="C722" s="241" t="str">
        <f t="shared" si="88"/>
        <v>05</v>
      </c>
      <c r="D722" s="489" t="str">
        <f t="shared" si="89"/>
        <v>03-</v>
      </c>
      <c r="E722" s="241" t="s">
        <v>1250</v>
      </c>
      <c r="F722" s="241" t="str">
        <f t="shared" si="90"/>
        <v>-020-223</v>
      </c>
      <c r="G722" s="489" t="s">
        <v>3438</v>
      </c>
      <c r="H722" s="241" t="s">
        <v>2774</v>
      </c>
      <c r="I722" s="489" t="s">
        <v>2256</v>
      </c>
      <c r="J722" s="438">
        <f>VLOOKUP(H722,'Full Trial Balance'!$A$4:$G$2306,3,FALSE)</f>
        <v>0</v>
      </c>
      <c r="K722" s="438">
        <f>VLOOKUP(H722,'Full Trial Balance'!$A$4:$G$2306,4,FALSE)</f>
        <v>0</v>
      </c>
      <c r="L722" s="438">
        <f>VLOOKUP(H722,'Full Trial Balance'!$A$4:$G$2306,5,FALSE)</f>
        <v>785.25</v>
      </c>
      <c r="M722" s="438">
        <f>VLOOKUP(H722,'Full Trial Balance'!$A$4:$G$2306,6,FALSE)</f>
        <v>0</v>
      </c>
      <c r="N722" s="438">
        <f>VLOOKUP(H722,'Full Trial Balance'!$A$4:$G$2306,7,FALSE)</f>
        <v>785.25</v>
      </c>
      <c r="O722" s="485">
        <f t="shared" si="91"/>
        <v>0</v>
      </c>
    </row>
    <row r="723" spans="1:15" s="489" customFormat="1" x14ac:dyDescent="0.25">
      <c r="A723" s="241" t="str">
        <f t="shared" si="86"/>
        <v>03-05</v>
      </c>
      <c r="B723" s="241" t="str">
        <f t="shared" si="87"/>
        <v>03</v>
      </c>
      <c r="C723" s="241" t="str">
        <f t="shared" si="88"/>
        <v>05</v>
      </c>
      <c r="D723" s="489" t="str">
        <f t="shared" si="89"/>
        <v>03-</v>
      </c>
      <c r="E723" s="241" t="s">
        <v>1250</v>
      </c>
      <c r="F723" s="241" t="str">
        <f t="shared" si="90"/>
        <v>-033-106</v>
      </c>
      <c r="G723" s="489" t="str">
        <f>CONCATENATE(D723,E723,F723)</f>
        <v>03-0x-033-106</v>
      </c>
      <c r="H723" s="241" t="s">
        <v>2775</v>
      </c>
      <c r="I723" s="489" t="s">
        <v>1161</v>
      </c>
      <c r="J723" s="438">
        <f>VLOOKUP(H723,'Full Trial Balance'!$A$4:$G$2306,3,FALSE)</f>
        <v>204</v>
      </c>
      <c r="K723" s="438">
        <f>VLOOKUP(H723,'Full Trial Balance'!$A$4:$G$2306,4,FALSE)</f>
        <v>0</v>
      </c>
      <c r="L723" s="438">
        <f>VLOOKUP(H723,'Full Trial Balance'!$A$4:$G$2306,5,FALSE)</f>
        <v>0</v>
      </c>
      <c r="M723" s="438">
        <f>VLOOKUP(H723,'Full Trial Balance'!$A$4:$G$2306,6,FALSE)</f>
        <v>0</v>
      </c>
      <c r="N723" s="438">
        <f>VLOOKUP(H723,'Full Trial Balance'!$A$4:$G$2306,7,FALSE)</f>
        <v>0</v>
      </c>
      <c r="O723" s="485">
        <f t="shared" si="91"/>
        <v>0</v>
      </c>
    </row>
    <row r="724" spans="1:15" s="489" customFormat="1" x14ac:dyDescent="0.25">
      <c r="A724" s="241" t="str">
        <f t="shared" si="86"/>
        <v>03-05</v>
      </c>
      <c r="B724" s="241" t="str">
        <f t="shared" si="87"/>
        <v>03</v>
      </c>
      <c r="C724" s="241" t="str">
        <f t="shared" si="88"/>
        <v>05</v>
      </c>
      <c r="D724" s="489" t="str">
        <f t="shared" si="89"/>
        <v>03-</v>
      </c>
      <c r="E724" s="241" t="s">
        <v>1250</v>
      </c>
      <c r="F724" s="241" t="str">
        <f t="shared" si="90"/>
        <v>-035-001</v>
      </c>
      <c r="G724" s="489" t="str">
        <f>CONCATENATE(D724,E724,F724)</f>
        <v>03-0x-035-001</v>
      </c>
      <c r="H724" s="241" t="s">
        <v>581</v>
      </c>
      <c r="I724" s="489" t="s">
        <v>70</v>
      </c>
      <c r="J724" s="438">
        <f>VLOOKUP(H724,'Full Trial Balance'!$A$4:$G$2306,3,FALSE)</f>
        <v>0</v>
      </c>
      <c r="K724" s="438">
        <f>VLOOKUP(H724,'Full Trial Balance'!$A$4:$G$2306,4,FALSE)</f>
        <v>0</v>
      </c>
      <c r="L724" s="438">
        <f>VLOOKUP(H724,'Full Trial Balance'!$A$4:$G$2306,5,FALSE)</f>
        <v>0</v>
      </c>
      <c r="M724" s="438">
        <f>VLOOKUP(H724,'Full Trial Balance'!$A$4:$G$2306,6,FALSE)</f>
        <v>0</v>
      </c>
      <c r="N724" s="438">
        <f>VLOOKUP(H724,'Full Trial Balance'!$A$4:$G$2306,7,FALSE)</f>
        <v>0</v>
      </c>
      <c r="O724" s="485">
        <f t="shared" si="91"/>
        <v>0</v>
      </c>
    </row>
    <row r="725" spans="1:15" s="489" customFormat="1" x14ac:dyDescent="0.25">
      <c r="A725" s="241" t="str">
        <f t="shared" si="86"/>
        <v>03-05</v>
      </c>
      <c r="B725" s="241" t="str">
        <f t="shared" si="87"/>
        <v>03</v>
      </c>
      <c r="C725" s="241" t="str">
        <f t="shared" si="88"/>
        <v>05</v>
      </c>
      <c r="D725" s="489" t="str">
        <f t="shared" si="89"/>
        <v>03-</v>
      </c>
      <c r="E725" s="241" t="s">
        <v>1250</v>
      </c>
      <c r="F725" s="241" t="str">
        <f t="shared" si="90"/>
        <v>-035-003</v>
      </c>
      <c r="G725" s="489" t="s">
        <v>1455</v>
      </c>
      <c r="H725" s="241" t="s">
        <v>578</v>
      </c>
      <c r="I725" s="489" t="s">
        <v>48</v>
      </c>
      <c r="J725" s="438">
        <f>VLOOKUP(H725,'Full Trial Balance'!$A$4:$G$2306,3,FALSE)</f>
        <v>0</v>
      </c>
      <c r="K725" s="438">
        <f>VLOOKUP(H725,'Full Trial Balance'!$A$4:$G$2306,4,FALSE)</f>
        <v>0</v>
      </c>
      <c r="L725" s="438">
        <f>VLOOKUP(H725,'Full Trial Balance'!$A$4:$G$2306,5,FALSE)</f>
        <v>0</v>
      </c>
      <c r="M725" s="438">
        <f>VLOOKUP(H725,'Full Trial Balance'!$A$4:$G$2306,6,FALSE)</f>
        <v>0</v>
      </c>
      <c r="N725" s="438">
        <f>VLOOKUP(H725,'Full Trial Balance'!$A$4:$G$2306,7,FALSE)</f>
        <v>0</v>
      </c>
      <c r="O725" s="485">
        <f t="shared" si="91"/>
        <v>0</v>
      </c>
    </row>
    <row r="726" spans="1:15" s="489" customFormat="1" x14ac:dyDescent="0.25">
      <c r="A726" s="241" t="str">
        <f t="shared" si="86"/>
        <v>03-05</v>
      </c>
      <c r="B726" s="241" t="str">
        <f t="shared" si="87"/>
        <v>03</v>
      </c>
      <c r="C726" s="241" t="str">
        <f t="shared" si="88"/>
        <v>05</v>
      </c>
      <c r="D726" s="489" t="str">
        <f t="shared" si="89"/>
        <v>03-</v>
      </c>
      <c r="E726" s="241" t="s">
        <v>1250</v>
      </c>
      <c r="F726" s="241" t="str">
        <f t="shared" si="90"/>
        <v>-040-025</v>
      </c>
      <c r="G726" s="489" t="str">
        <f>CONCATENATE(D726,E726,F726)</f>
        <v>03-0x-040-025</v>
      </c>
      <c r="H726" s="241" t="s">
        <v>577</v>
      </c>
      <c r="I726" s="489" t="s">
        <v>54</v>
      </c>
      <c r="J726" s="438">
        <f>VLOOKUP(H726,'Full Trial Balance'!$A$4:$G$2306,3,FALSE)</f>
        <v>382.5</v>
      </c>
      <c r="K726" s="438">
        <f>VLOOKUP(H726,'Full Trial Balance'!$A$4:$G$2306,4,FALSE)</f>
        <v>0</v>
      </c>
      <c r="L726" s="438">
        <f>VLOOKUP(H726,'Full Trial Balance'!$A$4:$G$2306,5,FALSE)</f>
        <v>0</v>
      </c>
      <c r="M726" s="438">
        <f>VLOOKUP(H726,'Full Trial Balance'!$A$4:$G$2306,6,FALSE)</f>
        <v>0</v>
      </c>
      <c r="N726" s="438">
        <f>VLOOKUP(H726,'Full Trial Balance'!$A$4:$G$2306,7,FALSE)</f>
        <v>0</v>
      </c>
      <c r="O726" s="485">
        <f t="shared" si="91"/>
        <v>0</v>
      </c>
    </row>
    <row r="727" spans="1:15" s="489" customFormat="1" x14ac:dyDescent="0.25">
      <c r="A727" s="241" t="str">
        <f t="shared" si="86"/>
        <v>03-05</v>
      </c>
      <c r="B727" s="241" t="str">
        <f t="shared" si="87"/>
        <v>03</v>
      </c>
      <c r="C727" s="241" t="str">
        <f t="shared" si="88"/>
        <v>05</v>
      </c>
      <c r="D727" s="489" t="str">
        <f t="shared" si="89"/>
        <v>03-</v>
      </c>
      <c r="E727" s="241" t="s">
        <v>1250</v>
      </c>
      <c r="F727" s="241" t="str">
        <f t="shared" si="90"/>
        <v>-040-026</v>
      </c>
      <c r="G727" s="489" t="str">
        <f>CONCATENATE(D727,E727,F727)</f>
        <v>03-0x-040-026</v>
      </c>
      <c r="H727" s="241" t="s">
        <v>1195</v>
      </c>
      <c r="I727" s="489" t="s">
        <v>1176</v>
      </c>
      <c r="J727" s="438">
        <f>VLOOKUP(H727,'Full Trial Balance'!$A$4:$G$2306,3,FALSE)</f>
        <v>0</v>
      </c>
      <c r="K727" s="438">
        <f>VLOOKUP(H727,'Full Trial Balance'!$A$4:$G$2306,4,FALSE)</f>
        <v>0</v>
      </c>
      <c r="L727" s="438">
        <f>VLOOKUP(H727,'Full Trial Balance'!$A$4:$G$2306,5,FALSE)</f>
        <v>0</v>
      </c>
      <c r="M727" s="438">
        <f>VLOOKUP(H727,'Full Trial Balance'!$A$4:$G$2306,6,FALSE)</f>
        <v>0</v>
      </c>
      <c r="N727" s="438">
        <f>VLOOKUP(H727,'Full Trial Balance'!$A$4:$G$2306,7,FALSE)</f>
        <v>0</v>
      </c>
      <c r="O727" s="485">
        <f t="shared" si="91"/>
        <v>0</v>
      </c>
    </row>
    <row r="728" spans="1:15" s="489" customFormat="1" x14ac:dyDescent="0.25">
      <c r="A728" s="241" t="str">
        <f t="shared" si="86"/>
        <v>03-05</v>
      </c>
      <c r="B728" s="241" t="str">
        <f t="shared" si="87"/>
        <v>03</v>
      </c>
      <c r="C728" s="241" t="str">
        <f t="shared" si="88"/>
        <v>05</v>
      </c>
      <c r="D728" s="489" t="str">
        <f t="shared" si="89"/>
        <v>03-</v>
      </c>
      <c r="E728" s="241" t="s">
        <v>1250</v>
      </c>
      <c r="F728" s="241" t="str">
        <f t="shared" si="90"/>
        <v>-040-027</v>
      </c>
      <c r="G728" s="226" t="s">
        <v>1377</v>
      </c>
      <c r="H728" s="241" t="s">
        <v>570</v>
      </c>
      <c r="I728" s="489" t="s">
        <v>152</v>
      </c>
      <c r="J728" s="438">
        <f>VLOOKUP(H728,'Full Trial Balance'!$A$4:$G$2306,3,FALSE)</f>
        <v>102000</v>
      </c>
      <c r="K728" s="438">
        <f>VLOOKUP(H728,'Full Trial Balance'!$A$4:$G$2306,4,FALSE)</f>
        <v>0</v>
      </c>
      <c r="L728" s="438">
        <f>VLOOKUP(H728,'Full Trial Balance'!$A$4:$G$2306,5,FALSE)</f>
        <v>5981.97</v>
      </c>
      <c r="M728" s="438">
        <f>VLOOKUP(H728,'Full Trial Balance'!$A$4:$G$2306,6,FALSE)</f>
        <v>0</v>
      </c>
      <c r="N728" s="438">
        <f>VLOOKUP(H728,'Full Trial Balance'!$A$4:$G$2306,7,FALSE)</f>
        <v>5981.97</v>
      </c>
      <c r="O728" s="485">
        <f t="shared" si="91"/>
        <v>0</v>
      </c>
    </row>
    <row r="729" spans="1:15" s="489" customFormat="1" x14ac:dyDescent="0.25">
      <c r="A729" s="241" t="str">
        <f t="shared" si="86"/>
        <v>03-05</v>
      </c>
      <c r="B729" s="241" t="str">
        <f t="shared" si="87"/>
        <v>03</v>
      </c>
      <c r="C729" s="241" t="str">
        <f t="shared" si="88"/>
        <v>05</v>
      </c>
      <c r="D729" s="489" t="str">
        <f t="shared" si="89"/>
        <v>03-</v>
      </c>
      <c r="E729" s="241" t="s">
        <v>1250</v>
      </c>
      <c r="F729" s="241" t="str">
        <f t="shared" si="90"/>
        <v>-040-030</v>
      </c>
      <c r="G729" s="489" t="str">
        <f>H729</f>
        <v>03-05-040-030</v>
      </c>
      <c r="H729" s="241" t="s">
        <v>571</v>
      </c>
      <c r="I729" s="489" t="s">
        <v>1177</v>
      </c>
      <c r="J729" s="438">
        <f>VLOOKUP(H729,'Full Trial Balance'!$A$4:$G$2306,3,FALSE)</f>
        <v>51000</v>
      </c>
      <c r="K729" s="438">
        <f>VLOOKUP(H729,'Full Trial Balance'!$A$4:$G$2306,4,FALSE)</f>
        <v>0</v>
      </c>
      <c r="L729" s="438">
        <f>VLOOKUP(H729,'Full Trial Balance'!$A$4:$G$2306,5,FALSE)</f>
        <v>165101.35999999999</v>
      </c>
      <c r="M729" s="438">
        <f>VLOOKUP(H729,'Full Trial Balance'!$A$4:$G$2306,6,FALSE)</f>
        <v>1471.5</v>
      </c>
      <c r="N729" s="438">
        <f>VLOOKUP(H729,'Full Trial Balance'!$A$4:$G$2306,7,FALSE)</f>
        <v>163629.85999999999</v>
      </c>
      <c r="O729" s="485">
        <f t="shared" si="91"/>
        <v>0</v>
      </c>
    </row>
    <row r="730" spans="1:15" s="489" customFormat="1" x14ac:dyDescent="0.25">
      <c r="A730" s="241" t="str">
        <f t="shared" si="86"/>
        <v>04-05</v>
      </c>
      <c r="B730" s="241" t="str">
        <f t="shared" si="87"/>
        <v>04</v>
      </c>
      <c r="C730" s="241" t="str">
        <f t="shared" si="88"/>
        <v>05</v>
      </c>
      <c r="D730" s="489" t="str">
        <f t="shared" si="89"/>
        <v>04-</v>
      </c>
      <c r="E730" s="241" t="s">
        <v>1250</v>
      </c>
      <c r="F730" s="241" t="str">
        <f t="shared" si="90"/>
        <v>-010-000</v>
      </c>
      <c r="G730" s="489" t="str">
        <f t="shared" ref="G730:G744" si="92">CONCATENATE(D730,E730,F730)</f>
        <v>04-0x-010-000</v>
      </c>
      <c r="H730" s="241" t="s">
        <v>608</v>
      </c>
      <c r="I730" s="489" t="s">
        <v>150</v>
      </c>
      <c r="J730" s="438">
        <f>VLOOKUP(H730,'Full Trial Balance'!$A$4:$G$2306,3,FALSE)</f>
        <v>68283</v>
      </c>
      <c r="K730" s="438">
        <f>VLOOKUP(H730,'Full Trial Balance'!$A$4:$G$2306,4,FALSE)</f>
        <v>0</v>
      </c>
      <c r="L730" s="438">
        <f>VLOOKUP(H730,'Full Trial Balance'!$A$4:$G$2306,5,FALSE)</f>
        <v>27143.54</v>
      </c>
      <c r="M730" s="438">
        <f>VLOOKUP(H730,'Full Trial Balance'!$A$4:$G$2306,6,FALSE)</f>
        <v>1956.22</v>
      </c>
      <c r="N730" s="438">
        <f>VLOOKUP(H730,'Full Trial Balance'!$A$4:$G$2306,7,FALSE)</f>
        <v>25187.32</v>
      </c>
      <c r="O730" s="485">
        <f t="shared" si="91"/>
        <v>0</v>
      </c>
    </row>
    <row r="731" spans="1:15" s="489" customFormat="1" x14ac:dyDescent="0.25">
      <c r="A731" s="241" t="str">
        <f t="shared" si="86"/>
        <v>04-05</v>
      </c>
      <c r="B731" s="241" t="str">
        <f t="shared" si="87"/>
        <v>04</v>
      </c>
      <c r="C731" s="241" t="str">
        <f t="shared" si="88"/>
        <v>05</v>
      </c>
      <c r="D731" s="489" t="str">
        <f t="shared" si="89"/>
        <v>04-</v>
      </c>
      <c r="E731" s="241" t="s">
        <v>1250</v>
      </c>
      <c r="F731" s="241" t="str">
        <f t="shared" si="90"/>
        <v>-010-005</v>
      </c>
      <c r="G731" s="489" t="str">
        <f t="shared" si="92"/>
        <v>04-0x-010-005</v>
      </c>
      <c r="H731" s="241" t="s">
        <v>609</v>
      </c>
      <c r="I731" s="489" t="s">
        <v>667</v>
      </c>
      <c r="J731" s="438">
        <f>VLOOKUP(H731,'Full Trial Balance'!$A$4:$G$2306,3,FALSE)</f>
        <v>-39967.4</v>
      </c>
      <c r="K731" s="438">
        <f>VLOOKUP(H731,'Full Trial Balance'!$A$4:$G$2306,4,FALSE)</f>
        <v>0</v>
      </c>
      <c r="L731" s="438">
        <f>VLOOKUP(H731,'Full Trial Balance'!$A$4:$G$2306,5,FALSE)</f>
        <v>0</v>
      </c>
      <c r="M731" s="438">
        <f>VLOOKUP(H731,'Full Trial Balance'!$A$4:$G$2306,6,FALSE)</f>
        <v>5322.85</v>
      </c>
      <c r="N731" s="438">
        <f>VLOOKUP(H731,'Full Trial Balance'!$A$4:$G$2306,7,FALSE)</f>
        <v>-5322.85</v>
      </c>
      <c r="O731" s="485">
        <f t="shared" si="91"/>
        <v>0</v>
      </c>
    </row>
    <row r="732" spans="1:15" s="489" customFormat="1" x14ac:dyDescent="0.25">
      <c r="A732" s="241" t="str">
        <f t="shared" si="86"/>
        <v>04-05</v>
      </c>
      <c r="B732" s="241" t="str">
        <f t="shared" si="87"/>
        <v>04</v>
      </c>
      <c r="C732" s="241" t="str">
        <f t="shared" si="88"/>
        <v>05</v>
      </c>
      <c r="D732" s="489" t="str">
        <f t="shared" si="89"/>
        <v>04-</v>
      </c>
      <c r="E732" s="241" t="s">
        <v>1250</v>
      </c>
      <c r="F732" s="241" t="str">
        <f t="shared" si="90"/>
        <v>-015-000</v>
      </c>
      <c r="G732" s="489" t="str">
        <f t="shared" si="92"/>
        <v>04-0x-015-000</v>
      </c>
      <c r="H732" s="241" t="s">
        <v>603</v>
      </c>
      <c r="I732" s="489" t="s">
        <v>37</v>
      </c>
      <c r="J732" s="438">
        <f>VLOOKUP(H732,'Full Trial Balance'!$A$4:$G$2306,3,FALSE)</f>
        <v>349</v>
      </c>
      <c r="K732" s="438">
        <f>VLOOKUP(H732,'Full Trial Balance'!$A$4:$G$2306,4,FALSE)</f>
        <v>0</v>
      </c>
      <c r="L732" s="438">
        <f>VLOOKUP(H732,'Full Trial Balance'!$A$4:$G$2306,5,FALSE)</f>
        <v>0</v>
      </c>
      <c r="M732" s="438">
        <f>VLOOKUP(H732,'Full Trial Balance'!$A$4:$G$2306,6,FALSE)</f>
        <v>0</v>
      </c>
      <c r="N732" s="438">
        <f>VLOOKUP(H732,'Full Trial Balance'!$A$4:$G$2306,7,FALSE)</f>
        <v>0</v>
      </c>
      <c r="O732" s="485">
        <f t="shared" si="91"/>
        <v>0</v>
      </c>
    </row>
    <row r="733" spans="1:15" s="489" customFormat="1" x14ac:dyDescent="0.25">
      <c r="A733" s="241" t="str">
        <f t="shared" si="86"/>
        <v>04-05</v>
      </c>
      <c r="B733" s="241" t="str">
        <f t="shared" si="87"/>
        <v>04</v>
      </c>
      <c r="C733" s="241" t="str">
        <f t="shared" si="88"/>
        <v>05</v>
      </c>
      <c r="D733" s="489" t="str">
        <f t="shared" si="89"/>
        <v>04-</v>
      </c>
      <c r="E733" s="241" t="s">
        <v>1250</v>
      </c>
      <c r="F733" s="241" t="str">
        <f t="shared" si="90"/>
        <v>-020-202</v>
      </c>
      <c r="G733" s="489" t="str">
        <f t="shared" si="92"/>
        <v>04-0x-020-202</v>
      </c>
      <c r="H733" s="241" t="s">
        <v>597</v>
      </c>
      <c r="I733" s="489" t="s">
        <v>153</v>
      </c>
      <c r="J733" s="438">
        <f>VLOOKUP(H733,'Full Trial Balance'!$A$4:$G$2306,3,FALSE)</f>
        <v>3881</v>
      </c>
      <c r="K733" s="438">
        <f>VLOOKUP(H733,'Full Trial Balance'!$A$4:$G$2306,4,FALSE)</f>
        <v>0</v>
      </c>
      <c r="L733" s="438">
        <f>VLOOKUP(H733,'Full Trial Balance'!$A$4:$G$2306,5,FALSE)</f>
        <v>1423.51</v>
      </c>
      <c r="M733" s="438">
        <f>VLOOKUP(H733,'Full Trial Balance'!$A$4:$G$2306,6,FALSE)</f>
        <v>113.08</v>
      </c>
      <c r="N733" s="438">
        <f>VLOOKUP(H733,'Full Trial Balance'!$A$4:$G$2306,7,FALSE)</f>
        <v>1310.43</v>
      </c>
      <c r="O733" s="485">
        <f t="shared" si="91"/>
        <v>0</v>
      </c>
    </row>
    <row r="734" spans="1:15" s="489" customFormat="1" x14ac:dyDescent="0.25">
      <c r="A734" s="241" t="str">
        <f t="shared" si="86"/>
        <v>04-05</v>
      </c>
      <c r="B734" s="241" t="str">
        <f t="shared" si="87"/>
        <v>04</v>
      </c>
      <c r="C734" s="241" t="str">
        <f t="shared" si="88"/>
        <v>05</v>
      </c>
      <c r="D734" s="489" t="str">
        <f t="shared" si="89"/>
        <v>04-</v>
      </c>
      <c r="E734" s="241" t="s">
        <v>1250</v>
      </c>
      <c r="F734" s="241" t="str">
        <f t="shared" si="90"/>
        <v>-020-203</v>
      </c>
      <c r="G734" s="489" t="str">
        <f t="shared" si="92"/>
        <v>04-0x-020-203</v>
      </c>
      <c r="H734" s="241" t="s">
        <v>596</v>
      </c>
      <c r="I734" s="489" t="s">
        <v>154</v>
      </c>
      <c r="J734" s="438">
        <f>VLOOKUP(H734,'Full Trial Balance'!$A$4:$G$2306,3,FALSE)</f>
        <v>995</v>
      </c>
      <c r="K734" s="438">
        <f>VLOOKUP(H734,'Full Trial Balance'!$A$4:$G$2306,4,FALSE)</f>
        <v>0</v>
      </c>
      <c r="L734" s="438">
        <f>VLOOKUP(H734,'Full Trial Balance'!$A$4:$G$2306,5,FALSE)</f>
        <v>386.09</v>
      </c>
      <c r="M734" s="438">
        <f>VLOOKUP(H734,'Full Trial Balance'!$A$4:$G$2306,6,FALSE)</f>
        <v>26.46</v>
      </c>
      <c r="N734" s="438">
        <f>VLOOKUP(H734,'Full Trial Balance'!$A$4:$G$2306,7,FALSE)</f>
        <v>359.63</v>
      </c>
      <c r="O734" s="485">
        <f t="shared" si="91"/>
        <v>0</v>
      </c>
    </row>
    <row r="735" spans="1:15" s="489" customFormat="1" x14ac:dyDescent="0.25">
      <c r="A735" s="241" t="str">
        <f t="shared" si="86"/>
        <v>04-05</v>
      </c>
      <c r="B735" s="241" t="str">
        <f t="shared" si="87"/>
        <v>04</v>
      </c>
      <c r="C735" s="241" t="str">
        <f t="shared" si="88"/>
        <v>05</v>
      </c>
      <c r="D735" s="489" t="str">
        <f t="shared" si="89"/>
        <v>04-</v>
      </c>
      <c r="E735" s="241" t="s">
        <v>1250</v>
      </c>
      <c r="F735" s="241" t="str">
        <f t="shared" si="90"/>
        <v>-020-204</v>
      </c>
      <c r="G735" s="489" t="str">
        <f t="shared" si="92"/>
        <v>04-0x-020-204</v>
      </c>
      <c r="H735" s="241" t="s">
        <v>599</v>
      </c>
      <c r="I735" s="489" t="s">
        <v>38</v>
      </c>
      <c r="J735" s="438">
        <f>VLOOKUP(H735,'Full Trial Balance'!$A$4:$G$2306,3,FALSE)</f>
        <v>13244</v>
      </c>
      <c r="K735" s="438">
        <f>VLOOKUP(H735,'Full Trial Balance'!$A$4:$G$2306,4,FALSE)</f>
        <v>0</v>
      </c>
      <c r="L735" s="438">
        <f>VLOOKUP(H735,'Full Trial Balance'!$A$4:$G$2306,5,FALSE)</f>
        <v>5256.23</v>
      </c>
      <c r="M735" s="438">
        <f>VLOOKUP(H735,'Full Trial Balance'!$A$4:$G$2306,6,FALSE)</f>
        <v>0</v>
      </c>
      <c r="N735" s="438">
        <f>VLOOKUP(H735,'Full Trial Balance'!$A$4:$G$2306,7,FALSE)</f>
        <v>5256.23</v>
      </c>
      <c r="O735" s="485">
        <f t="shared" si="91"/>
        <v>0</v>
      </c>
    </row>
    <row r="736" spans="1:15" s="489" customFormat="1" x14ac:dyDescent="0.25">
      <c r="A736" s="241" t="str">
        <f t="shared" si="86"/>
        <v>04-05</v>
      </c>
      <c r="B736" s="241" t="str">
        <f t="shared" si="87"/>
        <v>04</v>
      </c>
      <c r="C736" s="241" t="str">
        <f t="shared" si="88"/>
        <v>05</v>
      </c>
      <c r="D736" s="489" t="str">
        <f t="shared" si="89"/>
        <v>04-</v>
      </c>
      <c r="E736" s="241" t="s">
        <v>1250</v>
      </c>
      <c r="F736" s="241" t="str">
        <f t="shared" si="90"/>
        <v>-020-205</v>
      </c>
      <c r="G736" s="489" t="str">
        <f t="shared" si="92"/>
        <v>04-0x-020-205</v>
      </c>
      <c r="H736" s="241" t="s">
        <v>591</v>
      </c>
      <c r="I736" s="489" t="s">
        <v>77</v>
      </c>
      <c r="J736" s="438">
        <f>VLOOKUP(H736,'Full Trial Balance'!$A$4:$G$2306,3,FALSE)</f>
        <v>800.25</v>
      </c>
      <c r="K736" s="438">
        <f>VLOOKUP(H736,'Full Trial Balance'!$A$4:$G$2306,4,FALSE)</f>
        <v>0</v>
      </c>
      <c r="L736" s="438">
        <f>VLOOKUP(H736,'Full Trial Balance'!$A$4:$G$2306,5,FALSE)</f>
        <v>308.43</v>
      </c>
      <c r="M736" s="438">
        <f>VLOOKUP(H736,'Full Trial Balance'!$A$4:$G$2306,6,FALSE)</f>
        <v>0</v>
      </c>
      <c r="N736" s="438">
        <f>VLOOKUP(H736,'Full Trial Balance'!$A$4:$G$2306,7,FALSE)</f>
        <v>308.43</v>
      </c>
      <c r="O736" s="485">
        <f t="shared" si="91"/>
        <v>0</v>
      </c>
    </row>
    <row r="737" spans="1:15" s="489" customFormat="1" x14ac:dyDescent="0.25">
      <c r="A737" s="241" t="str">
        <f t="shared" si="86"/>
        <v>04-05</v>
      </c>
      <c r="B737" s="241" t="str">
        <f t="shared" si="87"/>
        <v>04</v>
      </c>
      <c r="C737" s="241" t="str">
        <f t="shared" si="88"/>
        <v>05</v>
      </c>
      <c r="D737" s="489" t="str">
        <f t="shared" si="89"/>
        <v>04-</v>
      </c>
      <c r="E737" s="241" t="s">
        <v>1250</v>
      </c>
      <c r="F737" s="241" t="str">
        <f t="shared" si="90"/>
        <v>-020-206</v>
      </c>
      <c r="G737" s="489" t="str">
        <f t="shared" si="92"/>
        <v>04-0x-020-206</v>
      </c>
      <c r="H737" s="241" t="s">
        <v>607</v>
      </c>
      <c r="I737" s="489" t="s">
        <v>78</v>
      </c>
      <c r="J737" s="438">
        <f>VLOOKUP(H737,'Full Trial Balance'!$A$4:$G$2306,3,FALSE)</f>
        <v>131</v>
      </c>
      <c r="K737" s="438">
        <f>VLOOKUP(H737,'Full Trial Balance'!$A$4:$G$2306,4,FALSE)</f>
        <v>0</v>
      </c>
      <c r="L737" s="438">
        <f>VLOOKUP(H737,'Full Trial Balance'!$A$4:$G$2306,5,FALSE)</f>
        <v>58.75</v>
      </c>
      <c r="M737" s="438">
        <f>VLOOKUP(H737,'Full Trial Balance'!$A$4:$G$2306,6,FALSE)</f>
        <v>0</v>
      </c>
      <c r="N737" s="438">
        <f>VLOOKUP(H737,'Full Trial Balance'!$A$4:$G$2306,7,FALSE)</f>
        <v>58.75</v>
      </c>
      <c r="O737" s="485">
        <f t="shared" si="91"/>
        <v>0</v>
      </c>
    </row>
    <row r="738" spans="1:15" s="489" customFormat="1" x14ac:dyDescent="0.25">
      <c r="A738" s="241" t="str">
        <f t="shared" si="86"/>
        <v>04-05</v>
      </c>
      <c r="B738" s="241" t="str">
        <f t="shared" si="87"/>
        <v>04</v>
      </c>
      <c r="C738" s="241" t="str">
        <f t="shared" si="88"/>
        <v>05</v>
      </c>
      <c r="D738" s="489" t="str">
        <f t="shared" si="89"/>
        <v>04-</v>
      </c>
      <c r="E738" s="241" t="s">
        <v>1250</v>
      </c>
      <c r="F738" s="241" t="str">
        <f t="shared" si="90"/>
        <v>-020-208</v>
      </c>
      <c r="G738" s="489" t="str">
        <f t="shared" si="92"/>
        <v>04-0x-020-208</v>
      </c>
      <c r="H738" s="241" t="s">
        <v>610</v>
      </c>
      <c r="I738" s="489" t="s">
        <v>893</v>
      </c>
      <c r="J738" s="438">
        <f>VLOOKUP(H738,'Full Trial Balance'!$A$4:$G$2306,3,FALSE)</f>
        <v>647.79</v>
      </c>
      <c r="K738" s="438">
        <f>VLOOKUP(H738,'Full Trial Balance'!$A$4:$G$2306,4,FALSE)</f>
        <v>0</v>
      </c>
      <c r="L738" s="438">
        <f>VLOOKUP(H738,'Full Trial Balance'!$A$4:$G$2306,5,FALSE)</f>
        <v>265.13</v>
      </c>
      <c r="M738" s="438">
        <f>VLOOKUP(H738,'Full Trial Balance'!$A$4:$G$2306,6,FALSE)</f>
        <v>14.66</v>
      </c>
      <c r="N738" s="438">
        <f>VLOOKUP(H738,'Full Trial Balance'!$A$4:$G$2306,7,FALSE)</f>
        <v>250.47</v>
      </c>
      <c r="O738" s="485">
        <f t="shared" si="91"/>
        <v>0</v>
      </c>
    </row>
    <row r="739" spans="1:15" s="489" customFormat="1" x14ac:dyDescent="0.25">
      <c r="A739" s="241" t="str">
        <f t="shared" si="86"/>
        <v>04-05</v>
      </c>
      <c r="B739" s="241" t="str">
        <f t="shared" si="87"/>
        <v>04</v>
      </c>
      <c r="C739" s="241" t="str">
        <f t="shared" si="88"/>
        <v>05</v>
      </c>
      <c r="D739" s="489" t="str">
        <f t="shared" si="89"/>
        <v>04-</v>
      </c>
      <c r="E739" s="241" t="s">
        <v>1250</v>
      </c>
      <c r="F739" s="241" t="str">
        <f t="shared" si="90"/>
        <v>-020-209</v>
      </c>
      <c r="G739" s="489" t="str">
        <f t="shared" si="92"/>
        <v>04-0x-020-209</v>
      </c>
      <c r="H739" s="241" t="s">
        <v>598</v>
      </c>
      <c r="I739" s="489" t="s">
        <v>39</v>
      </c>
      <c r="J739" s="438">
        <f>VLOOKUP(H739,'Full Trial Balance'!$A$4:$G$2306,3,FALSE)</f>
        <v>255</v>
      </c>
      <c r="K739" s="438">
        <f>VLOOKUP(H739,'Full Trial Balance'!$A$4:$G$2306,4,FALSE)</f>
        <v>0</v>
      </c>
      <c r="L739" s="438">
        <f>VLOOKUP(H739,'Full Trial Balance'!$A$4:$G$2306,5,FALSE)</f>
        <v>186.52</v>
      </c>
      <c r="M739" s="438">
        <f>VLOOKUP(H739,'Full Trial Balance'!$A$4:$G$2306,6,FALSE)</f>
        <v>57</v>
      </c>
      <c r="N739" s="438">
        <f>VLOOKUP(H739,'Full Trial Balance'!$A$4:$G$2306,7,FALSE)</f>
        <v>129.52000000000001</v>
      </c>
      <c r="O739" s="485">
        <f t="shared" si="91"/>
        <v>0</v>
      </c>
    </row>
    <row r="740" spans="1:15" s="489" customFormat="1" x14ac:dyDescent="0.25">
      <c r="A740" s="241" t="str">
        <f t="shared" si="86"/>
        <v>04-05</v>
      </c>
      <c r="B740" s="241" t="str">
        <f t="shared" si="87"/>
        <v>04</v>
      </c>
      <c r="C740" s="241" t="str">
        <f t="shared" si="88"/>
        <v>05</v>
      </c>
      <c r="D740" s="489" t="str">
        <f t="shared" si="89"/>
        <v>04-</v>
      </c>
      <c r="E740" s="241" t="s">
        <v>1250</v>
      </c>
      <c r="F740" s="241" t="str">
        <f t="shared" si="90"/>
        <v>-020-210</v>
      </c>
      <c r="G740" s="489" t="str">
        <f t="shared" si="92"/>
        <v>04-0x-020-210</v>
      </c>
      <c r="H740" s="241" t="s">
        <v>606</v>
      </c>
      <c r="I740" s="489" t="s">
        <v>64</v>
      </c>
      <c r="J740" s="438">
        <f>VLOOKUP(H740,'Full Trial Balance'!$A$4:$G$2306,3,FALSE)</f>
        <v>0</v>
      </c>
      <c r="K740" s="438">
        <f>VLOOKUP(H740,'Full Trial Balance'!$A$4:$G$2306,4,FALSE)</f>
        <v>0</v>
      </c>
      <c r="L740" s="438">
        <f>VLOOKUP(H740,'Full Trial Balance'!$A$4:$G$2306,5,FALSE)</f>
        <v>0</v>
      </c>
      <c r="M740" s="438">
        <f>VLOOKUP(H740,'Full Trial Balance'!$A$4:$G$2306,6,FALSE)</f>
        <v>0</v>
      </c>
      <c r="N740" s="438">
        <f>VLOOKUP(H740,'Full Trial Balance'!$A$4:$G$2306,7,FALSE)</f>
        <v>0</v>
      </c>
      <c r="O740" s="485">
        <f t="shared" si="91"/>
        <v>0</v>
      </c>
    </row>
    <row r="741" spans="1:15" s="489" customFormat="1" x14ac:dyDescent="0.25">
      <c r="A741" s="241" t="str">
        <f t="shared" si="86"/>
        <v>04-05</v>
      </c>
      <c r="B741" s="241" t="str">
        <f t="shared" si="87"/>
        <v>04</v>
      </c>
      <c r="C741" s="241" t="str">
        <f t="shared" si="88"/>
        <v>05</v>
      </c>
      <c r="D741" s="489" t="str">
        <f t="shared" si="89"/>
        <v>04-</v>
      </c>
      <c r="E741" s="241" t="s">
        <v>1250</v>
      </c>
      <c r="F741" s="241" t="str">
        <f t="shared" si="90"/>
        <v>-020-211</v>
      </c>
      <c r="G741" s="489" t="str">
        <f t="shared" si="92"/>
        <v>04-0x-020-211</v>
      </c>
      <c r="H741" s="241" t="s">
        <v>588</v>
      </c>
      <c r="I741" s="489" t="s">
        <v>65</v>
      </c>
      <c r="J741" s="438">
        <f>VLOOKUP(H741,'Full Trial Balance'!$A$4:$G$2306,3,FALSE)</f>
        <v>88</v>
      </c>
      <c r="K741" s="438">
        <f>VLOOKUP(H741,'Full Trial Balance'!$A$4:$G$2306,4,FALSE)</f>
        <v>0</v>
      </c>
      <c r="L741" s="438">
        <f>VLOOKUP(H741,'Full Trial Balance'!$A$4:$G$2306,5,FALSE)</f>
        <v>15.08</v>
      </c>
      <c r="M741" s="438">
        <f>VLOOKUP(H741,'Full Trial Balance'!$A$4:$G$2306,6,FALSE)</f>
        <v>0</v>
      </c>
      <c r="N741" s="438">
        <f>VLOOKUP(H741,'Full Trial Balance'!$A$4:$G$2306,7,FALSE)</f>
        <v>15.08</v>
      </c>
      <c r="O741" s="485">
        <f t="shared" si="91"/>
        <v>0</v>
      </c>
    </row>
    <row r="742" spans="1:15" s="489" customFormat="1" x14ac:dyDescent="0.25">
      <c r="A742" s="241" t="str">
        <f t="shared" si="86"/>
        <v>04-05</v>
      </c>
      <c r="B742" s="241" t="str">
        <f t="shared" si="87"/>
        <v>04</v>
      </c>
      <c r="C742" s="241" t="str">
        <f t="shared" si="88"/>
        <v>05</v>
      </c>
      <c r="D742" s="489" t="str">
        <f t="shared" si="89"/>
        <v>04-</v>
      </c>
      <c r="E742" s="241" t="s">
        <v>1250</v>
      </c>
      <c r="F742" s="241" t="str">
        <f t="shared" si="90"/>
        <v>-020-212</v>
      </c>
      <c r="G742" s="489" t="str">
        <f t="shared" si="92"/>
        <v>04-0x-020-212</v>
      </c>
      <c r="H742" s="241" t="s">
        <v>605</v>
      </c>
      <c r="I742" s="489" t="s">
        <v>40</v>
      </c>
      <c r="J742" s="438">
        <f>VLOOKUP(H742,'Full Trial Balance'!$A$4:$G$2306,3,FALSE)</f>
        <v>243</v>
      </c>
      <c r="K742" s="438">
        <f>VLOOKUP(H742,'Full Trial Balance'!$A$4:$G$2306,4,FALSE)</f>
        <v>0</v>
      </c>
      <c r="L742" s="438">
        <f>VLOOKUP(H742,'Full Trial Balance'!$A$4:$G$2306,5,FALSE)</f>
        <v>39.26</v>
      </c>
      <c r="M742" s="438">
        <f>VLOOKUP(H742,'Full Trial Balance'!$A$4:$G$2306,6,FALSE)</f>
        <v>1.6</v>
      </c>
      <c r="N742" s="438">
        <f>VLOOKUP(H742,'Full Trial Balance'!$A$4:$G$2306,7,FALSE)</f>
        <v>37.659999999999997</v>
      </c>
      <c r="O742" s="485">
        <f t="shared" si="91"/>
        <v>0</v>
      </c>
    </row>
    <row r="743" spans="1:15" s="489" customFormat="1" x14ac:dyDescent="0.25">
      <c r="A743" s="241" t="str">
        <f t="shared" si="86"/>
        <v>04-05</v>
      </c>
      <c r="B743" s="241" t="str">
        <f t="shared" si="87"/>
        <v>04</v>
      </c>
      <c r="C743" s="241" t="str">
        <f t="shared" si="88"/>
        <v>05</v>
      </c>
      <c r="D743" s="489" t="str">
        <f t="shared" si="89"/>
        <v>04-</v>
      </c>
      <c r="E743" s="241" t="s">
        <v>1250</v>
      </c>
      <c r="F743" s="241" t="str">
        <f t="shared" si="90"/>
        <v>-020-213</v>
      </c>
      <c r="G743" s="489" t="str">
        <f t="shared" si="92"/>
        <v>04-0x-020-213</v>
      </c>
      <c r="H743" s="241" t="s">
        <v>595</v>
      </c>
      <c r="I743" s="489" t="s">
        <v>41</v>
      </c>
      <c r="J743" s="438">
        <f>VLOOKUP(H743,'Full Trial Balance'!$A$4:$G$2306,3,FALSE)</f>
        <v>5.39</v>
      </c>
      <c r="K743" s="438">
        <f>VLOOKUP(H743,'Full Trial Balance'!$A$4:$G$2306,4,FALSE)</f>
        <v>0</v>
      </c>
      <c r="L743" s="438">
        <f>VLOOKUP(H743,'Full Trial Balance'!$A$4:$G$2306,5,FALSE)</f>
        <v>0.92</v>
      </c>
      <c r="M743" s="438">
        <f>VLOOKUP(H743,'Full Trial Balance'!$A$4:$G$2306,6,FALSE)</f>
        <v>0.04</v>
      </c>
      <c r="N743" s="438">
        <f>VLOOKUP(H743,'Full Trial Balance'!$A$4:$G$2306,7,FALSE)</f>
        <v>0.88</v>
      </c>
      <c r="O743" s="485">
        <f t="shared" si="91"/>
        <v>0</v>
      </c>
    </row>
    <row r="744" spans="1:15" x14ac:dyDescent="0.25">
      <c r="A744" s="241" t="str">
        <f t="shared" si="86"/>
        <v>04-05</v>
      </c>
      <c r="B744" s="241" t="str">
        <f t="shared" si="87"/>
        <v>04</v>
      </c>
      <c r="C744" s="241" t="str">
        <f t="shared" si="88"/>
        <v>05</v>
      </c>
      <c r="D744" s="235" t="str">
        <f t="shared" si="89"/>
        <v>04-</v>
      </c>
      <c r="E744" s="241" t="s">
        <v>1250</v>
      </c>
      <c r="F744" s="241" t="str">
        <f t="shared" si="90"/>
        <v>-020-215</v>
      </c>
      <c r="G744" s="235" t="str">
        <f t="shared" si="92"/>
        <v>04-0x-020-215</v>
      </c>
      <c r="H744" s="241" t="s">
        <v>592</v>
      </c>
      <c r="I744" s="435" t="s">
        <v>42</v>
      </c>
      <c r="J744" s="438">
        <f>VLOOKUP(H744,'Full Trial Balance'!$A$4:$G$2306,3,FALSE)</f>
        <v>208</v>
      </c>
      <c r="K744" s="438">
        <f>VLOOKUP(H744,'Full Trial Balance'!$A$4:$G$2306,4,FALSE)</f>
        <v>0</v>
      </c>
      <c r="L744" s="438">
        <f>VLOOKUP(H744,'Full Trial Balance'!$A$4:$G$2306,5,FALSE)</f>
        <v>102.09</v>
      </c>
      <c r="M744" s="438">
        <f>VLOOKUP(H744,'Full Trial Balance'!$A$4:$G$2306,6,FALSE)</f>
        <v>6.53</v>
      </c>
      <c r="N744" s="438">
        <f>VLOOKUP(H744,'Full Trial Balance'!$A$4:$G$2306,7,FALSE)</f>
        <v>95.56</v>
      </c>
      <c r="O744" s="485">
        <f t="shared" si="91"/>
        <v>0</v>
      </c>
    </row>
    <row r="745" spans="1:15" x14ac:dyDescent="0.25">
      <c r="A745" s="241" t="str">
        <f t="shared" si="86"/>
        <v>04-05</v>
      </c>
      <c r="B745" s="241" t="str">
        <f t="shared" si="87"/>
        <v>04</v>
      </c>
      <c r="C745" s="241" t="str">
        <f t="shared" si="88"/>
        <v>05</v>
      </c>
      <c r="D745" s="235" t="str">
        <f t="shared" si="89"/>
        <v>04-</v>
      </c>
      <c r="E745" s="241" t="s">
        <v>1250</v>
      </c>
      <c r="F745" s="241" t="str">
        <f t="shared" si="90"/>
        <v>-020-217</v>
      </c>
      <c r="G745" s="489" t="s">
        <v>3439</v>
      </c>
      <c r="H745" s="241" t="s">
        <v>589</v>
      </c>
      <c r="I745" s="435" t="s">
        <v>43</v>
      </c>
      <c r="J745" s="438">
        <f>VLOOKUP(H745,'Full Trial Balance'!$A$4:$G$2306,3,FALSE)</f>
        <v>6057</v>
      </c>
      <c r="K745" s="438">
        <f>VLOOKUP(H745,'Full Trial Balance'!$A$4:$G$2306,4,FALSE)</f>
        <v>0</v>
      </c>
      <c r="L745" s="438">
        <f>VLOOKUP(H745,'Full Trial Balance'!$A$4:$G$2306,5,FALSE)</f>
        <v>2141.83</v>
      </c>
      <c r="M745" s="438">
        <f>VLOOKUP(H745,'Full Trial Balance'!$A$4:$G$2306,6,FALSE)</f>
        <v>165.06</v>
      </c>
      <c r="N745" s="438">
        <f>VLOOKUP(H745,'Full Trial Balance'!$A$4:$G$2306,7,FALSE)</f>
        <v>1976.77</v>
      </c>
      <c r="O745" s="485">
        <f t="shared" si="91"/>
        <v>0</v>
      </c>
    </row>
    <row r="746" spans="1:15" x14ac:dyDescent="0.25">
      <c r="A746" s="241" t="str">
        <f t="shared" si="86"/>
        <v>04-05</v>
      </c>
      <c r="B746" s="241" t="str">
        <f t="shared" si="87"/>
        <v>04</v>
      </c>
      <c r="C746" s="241" t="str">
        <f t="shared" si="88"/>
        <v>05</v>
      </c>
      <c r="D746" s="235" t="str">
        <f t="shared" si="89"/>
        <v>04-</v>
      </c>
      <c r="E746" s="241" t="s">
        <v>1250</v>
      </c>
      <c r="F746" s="241" t="str">
        <f t="shared" si="90"/>
        <v>-020-218</v>
      </c>
      <c r="G746" s="489" t="s">
        <v>3440</v>
      </c>
      <c r="H746" s="241" t="s">
        <v>590</v>
      </c>
      <c r="I746" s="435" t="s">
        <v>44</v>
      </c>
      <c r="J746" s="438">
        <f>VLOOKUP(H746,'Full Trial Balance'!$A$4:$G$2306,3,FALSE)</f>
        <v>5004</v>
      </c>
      <c r="K746" s="438">
        <f>VLOOKUP(H746,'Full Trial Balance'!$A$4:$G$2306,4,FALSE)</f>
        <v>0</v>
      </c>
      <c r="L746" s="438">
        <f>VLOOKUP(H746,'Full Trial Balance'!$A$4:$G$2306,5,FALSE)</f>
        <v>1776.21</v>
      </c>
      <c r="M746" s="438">
        <f>VLOOKUP(H746,'Full Trial Balance'!$A$4:$G$2306,6,FALSE)</f>
        <v>136.09</v>
      </c>
      <c r="N746" s="438">
        <f>VLOOKUP(H746,'Full Trial Balance'!$A$4:$G$2306,7,FALSE)</f>
        <v>1640.12</v>
      </c>
      <c r="O746" s="485">
        <f t="shared" si="91"/>
        <v>0</v>
      </c>
    </row>
    <row r="747" spans="1:15" x14ac:dyDescent="0.25">
      <c r="A747" s="241" t="str">
        <f t="shared" si="86"/>
        <v>04-05</v>
      </c>
      <c r="B747" s="241" t="str">
        <f t="shared" si="87"/>
        <v>04</v>
      </c>
      <c r="C747" s="241" t="str">
        <f t="shared" si="88"/>
        <v>05</v>
      </c>
      <c r="D747" s="235" t="str">
        <f t="shared" si="89"/>
        <v>04-</v>
      </c>
      <c r="E747" s="241" t="s">
        <v>1250</v>
      </c>
      <c r="F747" s="241" t="str">
        <f t="shared" si="90"/>
        <v>-020-220</v>
      </c>
      <c r="G747" s="235" t="str">
        <f>CONCATENATE(D747,E747,F747)</f>
        <v>04-0x-020-220</v>
      </c>
      <c r="H747" s="241" t="s">
        <v>602</v>
      </c>
      <c r="I747" s="435" t="s">
        <v>183</v>
      </c>
      <c r="J747" s="438">
        <f>VLOOKUP(H747,'Full Trial Balance'!$A$4:$G$2306,3,FALSE)</f>
        <v>2981</v>
      </c>
      <c r="K747" s="438">
        <f>VLOOKUP(H747,'Full Trial Balance'!$A$4:$G$2306,4,FALSE)</f>
        <v>0</v>
      </c>
      <c r="L747" s="438">
        <f>VLOOKUP(H747,'Full Trial Balance'!$A$4:$G$2306,5,FALSE)</f>
        <v>0</v>
      </c>
      <c r="M747" s="438">
        <f>VLOOKUP(H747,'Full Trial Balance'!$A$4:$G$2306,6,FALSE)</f>
        <v>0</v>
      </c>
      <c r="N747" s="438">
        <f>VLOOKUP(H747,'Full Trial Balance'!$A$4:$G$2306,7,FALSE)</f>
        <v>0</v>
      </c>
      <c r="O747" s="485">
        <f t="shared" si="91"/>
        <v>0</v>
      </c>
    </row>
    <row r="748" spans="1:15" x14ac:dyDescent="0.25">
      <c r="A748" s="241" t="str">
        <f t="shared" si="86"/>
        <v>04-05</v>
      </c>
      <c r="B748" s="241" t="str">
        <f t="shared" si="87"/>
        <v>04</v>
      </c>
      <c r="C748" s="241" t="str">
        <f t="shared" si="88"/>
        <v>05</v>
      </c>
      <c r="D748" s="235" t="str">
        <f t="shared" si="89"/>
        <v>04-</v>
      </c>
      <c r="E748" s="241" t="s">
        <v>1250</v>
      </c>
      <c r="F748" s="241" t="str">
        <f t="shared" si="90"/>
        <v>-020-222</v>
      </c>
      <c r="G748" s="489" t="s">
        <v>3439</v>
      </c>
      <c r="H748" s="241" t="s">
        <v>2980</v>
      </c>
      <c r="I748" s="435" t="s">
        <v>2254</v>
      </c>
      <c r="J748" s="438">
        <f>VLOOKUP(H748,'Full Trial Balance'!$A$4:$G$2306,3,FALSE)</f>
        <v>0</v>
      </c>
      <c r="K748" s="438">
        <f>VLOOKUP(H748,'Full Trial Balance'!$A$4:$G$2306,4,FALSE)</f>
        <v>0</v>
      </c>
      <c r="L748" s="438">
        <f>VLOOKUP(H748,'Full Trial Balance'!$A$4:$G$2306,5,FALSE)</f>
        <v>130.49</v>
      </c>
      <c r="M748" s="438">
        <f>VLOOKUP(H748,'Full Trial Balance'!$A$4:$G$2306,6,FALSE)</f>
        <v>0</v>
      </c>
      <c r="N748" s="438">
        <f>VLOOKUP(H748,'Full Trial Balance'!$A$4:$G$2306,7,FALSE)</f>
        <v>130.49</v>
      </c>
      <c r="O748" s="485">
        <f t="shared" si="91"/>
        <v>0</v>
      </c>
    </row>
    <row r="749" spans="1:15" x14ac:dyDescent="0.25">
      <c r="A749" s="241" t="str">
        <f t="shared" si="86"/>
        <v>04-05</v>
      </c>
      <c r="B749" s="241" t="str">
        <f t="shared" si="87"/>
        <v>04</v>
      </c>
      <c r="C749" s="241" t="str">
        <f t="shared" si="88"/>
        <v>05</v>
      </c>
      <c r="D749" s="235" t="str">
        <f t="shared" si="89"/>
        <v>04-</v>
      </c>
      <c r="E749" s="241" t="s">
        <v>1250</v>
      </c>
      <c r="F749" s="241" t="str">
        <f t="shared" si="90"/>
        <v>-020-223</v>
      </c>
      <c r="G749" s="489" t="s">
        <v>3440</v>
      </c>
      <c r="H749" s="241" t="s">
        <v>2981</v>
      </c>
      <c r="I749" s="435" t="s">
        <v>2256</v>
      </c>
      <c r="J749" s="438">
        <f>VLOOKUP(H749,'Full Trial Balance'!$A$4:$G$2306,3,FALSE)</f>
        <v>0</v>
      </c>
      <c r="K749" s="438">
        <f>VLOOKUP(H749,'Full Trial Balance'!$A$4:$G$2306,4,FALSE)</f>
        <v>0</v>
      </c>
      <c r="L749" s="438">
        <f>VLOOKUP(H749,'Full Trial Balance'!$A$4:$G$2306,5,FALSE)</f>
        <v>166.08</v>
      </c>
      <c r="M749" s="438">
        <f>VLOOKUP(H749,'Full Trial Balance'!$A$4:$G$2306,6,FALSE)</f>
        <v>0</v>
      </c>
      <c r="N749" s="438">
        <f>VLOOKUP(H749,'Full Trial Balance'!$A$4:$G$2306,7,FALSE)</f>
        <v>166.08</v>
      </c>
      <c r="O749" s="485">
        <f t="shared" si="91"/>
        <v>0</v>
      </c>
    </row>
    <row r="750" spans="1:15" x14ac:dyDescent="0.25">
      <c r="A750" s="241" t="str">
        <f t="shared" si="86"/>
        <v>04-05</v>
      </c>
      <c r="B750" s="241" t="str">
        <f t="shared" si="87"/>
        <v>04</v>
      </c>
      <c r="C750" s="241" t="str">
        <f t="shared" si="88"/>
        <v>05</v>
      </c>
      <c r="D750" s="235" t="str">
        <f t="shared" si="89"/>
        <v>04-</v>
      </c>
      <c r="E750" s="241" t="s">
        <v>1250</v>
      </c>
      <c r="F750" s="241" t="str">
        <f t="shared" si="90"/>
        <v>-033-106</v>
      </c>
      <c r="G750" s="235" t="str">
        <f>CONCATENATE(D750,E750,F750)</f>
        <v>04-0x-033-106</v>
      </c>
      <c r="H750" s="241" t="s">
        <v>2982</v>
      </c>
      <c r="I750" s="435" t="s">
        <v>1161</v>
      </c>
      <c r="J750" s="438">
        <f>VLOOKUP(H750,'Full Trial Balance'!$A$4:$G$2306,3,FALSE)</f>
        <v>44</v>
      </c>
      <c r="K750" s="438">
        <f>VLOOKUP(H750,'Full Trial Balance'!$A$4:$G$2306,4,FALSE)</f>
        <v>0</v>
      </c>
      <c r="L750" s="438">
        <f>VLOOKUP(H750,'Full Trial Balance'!$A$4:$G$2306,5,FALSE)</f>
        <v>0</v>
      </c>
      <c r="M750" s="438">
        <f>VLOOKUP(H750,'Full Trial Balance'!$A$4:$G$2306,6,FALSE)</f>
        <v>0</v>
      </c>
      <c r="N750" s="438">
        <f>VLOOKUP(H750,'Full Trial Balance'!$A$4:$G$2306,7,FALSE)</f>
        <v>0</v>
      </c>
      <c r="O750" s="485">
        <f t="shared" si="91"/>
        <v>0</v>
      </c>
    </row>
    <row r="751" spans="1:15" x14ac:dyDescent="0.25">
      <c r="A751" s="241" t="str">
        <f t="shared" si="86"/>
        <v>04-05</v>
      </c>
      <c r="B751" s="241" t="str">
        <f t="shared" si="87"/>
        <v>04</v>
      </c>
      <c r="C751" s="241" t="str">
        <f t="shared" si="88"/>
        <v>05</v>
      </c>
      <c r="D751" s="235" t="str">
        <f t="shared" si="89"/>
        <v>04-</v>
      </c>
      <c r="E751" s="241" t="s">
        <v>1250</v>
      </c>
      <c r="F751" s="241" t="str">
        <f t="shared" si="90"/>
        <v>-035-001</v>
      </c>
      <c r="G751" s="256" t="str">
        <f>CONCATENATE(D751,E751,F751)</f>
        <v>04-0x-035-001</v>
      </c>
      <c r="H751" s="241" t="s">
        <v>604</v>
      </c>
      <c r="I751" s="435" t="s">
        <v>70</v>
      </c>
      <c r="J751" s="438">
        <f>VLOOKUP(H751,'Full Trial Balance'!$A$4:$G$2306,3,FALSE)</f>
        <v>0</v>
      </c>
      <c r="K751" s="438">
        <f>VLOOKUP(H751,'Full Trial Balance'!$A$4:$G$2306,4,FALSE)</f>
        <v>0</v>
      </c>
      <c r="L751" s="438">
        <f>VLOOKUP(H751,'Full Trial Balance'!$A$4:$G$2306,5,FALSE)</f>
        <v>0</v>
      </c>
      <c r="M751" s="438">
        <f>VLOOKUP(H751,'Full Trial Balance'!$A$4:$G$2306,6,FALSE)</f>
        <v>0</v>
      </c>
      <c r="N751" s="438">
        <f>VLOOKUP(H751,'Full Trial Balance'!$A$4:$G$2306,7,FALSE)</f>
        <v>0</v>
      </c>
      <c r="O751" s="485">
        <f t="shared" si="91"/>
        <v>0</v>
      </c>
    </row>
    <row r="752" spans="1:15" x14ac:dyDescent="0.25">
      <c r="A752" s="241" t="str">
        <f t="shared" si="86"/>
        <v>04-05</v>
      </c>
      <c r="B752" s="241" t="str">
        <f t="shared" si="87"/>
        <v>04</v>
      </c>
      <c r="C752" s="241" t="str">
        <f t="shared" si="88"/>
        <v>05</v>
      </c>
      <c r="D752" s="235" t="str">
        <f t="shared" si="89"/>
        <v>04-</v>
      </c>
      <c r="E752" s="241" t="s">
        <v>1250</v>
      </c>
      <c r="F752" s="241" t="str">
        <f t="shared" si="90"/>
        <v>-035-003</v>
      </c>
      <c r="G752" s="235" t="s">
        <v>1456</v>
      </c>
      <c r="H752" s="241" t="s">
        <v>601</v>
      </c>
      <c r="I752" s="435" t="s">
        <v>48</v>
      </c>
      <c r="J752" s="438">
        <f>VLOOKUP(H752,'Full Trial Balance'!$A$4:$G$2306,3,FALSE)</f>
        <v>0</v>
      </c>
      <c r="K752" s="438">
        <f>VLOOKUP(H752,'Full Trial Balance'!$A$4:$G$2306,4,FALSE)</f>
        <v>0</v>
      </c>
      <c r="L752" s="438">
        <f>VLOOKUP(H752,'Full Trial Balance'!$A$4:$G$2306,5,FALSE)</f>
        <v>0</v>
      </c>
      <c r="M752" s="438">
        <f>VLOOKUP(H752,'Full Trial Balance'!$A$4:$G$2306,6,FALSE)</f>
        <v>0</v>
      </c>
      <c r="N752" s="438">
        <f>VLOOKUP(H752,'Full Trial Balance'!$A$4:$G$2306,7,FALSE)</f>
        <v>0</v>
      </c>
      <c r="O752" s="485">
        <f t="shared" si="91"/>
        <v>0</v>
      </c>
    </row>
    <row r="753" spans="1:15" x14ac:dyDescent="0.25">
      <c r="A753" s="241" t="str">
        <f t="shared" si="86"/>
        <v>04-05</v>
      </c>
      <c r="B753" s="241" t="str">
        <f t="shared" si="87"/>
        <v>04</v>
      </c>
      <c r="C753" s="241" t="str">
        <f t="shared" si="88"/>
        <v>05</v>
      </c>
      <c r="D753" s="235" t="str">
        <f t="shared" si="89"/>
        <v>04-</v>
      </c>
      <c r="E753" s="241" t="s">
        <v>1250</v>
      </c>
      <c r="F753" s="241" t="str">
        <f t="shared" si="90"/>
        <v>-040-025</v>
      </c>
      <c r="G753" s="235" t="str">
        <f>CONCATENATE(D753,E753,F753)</f>
        <v>04-0x-040-025</v>
      </c>
      <c r="H753" s="241" t="s">
        <v>600</v>
      </c>
      <c r="I753" s="435" t="s">
        <v>54</v>
      </c>
      <c r="J753" s="438">
        <f>VLOOKUP(H753,'Full Trial Balance'!$A$4:$G$2306,3,FALSE)</f>
        <v>82.5</v>
      </c>
      <c r="K753" s="438">
        <f>VLOOKUP(H753,'Full Trial Balance'!$A$4:$G$2306,4,FALSE)</f>
        <v>0</v>
      </c>
      <c r="L753" s="438">
        <f>VLOOKUP(H753,'Full Trial Balance'!$A$4:$G$2306,5,FALSE)</f>
        <v>0</v>
      </c>
      <c r="M753" s="438">
        <f>VLOOKUP(H753,'Full Trial Balance'!$A$4:$G$2306,6,FALSE)</f>
        <v>0</v>
      </c>
      <c r="N753" s="438">
        <f>VLOOKUP(H753,'Full Trial Balance'!$A$4:$G$2306,7,FALSE)</f>
        <v>0</v>
      </c>
      <c r="O753" s="485">
        <f t="shared" si="91"/>
        <v>0</v>
      </c>
    </row>
    <row r="754" spans="1:15" x14ac:dyDescent="0.25">
      <c r="A754" s="241" t="str">
        <f t="shared" si="86"/>
        <v>04-05</v>
      </c>
      <c r="B754" s="241" t="str">
        <f t="shared" si="87"/>
        <v>04</v>
      </c>
      <c r="C754" s="241" t="str">
        <f t="shared" si="88"/>
        <v>05</v>
      </c>
      <c r="D754" s="235" t="str">
        <f t="shared" si="89"/>
        <v>04-</v>
      </c>
      <c r="E754" s="241" t="s">
        <v>1250</v>
      </c>
      <c r="F754" s="241" t="str">
        <f t="shared" si="90"/>
        <v>-040-026</v>
      </c>
      <c r="G754" s="235" t="str">
        <f>CONCATENATE(D754,E754,F754)</f>
        <v>04-0x-040-026</v>
      </c>
      <c r="H754" s="241" t="s">
        <v>1233</v>
      </c>
      <c r="I754" s="435" t="s">
        <v>1176</v>
      </c>
      <c r="J754" s="438">
        <f>VLOOKUP(H754,'Full Trial Balance'!$A$4:$G$2306,3,FALSE)</f>
        <v>0</v>
      </c>
      <c r="K754" s="438">
        <f>VLOOKUP(H754,'Full Trial Balance'!$A$4:$G$2306,4,FALSE)</f>
        <v>0</v>
      </c>
      <c r="L754" s="438">
        <f>VLOOKUP(H754,'Full Trial Balance'!$A$4:$G$2306,5,FALSE)</f>
        <v>0</v>
      </c>
      <c r="M754" s="438">
        <f>VLOOKUP(H754,'Full Trial Balance'!$A$4:$G$2306,6,FALSE)</f>
        <v>0</v>
      </c>
      <c r="N754" s="438">
        <f>VLOOKUP(H754,'Full Trial Balance'!$A$4:$G$2306,7,FALSE)</f>
        <v>0</v>
      </c>
      <c r="O754" s="485">
        <f t="shared" si="91"/>
        <v>0</v>
      </c>
    </row>
    <row r="755" spans="1:15" x14ac:dyDescent="0.25">
      <c r="A755" s="241" t="str">
        <f t="shared" si="86"/>
        <v>04-05</v>
      </c>
      <c r="B755" s="241" t="str">
        <f t="shared" si="87"/>
        <v>04</v>
      </c>
      <c r="C755" s="241" t="str">
        <f t="shared" si="88"/>
        <v>05</v>
      </c>
      <c r="D755" s="235" t="str">
        <f t="shared" si="89"/>
        <v>04-</v>
      </c>
      <c r="E755" s="241" t="s">
        <v>1250</v>
      </c>
      <c r="F755" s="241" t="str">
        <f t="shared" si="90"/>
        <v>-040-027</v>
      </c>
      <c r="G755" s="226" t="s">
        <v>1378</v>
      </c>
      <c r="H755" s="241" t="s">
        <v>593</v>
      </c>
      <c r="I755" s="435" t="s">
        <v>152</v>
      </c>
      <c r="J755" s="438">
        <f>VLOOKUP(H755,'Full Trial Balance'!$A$4:$G$2306,3,FALSE)</f>
        <v>22000</v>
      </c>
      <c r="K755" s="438">
        <f>VLOOKUP(H755,'Full Trial Balance'!$A$4:$G$2306,4,FALSE)</f>
        <v>0</v>
      </c>
      <c r="L755" s="438">
        <f>VLOOKUP(H755,'Full Trial Balance'!$A$4:$G$2306,5,FALSE)</f>
        <v>931.64</v>
      </c>
      <c r="M755" s="438">
        <f>VLOOKUP(H755,'Full Trial Balance'!$A$4:$G$2306,6,FALSE)</f>
        <v>0</v>
      </c>
      <c r="N755" s="438">
        <f>VLOOKUP(H755,'Full Trial Balance'!$A$4:$G$2306,7,FALSE)</f>
        <v>931.64</v>
      </c>
      <c r="O755" s="485">
        <f t="shared" si="91"/>
        <v>0</v>
      </c>
    </row>
    <row r="756" spans="1:15" x14ac:dyDescent="0.25">
      <c r="A756" s="241" t="str">
        <f t="shared" si="86"/>
        <v>04-05</v>
      </c>
      <c r="B756" s="241" t="str">
        <f t="shared" si="87"/>
        <v>04</v>
      </c>
      <c r="C756" s="241" t="str">
        <f t="shared" si="88"/>
        <v>05</v>
      </c>
      <c r="D756" s="235" t="str">
        <f t="shared" si="89"/>
        <v>04-</v>
      </c>
      <c r="E756" s="241" t="s">
        <v>1250</v>
      </c>
      <c r="F756" s="241" t="str">
        <f t="shared" si="90"/>
        <v>-040-030</v>
      </c>
      <c r="G756" s="235" t="str">
        <f>H756</f>
        <v>04-05-040-030</v>
      </c>
      <c r="H756" s="241" t="s">
        <v>594</v>
      </c>
      <c r="I756" s="435" t="s">
        <v>1177</v>
      </c>
      <c r="J756" s="438">
        <f>VLOOKUP(H756,'Full Trial Balance'!$A$4:$G$2306,3,FALSE)</f>
        <v>11000</v>
      </c>
      <c r="K756" s="438">
        <f>VLOOKUP(H756,'Full Trial Balance'!$A$4:$G$2306,4,FALSE)</f>
        <v>0</v>
      </c>
      <c r="L756" s="438">
        <f>VLOOKUP(H756,'Full Trial Balance'!$A$4:$G$2306,5,FALSE)</f>
        <v>41007.339999999997</v>
      </c>
      <c r="M756" s="438">
        <f>VLOOKUP(H756,'Full Trial Balance'!$A$4:$G$2306,6,FALSE)</f>
        <v>0</v>
      </c>
      <c r="N756" s="438">
        <f>VLOOKUP(H756,'Full Trial Balance'!$A$4:$G$2306,7,FALSE)</f>
        <v>41007.339999999997</v>
      </c>
      <c r="O756" s="485">
        <f t="shared" si="91"/>
        <v>0</v>
      </c>
    </row>
    <row r="757" spans="1:15" x14ac:dyDescent="0.25">
      <c r="A757" s="241" t="str">
        <f t="shared" si="86"/>
        <v>05-05</v>
      </c>
      <c r="B757" s="241" t="str">
        <f t="shared" si="87"/>
        <v>05</v>
      </c>
      <c r="C757" s="241" t="str">
        <f t="shared" si="88"/>
        <v>05</v>
      </c>
      <c r="D757" s="235" t="str">
        <f t="shared" si="89"/>
        <v>05-</v>
      </c>
      <c r="E757" s="241" t="s">
        <v>1250</v>
      </c>
      <c r="F757" s="241" t="str">
        <f t="shared" si="90"/>
        <v>-085-000</v>
      </c>
      <c r="G757" s="235" t="str">
        <f>CONCATENATE(D757,E757,F757)</f>
        <v>05-0x-085-000</v>
      </c>
      <c r="H757" s="241" t="s">
        <v>1237</v>
      </c>
      <c r="I757" s="435" t="s">
        <v>1080</v>
      </c>
      <c r="J757" s="438">
        <f>VLOOKUP(H757,'Full Trial Balance'!$A$4:$G$2306,3,FALSE)</f>
        <v>0</v>
      </c>
      <c r="K757" s="438">
        <f>VLOOKUP(H757,'Full Trial Balance'!$A$4:$G$2306,4,FALSE)</f>
        <v>0</v>
      </c>
      <c r="L757" s="438">
        <f>VLOOKUP(H757,'Full Trial Balance'!$A$4:$G$2306,5,FALSE)</f>
        <v>0</v>
      </c>
      <c r="M757" s="438">
        <f>VLOOKUP(H757,'Full Trial Balance'!$A$4:$G$2306,6,FALSE)</f>
        <v>0</v>
      </c>
      <c r="N757" s="438">
        <f>VLOOKUP(H757,'Full Trial Balance'!$A$4:$G$2306,7,FALSE)</f>
        <v>0</v>
      </c>
      <c r="O757" s="485">
        <f t="shared" si="91"/>
        <v>0</v>
      </c>
    </row>
    <row r="758" spans="1:15" x14ac:dyDescent="0.25">
      <c r="A758" s="241"/>
      <c r="B758" s="243"/>
      <c r="C758" s="243"/>
      <c r="H758" s="248" t="s">
        <v>979</v>
      </c>
      <c r="I758" s="249" t="s">
        <v>1058</v>
      </c>
      <c r="J758" s="250">
        <v>0</v>
      </c>
      <c r="K758" s="250">
        <v>0</v>
      </c>
      <c r="L758" s="250">
        <v>0</v>
      </c>
      <c r="M758" s="250">
        <v>0</v>
      </c>
      <c r="N758" s="251">
        <v>0</v>
      </c>
      <c r="O758" s="251">
        <v>0</v>
      </c>
    </row>
    <row r="761" spans="1:15" x14ac:dyDescent="0.25">
      <c r="H761" s="95" t="s">
        <v>1242</v>
      </c>
      <c r="I761" s="99"/>
      <c r="J761" s="240"/>
      <c r="K761" s="240"/>
      <c r="L761" s="240"/>
      <c r="M761" s="240"/>
      <c r="N761" s="240"/>
    </row>
    <row r="762" spans="1:15" x14ac:dyDescent="0.25">
      <c r="H762" s="252"/>
      <c r="I762" s="99"/>
      <c r="J762" s="240"/>
      <c r="K762" s="240"/>
      <c r="L762" s="240"/>
      <c r="M762" s="240"/>
      <c r="N762" s="240"/>
    </row>
    <row r="763" spans="1:15" x14ac:dyDescent="0.25">
      <c r="H763" s="252" t="s">
        <v>1243</v>
      </c>
      <c r="I763" s="99"/>
      <c r="J763" s="240"/>
      <c r="K763" s="240"/>
      <c r="L763" s="240"/>
      <c r="M763" s="240"/>
      <c r="N763" s="240"/>
    </row>
    <row r="764" spans="1:15" x14ac:dyDescent="0.25">
      <c r="H764" s="104" t="s">
        <v>1143</v>
      </c>
      <c r="I764" s="99"/>
      <c r="J764" s="128">
        <f>SUMPRODUCT(--($B$3:$B$758="01"), --($C$3:$C$758="01"), $J$3:$J$758)</f>
        <v>1061046</v>
      </c>
      <c r="K764" s="128">
        <f>SUMPRODUCT(--($B$3:$B$758="01"), --($C$3:$C$758="01"), $K$3:$K$758)</f>
        <v>0</v>
      </c>
      <c r="L764" s="128">
        <f>SUMPRODUCT(--($B$3:$B$758="01"), --($C$3:$C$758="01"), $L$3:$L$758)</f>
        <v>507092.5400000001</v>
      </c>
      <c r="M764" s="128">
        <f>SUMPRODUCT(--($B$3:$B$758="01"), --($C$3:$C$758="01"), $M$3:$M$758)</f>
        <v>55933.580000000009</v>
      </c>
      <c r="N764" s="128">
        <f>SUMPRODUCT(--($B$3:$B$758="01"), --($C$3:$C$758="01"), $N$3:$N$758)</f>
        <v>451158.95999999996</v>
      </c>
    </row>
    <row r="765" spans="1:15" x14ac:dyDescent="0.25">
      <c r="H765" s="104" t="s">
        <v>1144</v>
      </c>
      <c r="I765" s="99"/>
      <c r="J765" s="128">
        <f>SUMPRODUCT(--($B$3:$B$758="02"), --($C$3:$C$758="01"), $J$3:$J$758)</f>
        <v>344067.28</v>
      </c>
      <c r="K765" s="128">
        <f>SUMPRODUCT(--($B$3:$B$758="02"), --($C$3:$C$758="01"), $K$3:$K$758)</f>
        <v>0</v>
      </c>
      <c r="L765" s="128">
        <f>SUMPRODUCT(--($B$3:$B$758="02"), --($C$3:$C$758="01"), $L$3:$L$758)</f>
        <v>171730.71</v>
      </c>
      <c r="M765" s="128">
        <f>SUMPRODUCT(--($B$3:$B$758="02"), --($C$3:$C$758="01"), $M$3:$M$758)</f>
        <v>15016.529999999999</v>
      </c>
      <c r="N765" s="128">
        <f>SUMPRODUCT(--($B$3:$B$758="02"), --($C$3:$C$758="01"),$N$3:$N$758)</f>
        <v>156714.18</v>
      </c>
    </row>
    <row r="766" spans="1:15" x14ac:dyDescent="0.25">
      <c r="H766" s="104" t="s">
        <v>1145</v>
      </c>
      <c r="I766" s="99"/>
      <c r="J766" s="128">
        <f>SUMPRODUCT(--($B$3:$B$758="03"), --($C$3:$C$758="01"), $J$3:$J$758)</f>
        <v>2874622</v>
      </c>
      <c r="K766" s="128">
        <f>SUMPRODUCT(--($B$3:$B$758="03"), --($C$3:$C$758="01"), $K$3:$K$758)</f>
        <v>0</v>
      </c>
      <c r="L766" s="128">
        <f>SUMPRODUCT(--($B$3:$B$758="03"), --($C$3:$C$758="01"), $L$3:$L$758)</f>
        <v>1438892.54</v>
      </c>
      <c r="M766" s="128">
        <f>SUMPRODUCT(--($B$3:$B$758="03"), --($C$3:$C$758="01"), $M$3:$M$758)</f>
        <v>121082.07999999999</v>
      </c>
      <c r="N766" s="128">
        <f>SUMPRODUCT(--($B$3:$B$758="03"), --($C$3:$C$758="01"), $N$3:$N$758)</f>
        <v>1317810.46</v>
      </c>
    </row>
    <row r="767" spans="1:15" x14ac:dyDescent="0.25">
      <c r="H767" s="104" t="s">
        <v>1146</v>
      </c>
      <c r="I767" s="99"/>
      <c r="J767" s="128">
        <f>SUMPRODUCT(--($B$3:$B$758="04"), --($C$3:$C$758="01"), $J$3:$J$758)</f>
        <v>750228.06</v>
      </c>
      <c r="K767" s="128">
        <f>SUMPRODUCT(--($B$3:$B$758="04"), --($C$3:$C$758="01"), $K$3:$K$758)</f>
        <v>0</v>
      </c>
      <c r="L767" s="128">
        <f>SUMPRODUCT(--($B$3:$B$758="04"), --($C$3:$C$758="01"), $L$3:$L$758)</f>
        <v>391953.7</v>
      </c>
      <c r="M767" s="128">
        <f>SUMPRODUCT(--($B$3:$B$758="04"), --($C$3:$C$758="01"), $M$3:$M$758)</f>
        <v>43711.97</v>
      </c>
      <c r="N767" s="128">
        <f>SUMPRODUCT(--($B$3:$B$758="04"), --($C$3:$C$758="01"), $N$3:$N$758)</f>
        <v>348241.72999999992</v>
      </c>
    </row>
    <row r="768" spans="1:15" x14ac:dyDescent="0.25">
      <c r="H768" s="104" t="s">
        <v>1147</v>
      </c>
      <c r="I768" s="99"/>
      <c r="J768" s="128">
        <f>SUMPRODUCT(--($B$3:$B$758="05"), --($C$3:$C$758="01"), $J$3:$J$758)</f>
        <v>246368</v>
      </c>
      <c r="K768" s="128">
        <f>SUMPRODUCT(--($B$3:$B$758="05"), --($C$3:$C$758="01"), $K$3:$K$758)</f>
        <v>0</v>
      </c>
      <c r="L768" s="128">
        <f>SUMPRODUCT(--($B$3:$B$758="05"), --($C$3:$C$758="01"), $L$3:$L$758)</f>
        <v>123184.22</v>
      </c>
      <c r="M768" s="128">
        <f>SUMPRODUCT(--($B$3:$B$758="05"), --($C$3:$C$758="01"), $M$3:$M$758)</f>
        <v>20531</v>
      </c>
      <c r="N768" s="128">
        <f>SUMPRODUCT(--($B$3:$B$758="05"), --($C$3:$C$758="01"), $N$3:$N$758)</f>
        <v>102653.22</v>
      </c>
    </row>
    <row r="769" spans="8:14" x14ac:dyDescent="0.25">
      <c r="H769" s="104" t="s">
        <v>1148</v>
      </c>
      <c r="I769" s="99"/>
      <c r="J769" s="128">
        <f>SUMPRODUCT(--($B$3:$B$758="06"), --($C$3:$C$758="01"), $J$3:$J$758)</f>
        <v>0</v>
      </c>
      <c r="K769" s="128">
        <f>SUMPRODUCT(--($B$3:$B$758="06"), --($C$3:$C$758="01"), $K$3:$K$758)</f>
        <v>0</v>
      </c>
      <c r="L769" s="128">
        <f>SUMPRODUCT(--($B$3:$B$758="06"), --($C$3:$C$758="01"), $L$3:$L$758)</f>
        <v>0</v>
      </c>
      <c r="M769" s="128">
        <f>SUMPRODUCT(--($B$3:$B$758="06"), --($C$3:$C$758="01"), $M$3:$M$758)</f>
        <v>0</v>
      </c>
      <c r="N769" s="128">
        <f>SUMPRODUCT(--($B$3:$B$758="06"), --($C$3:$C$758="01"), $N$3:$N$758)</f>
        <v>0</v>
      </c>
    </row>
    <row r="770" spans="8:14" x14ac:dyDescent="0.25">
      <c r="H770" s="259"/>
      <c r="I770" s="240"/>
      <c r="J770" s="234">
        <f>SUM(J764:J769)</f>
        <v>5276331.34</v>
      </c>
      <c r="K770" s="234">
        <f>SUM(K764:K769)</f>
        <v>0</v>
      </c>
      <c r="L770" s="234">
        <f>SUM(L764:L769)</f>
        <v>2632853.7100000004</v>
      </c>
      <c r="M770" s="234">
        <f>SUM(M764:M769)</f>
        <v>256275.16</v>
      </c>
      <c r="N770" s="234">
        <f>SUM(N764:N769)</f>
        <v>2376578.5499999998</v>
      </c>
    </row>
    <row r="771" spans="8:14" x14ac:dyDescent="0.25">
      <c r="H771" s="253" t="s">
        <v>1244</v>
      </c>
      <c r="I771" s="240"/>
      <c r="J771" s="240"/>
      <c r="K771" s="240"/>
      <c r="L771" s="240"/>
      <c r="M771" s="240"/>
      <c r="N771" s="240"/>
    </row>
    <row r="772" spans="8:14" x14ac:dyDescent="0.25">
      <c r="H772" s="104" t="s">
        <v>1143</v>
      </c>
      <c r="I772" s="99"/>
      <c r="J772" s="128">
        <f>SUMPRODUCT(--($B$3:$B$758="01"), --($C$3:$C$758="02"), $J$3:$J$758)</f>
        <v>1051549.58</v>
      </c>
      <c r="K772" s="128">
        <f>SUMPRODUCT(--($B$3:$B$758="01"), --($C$3:$C$758="02"), $K$3:$K$758)</f>
        <v>0</v>
      </c>
      <c r="L772" s="128">
        <f>SUMPRODUCT(--($B$3:$B$758="01"), --($C$3:$C$758="02"), $L$3:$L$758)</f>
        <v>419113.39000000007</v>
      </c>
      <c r="M772" s="128">
        <f>SUMPRODUCT(--($B$3:$B$758="01"), --($C$3:$C$758="02"), $M$3:$M$758)</f>
        <v>26263.479999999996</v>
      </c>
      <c r="N772" s="128">
        <f>SUMPRODUCT(--($B$3:$B$758="01"), --($C$3:$C$758="02"), $N$3:$N$758)</f>
        <v>392849.91000000009</v>
      </c>
    </row>
    <row r="773" spans="8:14" x14ac:dyDescent="0.25">
      <c r="H773" s="104" t="s">
        <v>1144</v>
      </c>
      <c r="I773" s="99"/>
      <c r="J773" s="128">
        <f>SUMPRODUCT(--($B$3:$B$758="02"), --($C$3:$C$758="02"), $J$3:$J$758)</f>
        <v>336927.16</v>
      </c>
      <c r="K773" s="128">
        <f>SUMPRODUCT(--($B$3:$B$758="02"), --($C$3:$C$758="02"), $K$3:$K$758)</f>
        <v>0</v>
      </c>
      <c r="L773" s="128">
        <f>SUMPRODUCT(--($B$3:$B$758="02"), --($C$3:$C$758="02"), $L$3:$L$758)</f>
        <v>129848.03000000001</v>
      </c>
      <c r="M773" s="128">
        <f>SUMPRODUCT(--($B$3:$B$758="02"), --($C$3:$C$758="02"), $M$3:$M$758)</f>
        <v>3747.45</v>
      </c>
      <c r="N773" s="128">
        <f>SUMPRODUCT(--($B$3:$B$758="02"), --($C$3:$C$758="02"),$N$3:$N$758)</f>
        <v>126100.58000000002</v>
      </c>
    </row>
    <row r="774" spans="8:14" x14ac:dyDescent="0.25">
      <c r="H774" s="104" t="s">
        <v>1145</v>
      </c>
      <c r="I774" s="99"/>
      <c r="J774" s="128">
        <f>SUMPRODUCT(--($B$3:$B$758="03"), --($C$3:$C$758="02"), $J$3:$J$758)</f>
        <v>1808239.7200000002</v>
      </c>
      <c r="K774" s="128">
        <f>SUMPRODUCT(--($B$3:$B$758="03"), --($C$3:$C$758="02"), $K$3:$K$758)</f>
        <v>0</v>
      </c>
      <c r="L774" s="128">
        <f>SUMPRODUCT(--($B$3:$B$758="03"), --($C$3:$C$758="02"), $L$3:$L$758)</f>
        <v>753237.16000000015</v>
      </c>
      <c r="M774" s="128">
        <f>SUMPRODUCT(--($B$3:$B$758="03"), --($C$3:$C$758="02"), $M$3:$M$758)</f>
        <v>33486.239999999998</v>
      </c>
      <c r="N774" s="128">
        <f>SUMPRODUCT(--($B$3:$B$758="03"), --($C$3:$C$758="02"), $N$3:$N$758)</f>
        <v>719750.92000000016</v>
      </c>
    </row>
    <row r="775" spans="8:14" x14ac:dyDescent="0.25">
      <c r="H775" s="104" t="s">
        <v>1146</v>
      </c>
      <c r="I775" s="99"/>
      <c r="J775" s="128">
        <f>SUMPRODUCT(--($B$3:$B$758="04"), --($C$3:$C$758="02"), $J$3:$J$758)</f>
        <v>475802.5400000001</v>
      </c>
      <c r="K775" s="128">
        <f>SUMPRODUCT(--($B$3:$B$758="04"), --($C$3:$C$758="02"), $K$3:$K$758)</f>
        <v>0</v>
      </c>
      <c r="L775" s="128">
        <f>SUMPRODUCT(--($B$3:$B$758="04"), --($C$3:$C$758="02"), $L$3:$L$758)</f>
        <v>214185.90999999992</v>
      </c>
      <c r="M775" s="128">
        <f>SUMPRODUCT(--($B$3:$B$758="04"), --($C$3:$C$758="02"), $M$3:$M$758)</f>
        <v>13048.45</v>
      </c>
      <c r="N775" s="128">
        <f>SUMPRODUCT(--($B$3:$B$758="04"), --($C$3:$C$758="02"), $N$3:$N$758)</f>
        <v>201137.45999999993</v>
      </c>
    </row>
    <row r="776" spans="8:14" x14ac:dyDescent="0.25">
      <c r="H776" s="259"/>
      <c r="I776" s="240"/>
      <c r="J776" s="234">
        <f>SUM(J772:J775)</f>
        <v>3672519</v>
      </c>
      <c r="K776" s="234">
        <f>SUM(K772:K775)</f>
        <v>0</v>
      </c>
      <c r="L776" s="234">
        <f>SUM(L772:L775)</f>
        <v>1516384.49</v>
      </c>
      <c r="M776" s="234">
        <f>SUM(M772:M775)</f>
        <v>76545.62</v>
      </c>
      <c r="N776" s="234">
        <f>SUM(N772:N775)</f>
        <v>1439838.87</v>
      </c>
    </row>
    <row r="777" spans="8:14" x14ac:dyDescent="0.25">
      <c r="H777" s="253" t="s">
        <v>1245</v>
      </c>
      <c r="I777" s="240"/>
      <c r="J777" s="240"/>
      <c r="K777" s="240"/>
      <c r="L777" s="240"/>
      <c r="M777" s="240"/>
      <c r="N777" s="240"/>
    </row>
    <row r="778" spans="8:14" x14ac:dyDescent="0.25">
      <c r="H778" s="104" t="s">
        <v>1143</v>
      </c>
      <c r="I778" s="99"/>
      <c r="J778" s="128">
        <f>SUMPRODUCT(--($B$3:$B$758="01"), --($C$3:$C$758="03"), $J$3:$J$758)</f>
        <v>110724.12</v>
      </c>
      <c r="K778" s="128">
        <f>SUMPRODUCT(--($B$3:$B$758="01"), --($C$3:$C$758="03"), $K$3:$K$758)</f>
        <v>0</v>
      </c>
      <c r="L778" s="128">
        <f>SUMPRODUCT(--($B$3:$B$758="01"), --($C$3:$C$758="03"), $L$3:$L$758)</f>
        <v>49555.359999999993</v>
      </c>
      <c r="M778" s="128">
        <f>SUMPRODUCT(--($B$3:$B$758="01"), --($C$3:$C$758="03"), $M$3:$M$758)</f>
        <v>2547.0300000000002</v>
      </c>
      <c r="N778" s="128">
        <f>SUMPRODUCT(--($B$3:$B$758="01"), --($C$3:$C$758="03"), $N$3:$N$758)</f>
        <v>47008.329999999987</v>
      </c>
    </row>
    <row r="779" spans="8:14" x14ac:dyDescent="0.25">
      <c r="H779" s="104" t="s">
        <v>1145</v>
      </c>
      <c r="I779" s="99"/>
      <c r="J779" s="128">
        <f>SUMPRODUCT(--($B$3:$B$758="03"), --($C$3:$C$758="03"), $J$3:$J$758)</f>
        <v>202842.87999999998</v>
      </c>
      <c r="K779" s="128">
        <f>SUMPRODUCT(--($B$3:$B$758="03"), --($C$3:$C$758="03"), $K$3:$K$758)</f>
        <v>0</v>
      </c>
      <c r="L779" s="128">
        <f>SUMPRODUCT(--($B$3:$B$758="03"), --($C$3:$C$758="03"), $L$3:$L$758)</f>
        <v>76556.689999999988</v>
      </c>
      <c r="M779" s="128">
        <f>SUMPRODUCT(--($B$3:$B$758="03"), --($C$3:$C$758="03"), $M$3:$M$758)</f>
        <v>4299.59</v>
      </c>
      <c r="N779" s="128">
        <f>SUMPRODUCT(--($B$3:$B$758="03"), --($C$3:$C$758="03"), $N$3:$N$758)</f>
        <v>72257.099999999991</v>
      </c>
    </row>
    <row r="780" spans="8:14" x14ac:dyDescent="0.25">
      <c r="H780" s="259"/>
      <c r="I780" s="240"/>
      <c r="J780" s="234">
        <f>SUM(J778:J779)</f>
        <v>313567</v>
      </c>
      <c r="K780" s="234">
        <f>SUM(K778:K779)</f>
        <v>0</v>
      </c>
      <c r="L780" s="234">
        <f>SUM(L778:L779)</f>
        <v>126112.04999999999</v>
      </c>
      <c r="M780" s="234">
        <f>SUM(M778:M779)</f>
        <v>6846.6200000000008</v>
      </c>
      <c r="N780" s="234">
        <f>SUM(N778:N779)</f>
        <v>119265.42999999998</v>
      </c>
    </row>
    <row r="781" spans="8:14" x14ac:dyDescent="0.25">
      <c r="H781" s="253" t="s">
        <v>1246</v>
      </c>
      <c r="I781" s="240"/>
      <c r="J781" s="240"/>
      <c r="K781" s="240"/>
      <c r="L781" s="240"/>
      <c r="M781" s="240"/>
      <c r="N781" s="240"/>
    </row>
    <row r="782" spans="8:14" x14ac:dyDescent="0.25">
      <c r="H782" s="104" t="s">
        <v>1143</v>
      </c>
      <c r="I782" s="99"/>
      <c r="J782" s="128">
        <f>SUMPRODUCT(--($B$3:$B$758="01"), --($C$3:$C$758="04"), $J$3:$J$758)</f>
        <v>146349.64000000001</v>
      </c>
      <c r="K782" s="128">
        <f>SUMPRODUCT(--($B$3:$B$758="01"), --($C$3:$C$758="04"), $K$3:$K$758)</f>
        <v>0</v>
      </c>
      <c r="L782" s="128">
        <f>SUMPRODUCT(--($B$3:$B$758="01"), --($C$3:$C$758="04"), $L$3:$L$758)</f>
        <v>57362.93</v>
      </c>
      <c r="M782" s="128">
        <f>SUMPRODUCT(--($B$3:$B$758="01"), --($C$3:$C$758="04"), $M$3:$M$758)</f>
        <v>2057.4100000000003</v>
      </c>
      <c r="N782" s="128">
        <f>SUMPRODUCT(--($B$3:$B$758="01"), --($C$3:$C$758="04"), $N$3:$N$758)</f>
        <v>55305.52</v>
      </c>
    </row>
    <row r="783" spans="8:14" x14ac:dyDescent="0.25">
      <c r="H783" s="104" t="s">
        <v>1145</v>
      </c>
      <c r="I783" s="99"/>
      <c r="J783" s="128">
        <f>SUMPRODUCT(--($B$3:$B$758="03"), --($C$3:$C$758="04"), $J$3:$J$758)</f>
        <v>160813.35999999999</v>
      </c>
      <c r="K783" s="128">
        <f>SUMPRODUCT(--($B$3:$B$758="03"), --($C$3:$C$758="04"), $K$3:$K$758)</f>
        <v>0</v>
      </c>
      <c r="L783" s="128">
        <f>SUMPRODUCT(--($B$3:$B$758="03"), --($C$3:$C$758="04"), $L$3:$L$758)</f>
        <v>88282.02</v>
      </c>
      <c r="M783" s="128">
        <f>SUMPRODUCT(--($B$3:$B$758="03"), --($C$3:$C$758="04"), $M$3:$M$758)</f>
        <v>3420.3399999999997</v>
      </c>
      <c r="N783" s="128">
        <f>SUMPRODUCT(--($B$3:$B$758="03"), --($C$3:$C$758="04"), $N$3:$N$758)</f>
        <v>84861.680000000008</v>
      </c>
    </row>
    <row r="784" spans="8:14" x14ac:dyDescent="0.25">
      <c r="H784" s="259"/>
      <c r="I784" s="240"/>
      <c r="J784" s="234">
        <f>SUM(J782:J783)</f>
        <v>307163</v>
      </c>
      <c r="K784" s="234">
        <f>SUM(K782:K783)</f>
        <v>0</v>
      </c>
      <c r="L784" s="234">
        <f>SUM(L782:L783)</f>
        <v>145644.95000000001</v>
      </c>
      <c r="M784" s="234">
        <f>SUM(M782:M783)</f>
        <v>5477.75</v>
      </c>
      <c r="N784" s="234">
        <f>SUM(N782:N783)</f>
        <v>140167.20000000001</v>
      </c>
    </row>
    <row r="785" spans="8:14" x14ac:dyDescent="0.25">
      <c r="H785" s="252" t="s">
        <v>1247</v>
      </c>
      <c r="I785" s="99"/>
      <c r="J785" s="240"/>
      <c r="K785" s="240"/>
      <c r="L785" s="240"/>
      <c r="M785" s="240"/>
      <c r="N785" s="240"/>
    </row>
    <row r="786" spans="8:14" x14ac:dyDescent="0.25">
      <c r="H786" s="104" t="s">
        <v>1143</v>
      </c>
      <c r="I786" s="99"/>
      <c r="J786" s="128">
        <f>SUMPRODUCT(--($B$3:$B$758="01"), --($C$3:$C$758="05"), $J$3:$J$758)</f>
        <v>252813.1</v>
      </c>
      <c r="K786" s="128">
        <f>SUMPRODUCT(--($B$3:$B$758="01"), --($C$3:$C$758="05"), $K$3:$K$758)</f>
        <v>0</v>
      </c>
      <c r="L786" s="128">
        <f>SUMPRODUCT(--($B$3:$B$758="01"), --($C$3:$C$758="05"), $L$3:$L$758)</f>
        <v>112550.34000000001</v>
      </c>
      <c r="M786" s="128">
        <f>SUMPRODUCT(--($B$3:$B$758="01"), --($C$3:$C$758="05"), $M$3:$M$758)</f>
        <v>17393.760000000002</v>
      </c>
      <c r="N786" s="128">
        <f>SUMPRODUCT(--($B$3:$B$758="01"), --($C$3:$C$758="05"), $N$3:$N$758)</f>
        <v>95156.580000000016</v>
      </c>
    </row>
    <row r="787" spans="8:14" x14ac:dyDescent="0.25">
      <c r="H787" s="104" t="s">
        <v>1144</v>
      </c>
      <c r="I787" s="99"/>
      <c r="J787" s="128">
        <f>SUMPRODUCT(--($B$3:$B$758="02"), --($C$3:$C$758="05"), $J$3:$J$758)</f>
        <v>70706.7</v>
      </c>
      <c r="K787" s="128">
        <f>SUMPRODUCT(--($B$3:$B$758="02"), --($C$3:$C$758="05"), $K$3:$K$758)</f>
        <v>0</v>
      </c>
      <c r="L787" s="128">
        <f>SUMPRODUCT(--($B$3:$B$758="02"), --($C$3:$C$758="05"), $L$3:$L$758)</f>
        <v>29855.519999999997</v>
      </c>
      <c r="M787" s="128">
        <f>SUMPRODUCT(--($B$3:$B$758="02"), --($C$3:$C$758="05"), $M$3:$M$758)</f>
        <v>5764.43</v>
      </c>
      <c r="N787" s="128">
        <f>SUMPRODUCT(--($B$3:$B$758="02"), --($C$3:$C$758="05"),$N$3:$N$758)</f>
        <v>24091.09</v>
      </c>
    </row>
    <row r="788" spans="8:14" x14ac:dyDescent="0.25">
      <c r="H788" s="104" t="s">
        <v>1145</v>
      </c>
      <c r="I788" s="99"/>
      <c r="J788" s="128">
        <f>SUMPRODUCT(--($B$3:$B$758="03"), --($C$3:$C$758="05"), $J$3:$J$758)</f>
        <v>456170.37</v>
      </c>
      <c r="K788" s="128">
        <f>SUMPRODUCT(--($B$3:$B$758="03"), --($C$3:$C$758="05"), $K$3:$K$758)</f>
        <v>0</v>
      </c>
      <c r="L788" s="128">
        <f>SUMPRODUCT(--($B$3:$B$758="03"), --($C$3:$C$758="05"), $L$3:$L$758)</f>
        <v>359704.04999999993</v>
      </c>
      <c r="M788" s="128">
        <f>SUMPRODUCT(--($B$3:$B$758="03"), --($C$3:$C$758="05"), $M$3:$M$758)</f>
        <v>31724.41</v>
      </c>
      <c r="N788" s="128">
        <f>SUMPRODUCT(--($B$3:$B$758="03"), --($C$3:$C$758="05"), $N$3:$N$758)</f>
        <v>327979.64</v>
      </c>
    </row>
    <row r="789" spans="8:14" x14ac:dyDescent="0.25">
      <c r="H789" s="104" t="s">
        <v>1146</v>
      </c>
      <c r="I789" s="99"/>
      <c r="J789" s="128">
        <f>SUMPRODUCT(--($B$3:$B$758="04"), --($C$3:$C$758="05"), $J$3:$J$758)</f>
        <v>96331.53</v>
      </c>
      <c r="K789" s="128">
        <f>SUMPRODUCT(--($B$3:$B$758="04"), --($C$3:$C$758="05"), $K$3:$K$758)</f>
        <v>0</v>
      </c>
      <c r="L789" s="128">
        <f>SUMPRODUCT(--($B$3:$B$758="04"), --($C$3:$C$758="05"), $L$3:$L$758)</f>
        <v>81339.139999999985</v>
      </c>
      <c r="M789" s="128">
        <f>SUMPRODUCT(--($B$3:$B$758="04"), --($C$3:$C$758="05"), $M$3:$M$758)</f>
        <v>7799.5900000000011</v>
      </c>
      <c r="N789" s="128">
        <f>SUMPRODUCT(--($B$3:$B$758="04"), --($C$3:$C$758="05"), $N$3:$N$758)</f>
        <v>73539.55</v>
      </c>
    </row>
    <row r="790" spans="8:14" x14ac:dyDescent="0.25">
      <c r="H790" s="104" t="s">
        <v>1147</v>
      </c>
      <c r="I790" s="99"/>
      <c r="J790" s="128">
        <f>SUMPRODUCT(--($B$3:$B$758="05"), --($C$3:$C$758="05"), $J$3:$J$758)</f>
        <v>0</v>
      </c>
      <c r="K790" s="128">
        <f>SUMPRODUCT(--($B$3:$B$758="05"), --($C$3:$C$758="05"), $K$3:$K$758)</f>
        <v>0</v>
      </c>
      <c r="L790" s="128">
        <f>SUMPRODUCT(--($B$3:$B$758="05"), --($C$3:$C$758="05"), $L$3:$L$758)</f>
        <v>0</v>
      </c>
      <c r="M790" s="128">
        <f>SUMPRODUCT(--($B$3:$B$758="05"), --($C$3:$C$758="05"), $M$3:$M$758)</f>
        <v>0</v>
      </c>
      <c r="N790" s="128">
        <f>SUMPRODUCT(--($B$3:$B$758="05"), --($C$3:$C$758="05"), $N$3:$N$758)</f>
        <v>0</v>
      </c>
    </row>
    <row r="791" spans="8:14" x14ac:dyDescent="0.25">
      <c r="H791" s="104" t="s">
        <v>1148</v>
      </c>
      <c r="I791" s="99"/>
      <c r="J791" s="128">
        <f>SUMPRODUCT(--($B$3:$B$758="06"), --($C$3:$C$758="05"), $J$3:$J$758)</f>
        <v>0</v>
      </c>
      <c r="K791" s="128">
        <f>SUMPRODUCT(--($B$3:$B$758="06"), --($C$3:$C$758="05"), $K$3:$K$758)</f>
        <v>0</v>
      </c>
      <c r="L791" s="128">
        <f>SUMPRODUCT(--($B$3:$B$758="06"), --($C$3:$C$758="05"), $L$3:$L$758)</f>
        <v>0</v>
      </c>
      <c r="M791" s="128">
        <f>SUMPRODUCT(--($B$3:$B$758="06"), --($C$3:$C$758="05"), $M$3:$M$758)</f>
        <v>0</v>
      </c>
      <c r="N791" s="128">
        <f>SUMPRODUCT(--($B$3:$B$758="06"), --($C$3:$C$758="05"), $N$3:$N$758)</f>
        <v>0</v>
      </c>
    </row>
    <row r="792" spans="8:14" x14ac:dyDescent="0.25">
      <c r="H792" s="259"/>
      <c r="I792" s="257"/>
      <c r="J792" s="234">
        <f>SUM(J786:J791)</f>
        <v>876021.7</v>
      </c>
      <c r="K792" s="234">
        <f>SUM(K786:K791)</f>
        <v>0</v>
      </c>
      <c r="L792" s="234">
        <f>SUM(L786:L791)</f>
        <v>583449.04999999993</v>
      </c>
      <c r="M792" s="234">
        <f>SUM(M786:M791)</f>
        <v>62682.19000000001</v>
      </c>
      <c r="N792" s="234">
        <f>SUM(N786:N791)</f>
        <v>520766.86000000004</v>
      </c>
    </row>
    <row r="793" spans="8:14" x14ac:dyDescent="0.25">
      <c r="H793" s="233"/>
      <c r="I793" s="232"/>
      <c r="J793" s="231">
        <f>J770+J776+J780+J784+J792</f>
        <v>10445602.039999999</v>
      </c>
      <c r="K793" s="231">
        <f>K770+K776+K780+K784+K792</f>
        <v>0</v>
      </c>
      <c r="L793" s="231">
        <f>L770+L776+L780+L784+L792</f>
        <v>5004444.25</v>
      </c>
      <c r="M793" s="231">
        <f>M770+M776+M780+M784+M792</f>
        <v>407827.34</v>
      </c>
      <c r="N793" s="231">
        <f>N770+N776+N780+N784+N792</f>
        <v>4596616.91</v>
      </c>
    </row>
    <row r="795" spans="8:14" ht="15.75" thickBot="1" x14ac:dyDescent="0.3">
      <c r="I795" s="491" t="s">
        <v>3430</v>
      </c>
      <c r="J795" s="493">
        <f>SUM(J3:J757)</f>
        <v>10445602.039999994</v>
      </c>
      <c r="K795" s="493">
        <f>SUM(K3:K757)</f>
        <v>0</v>
      </c>
      <c r="L795" s="493">
        <f>SUM(L3:L757)</f>
        <v>5004444.2499999935</v>
      </c>
      <c r="M795" s="493">
        <f>SUM(M3:M757)</f>
        <v>407827.33999999997</v>
      </c>
      <c r="N795" s="493">
        <f>SUM(N3:N757)</f>
        <v>4596616.91</v>
      </c>
    </row>
    <row r="796" spans="8:14" ht="15.75" thickTop="1" x14ac:dyDescent="0.25">
      <c r="J796" s="488">
        <f>J795-J793</f>
        <v>0</v>
      </c>
      <c r="K796" s="488">
        <f>K795-K793</f>
        <v>0</v>
      </c>
      <c r="L796" s="488">
        <f>L795-L793</f>
        <v>0</v>
      </c>
      <c r="M796" s="488">
        <f>M795-M793</f>
        <v>0</v>
      </c>
      <c r="N796" s="488">
        <f>N795-N793</f>
        <v>0</v>
      </c>
    </row>
    <row r="798" spans="8:14" x14ac:dyDescent="0.25">
      <c r="J798" s="429"/>
      <c r="K798" s="429"/>
      <c r="L798" s="429"/>
      <c r="M798" s="429"/>
      <c r="N798" s="429"/>
    </row>
  </sheetData>
  <sheetProtection password="CFD3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22"/>
  <sheetViews>
    <sheetView topLeftCell="C1" workbookViewId="0">
      <pane ySplit="1" topLeftCell="A2" activePane="bottomLeft" state="frozen"/>
      <selection pane="bottomLeft" activeCell="E219" sqref="E219"/>
    </sheetView>
  </sheetViews>
  <sheetFormatPr defaultColWidth="9.140625" defaultRowHeight="15" outlineLevelCol="1" x14ac:dyDescent="0.25"/>
  <cols>
    <col min="1" max="2" width="12.5703125" style="429" hidden="1" customWidth="1" outlineLevel="1"/>
    <col min="3" max="3" width="16" style="429" bestFit="1" customWidth="1" collapsed="1"/>
    <col min="4" max="4" width="41" style="429" bestFit="1" customWidth="1"/>
    <col min="5" max="5" width="16.42578125" style="429" customWidth="1"/>
    <col min="6" max="6" width="18.85546875" style="429" customWidth="1" outlineLevel="1"/>
    <col min="7" max="7" width="17.85546875" style="429" customWidth="1" outlineLevel="1"/>
    <col min="8" max="8" width="18.42578125" style="429" customWidth="1" outlineLevel="1"/>
    <col min="9" max="9" width="15.85546875" style="429" customWidth="1" outlineLevel="1"/>
    <col min="10" max="10" width="14.28515625" style="429" customWidth="1" outlineLevel="1"/>
    <col min="11" max="11" width="20.28515625" style="265" customWidth="1"/>
    <col min="12" max="13" width="8.85546875" style="429" customWidth="1"/>
    <col min="14" max="16384" width="9.140625" style="429"/>
  </cols>
  <sheetData>
    <row r="1" spans="1:11" x14ac:dyDescent="0.25">
      <c r="A1" s="261" t="s">
        <v>1240</v>
      </c>
      <c r="B1" s="261" t="s">
        <v>1768</v>
      </c>
      <c r="C1" s="261" t="s">
        <v>1149</v>
      </c>
      <c r="D1" s="261" t="s">
        <v>1150</v>
      </c>
      <c r="E1" s="262" t="s">
        <v>1115</v>
      </c>
      <c r="F1" s="262" t="s">
        <v>1116</v>
      </c>
      <c r="G1" s="262" t="s">
        <v>1117</v>
      </c>
      <c r="H1" s="262" t="s">
        <v>1118</v>
      </c>
      <c r="I1" s="262" t="s">
        <v>1119</v>
      </c>
      <c r="J1" s="262" t="s">
        <v>1769</v>
      </c>
      <c r="K1" s="264" t="s">
        <v>1770</v>
      </c>
    </row>
    <row r="2" spans="1:11" x14ac:dyDescent="0.25">
      <c r="A2" s="430" t="str">
        <f t="shared" ref="A2:A65" si="0">LEFT(C2,2)</f>
        <v>01</v>
      </c>
      <c r="B2" s="430" t="str">
        <f t="shared" ref="B2:B65" si="1">RIGHT(C2,7)</f>
        <v>140-000</v>
      </c>
      <c r="C2" s="429" t="s">
        <v>1467</v>
      </c>
      <c r="D2" s="429" t="s">
        <v>1468</v>
      </c>
      <c r="E2" s="486">
        <f>VLOOKUP(C2,'Full Trial Balance'!$A$4:$G$2306,3,FALSE)</f>
        <v>0</v>
      </c>
      <c r="F2" s="486">
        <f>VLOOKUP(C2,'Full Trial Balance'!$A$4:$G$2306,4,FALSE)</f>
        <v>145666.84</v>
      </c>
      <c r="G2" s="486">
        <f>VLOOKUP(C2,'Full Trial Balance'!$A$4:$G$2306,5,FALSE)</f>
        <v>0</v>
      </c>
      <c r="H2" s="486">
        <f>VLOOKUP(C2,'Full Trial Balance'!$A$4:$G$2306,6,FALSE)</f>
        <v>0</v>
      </c>
      <c r="I2" s="486">
        <f>VLOOKUP(C2,'Full Trial Balance'!$A$4:$G$2306,7,FALSE)</f>
        <v>145666.84</v>
      </c>
      <c r="K2" s="265">
        <f t="shared" ref="K2:K65" si="2">G2-H2+J2</f>
        <v>0</v>
      </c>
    </row>
    <row r="3" spans="1:11" x14ac:dyDescent="0.25">
      <c r="A3" s="430" t="str">
        <f t="shared" si="0"/>
        <v>01</v>
      </c>
      <c r="B3" s="430" t="str">
        <f t="shared" si="1"/>
        <v>140-005</v>
      </c>
      <c r="C3" s="429" t="s">
        <v>1469</v>
      </c>
      <c r="D3" s="429" t="s">
        <v>1470</v>
      </c>
      <c r="E3" s="486">
        <f>VLOOKUP(C3,'Full Trial Balance'!$A$4:$G$2306,3,FALSE)</f>
        <v>0</v>
      </c>
      <c r="F3" s="486">
        <f>VLOOKUP(C3,'Full Trial Balance'!$A$4:$G$2306,4,FALSE)</f>
        <v>314463.02</v>
      </c>
      <c r="G3" s="486">
        <f>VLOOKUP(C3,'Full Trial Balance'!$A$4:$G$2306,5,FALSE)</f>
        <v>0</v>
      </c>
      <c r="H3" s="486">
        <f>VLOOKUP(C3,'Full Trial Balance'!$A$4:$G$2306,6,FALSE)</f>
        <v>0</v>
      </c>
      <c r="I3" s="486">
        <f>VLOOKUP(C3,'Full Trial Balance'!$A$4:$G$2306,7,FALSE)</f>
        <v>314463.02</v>
      </c>
      <c r="K3" s="265">
        <f t="shared" si="2"/>
        <v>0</v>
      </c>
    </row>
    <row r="4" spans="1:11" x14ac:dyDescent="0.25">
      <c r="A4" s="430" t="str">
        <f t="shared" si="0"/>
        <v>01</v>
      </c>
      <c r="B4" s="430" t="str">
        <f t="shared" si="1"/>
        <v>140-010</v>
      </c>
      <c r="C4" s="429" t="s">
        <v>1471</v>
      </c>
      <c r="D4" s="429" t="s">
        <v>1472</v>
      </c>
      <c r="E4" s="486">
        <f>VLOOKUP(C4,'Full Trial Balance'!$A$4:$G$2306,3,FALSE)</f>
        <v>0</v>
      </c>
      <c r="F4" s="486">
        <f>VLOOKUP(C4,'Full Trial Balance'!$A$4:$G$2306,4,FALSE)</f>
        <v>60134.93</v>
      </c>
      <c r="G4" s="486">
        <f>VLOOKUP(C4,'Full Trial Balance'!$A$4:$G$2306,5,FALSE)</f>
        <v>0</v>
      </c>
      <c r="H4" s="486">
        <f>VLOOKUP(C4,'Full Trial Balance'!$A$4:$G$2306,6,FALSE)</f>
        <v>0</v>
      </c>
      <c r="I4" s="486">
        <f>VLOOKUP(C4,'Full Trial Balance'!$A$4:$G$2306,7,FALSE)</f>
        <v>60134.93</v>
      </c>
      <c r="K4" s="265">
        <f t="shared" si="2"/>
        <v>0</v>
      </c>
    </row>
    <row r="5" spans="1:11" x14ac:dyDescent="0.25">
      <c r="A5" s="430" t="str">
        <f t="shared" si="0"/>
        <v>01</v>
      </c>
      <c r="B5" s="430" t="str">
        <f t="shared" si="1"/>
        <v>142-000</v>
      </c>
      <c r="C5" s="429" t="s">
        <v>1473</v>
      </c>
      <c r="D5" s="429" t="s">
        <v>1474</v>
      </c>
      <c r="E5" s="486">
        <f>VLOOKUP(C5,'Full Trial Balance'!$A$4:$G$2306,3,FALSE)</f>
        <v>0</v>
      </c>
      <c r="F5" s="486">
        <f>VLOOKUP(C5,'Full Trial Balance'!$A$4:$G$2306,4,FALSE)</f>
        <v>2379410</v>
      </c>
      <c r="G5" s="486">
        <f>VLOOKUP(C5,'Full Trial Balance'!$A$4:$G$2306,5,FALSE)</f>
        <v>0</v>
      </c>
      <c r="H5" s="486">
        <f>VLOOKUP(C5,'Full Trial Balance'!$A$4:$G$2306,6,FALSE)</f>
        <v>0</v>
      </c>
      <c r="I5" s="486">
        <f>VLOOKUP(C5,'Full Trial Balance'!$A$4:$G$2306,7,FALSE)</f>
        <v>2379410</v>
      </c>
      <c r="K5" s="265">
        <f t="shared" si="2"/>
        <v>0</v>
      </c>
    </row>
    <row r="6" spans="1:11" x14ac:dyDescent="0.25">
      <c r="A6" s="430" t="str">
        <f t="shared" si="0"/>
        <v>01</v>
      </c>
      <c r="B6" s="430" t="str">
        <f t="shared" si="1"/>
        <v>143-000</v>
      </c>
      <c r="C6" s="429" t="s">
        <v>1475</v>
      </c>
      <c r="D6" s="429" t="s">
        <v>1476</v>
      </c>
      <c r="E6" s="486">
        <f>VLOOKUP(C6,'Full Trial Balance'!$A$4:$G$2306,3,FALSE)</f>
        <v>0</v>
      </c>
      <c r="F6" s="486">
        <f>VLOOKUP(C6,'Full Trial Balance'!$A$4:$G$2306,4,FALSE)</f>
        <v>0</v>
      </c>
      <c r="G6" s="486">
        <f>VLOOKUP(C6,'Full Trial Balance'!$A$4:$G$2306,5,FALSE)</f>
        <v>0</v>
      </c>
      <c r="H6" s="486">
        <f>VLOOKUP(C6,'Full Trial Balance'!$A$4:$G$2306,6,FALSE)</f>
        <v>0</v>
      </c>
      <c r="I6" s="486">
        <f>VLOOKUP(C6,'Full Trial Balance'!$A$4:$G$2306,7,FALSE)</f>
        <v>0</v>
      </c>
      <c r="K6" s="265">
        <f t="shared" si="2"/>
        <v>0</v>
      </c>
    </row>
    <row r="7" spans="1:11" x14ac:dyDescent="0.25">
      <c r="A7" s="430" t="str">
        <f t="shared" si="0"/>
        <v>01</v>
      </c>
      <c r="B7" s="430" t="str">
        <f t="shared" si="1"/>
        <v>144-010</v>
      </c>
      <c r="C7" s="429" t="s">
        <v>1477</v>
      </c>
      <c r="D7" s="429" t="s">
        <v>1478</v>
      </c>
      <c r="E7" s="486">
        <f>VLOOKUP(C7,'Full Trial Balance'!$A$4:$G$2306,3,FALSE)</f>
        <v>0</v>
      </c>
      <c r="F7" s="486">
        <f>VLOOKUP(C7,'Full Trial Balance'!$A$4:$G$2306,4,FALSE)</f>
        <v>2643500.08</v>
      </c>
      <c r="G7" s="486">
        <f>VLOOKUP(C7,'Full Trial Balance'!$A$4:$G$2306,5,FALSE)</f>
        <v>0</v>
      </c>
      <c r="H7" s="486">
        <f>VLOOKUP(C7,'Full Trial Balance'!$A$4:$G$2306,6,FALSE)</f>
        <v>0</v>
      </c>
      <c r="I7" s="486">
        <f>VLOOKUP(C7,'Full Trial Balance'!$A$4:$G$2306,7,FALSE)</f>
        <v>2643500.08</v>
      </c>
      <c r="K7" s="265">
        <f t="shared" si="2"/>
        <v>0</v>
      </c>
    </row>
    <row r="8" spans="1:11" x14ac:dyDescent="0.25">
      <c r="A8" s="430" t="str">
        <f t="shared" si="0"/>
        <v>01</v>
      </c>
      <c r="B8" s="430" t="str">
        <f t="shared" si="1"/>
        <v>145-000</v>
      </c>
      <c r="C8" s="429" t="s">
        <v>1479</v>
      </c>
      <c r="D8" s="429" t="s">
        <v>1480</v>
      </c>
      <c r="E8" s="486">
        <f>VLOOKUP(C8,'Full Trial Balance'!$A$4:$G$2306,3,FALSE)</f>
        <v>0</v>
      </c>
      <c r="F8" s="486">
        <f>VLOOKUP(C8,'Full Trial Balance'!$A$4:$G$2306,4,FALSE)</f>
        <v>4901324.45</v>
      </c>
      <c r="G8" s="486">
        <f>VLOOKUP(C8,'Full Trial Balance'!$A$4:$G$2306,5,FALSE)</f>
        <v>0</v>
      </c>
      <c r="H8" s="486">
        <f>VLOOKUP(C8,'Full Trial Balance'!$A$4:$G$2306,6,FALSE)</f>
        <v>0</v>
      </c>
      <c r="I8" s="486">
        <f>VLOOKUP(C8,'Full Trial Balance'!$A$4:$G$2306,7,FALSE)</f>
        <v>4901324.45</v>
      </c>
      <c r="K8" s="265">
        <f t="shared" si="2"/>
        <v>0</v>
      </c>
    </row>
    <row r="9" spans="1:11" x14ac:dyDescent="0.25">
      <c r="A9" s="430" t="str">
        <f t="shared" si="0"/>
        <v>01</v>
      </c>
      <c r="B9" s="430" t="str">
        <f t="shared" si="1"/>
        <v>146-000</v>
      </c>
      <c r="C9" s="429" t="s">
        <v>1481</v>
      </c>
      <c r="D9" s="429" t="s">
        <v>1482</v>
      </c>
      <c r="E9" s="486">
        <f>VLOOKUP(C9,'Full Trial Balance'!$A$4:$G$2306,3,FALSE)</f>
        <v>0</v>
      </c>
      <c r="F9" s="486">
        <f>VLOOKUP(C9,'Full Trial Balance'!$A$4:$G$2306,4,FALSE)</f>
        <v>0</v>
      </c>
      <c r="G9" s="486">
        <f>VLOOKUP(C9,'Full Trial Balance'!$A$4:$G$2306,5,FALSE)</f>
        <v>0</v>
      </c>
      <c r="H9" s="486">
        <f>VLOOKUP(C9,'Full Trial Balance'!$A$4:$G$2306,6,FALSE)</f>
        <v>0</v>
      </c>
      <c r="I9" s="486">
        <f>VLOOKUP(C9,'Full Trial Balance'!$A$4:$G$2306,7,FALSE)</f>
        <v>0</v>
      </c>
      <c r="K9" s="265">
        <f t="shared" si="2"/>
        <v>0</v>
      </c>
    </row>
    <row r="10" spans="1:11" x14ac:dyDescent="0.25">
      <c r="A10" s="430" t="str">
        <f t="shared" si="0"/>
        <v>01</v>
      </c>
      <c r="B10" s="430" t="str">
        <f t="shared" si="1"/>
        <v>148-001</v>
      </c>
      <c r="C10" s="429" t="s">
        <v>1483</v>
      </c>
      <c r="D10" s="429" t="s">
        <v>1484</v>
      </c>
      <c r="E10" s="486">
        <v>2592</v>
      </c>
      <c r="F10" s="486">
        <f>VLOOKUP(C10,'Full Trial Balance'!$A$4:$G$2306,4,FALSE)</f>
        <v>19798.72</v>
      </c>
      <c r="G10" s="486">
        <f>VLOOKUP(C10,'Full Trial Balance'!$A$4:$G$2306,5,FALSE)</f>
        <v>0</v>
      </c>
      <c r="H10" s="486">
        <f>VLOOKUP(C10,'Full Trial Balance'!$A$4:$G$2306,6,FALSE)</f>
        <v>0</v>
      </c>
      <c r="I10" s="486">
        <f>VLOOKUP(C10,'Full Trial Balance'!$A$4:$G$2306,7,FALSE)</f>
        <v>19798.72</v>
      </c>
      <c r="K10" s="265">
        <f t="shared" si="2"/>
        <v>0</v>
      </c>
    </row>
    <row r="11" spans="1:11" x14ac:dyDescent="0.25">
      <c r="A11" s="430" t="str">
        <f t="shared" si="0"/>
        <v>01</v>
      </c>
      <c r="B11" s="430" t="str">
        <f t="shared" si="1"/>
        <v>150-001</v>
      </c>
      <c r="C11" s="429" t="s">
        <v>1485</v>
      </c>
      <c r="D11" s="429" t="s">
        <v>1486</v>
      </c>
      <c r="E11" s="486">
        <v>20467</v>
      </c>
      <c r="F11" s="486">
        <f>VLOOKUP(C11,'Full Trial Balance'!$A$4:$G$2306,4,FALSE)</f>
        <v>60198.22</v>
      </c>
      <c r="G11" s="486">
        <f>VLOOKUP(C11,'Full Trial Balance'!$A$4:$G$2306,5,FALSE)</f>
        <v>2996.1</v>
      </c>
      <c r="H11" s="486">
        <f>VLOOKUP(C11,'Full Trial Balance'!$A$4:$G$2306,6,FALSE)</f>
        <v>0</v>
      </c>
      <c r="I11" s="486">
        <f>VLOOKUP(C11,'Full Trial Balance'!$A$4:$G$2306,7,FALSE)</f>
        <v>63194.32</v>
      </c>
      <c r="J11" s="506"/>
      <c r="K11" s="265">
        <f t="shared" si="2"/>
        <v>2996.1</v>
      </c>
    </row>
    <row r="12" spans="1:11" x14ac:dyDescent="0.25">
      <c r="A12" s="430" t="str">
        <f t="shared" si="0"/>
        <v>01</v>
      </c>
      <c r="B12" s="430" t="str">
        <f t="shared" si="1"/>
        <v>150-003</v>
      </c>
      <c r="C12" s="429" t="s">
        <v>1487</v>
      </c>
      <c r="D12" s="506" t="s">
        <v>1488</v>
      </c>
      <c r="E12" s="486">
        <f>VLOOKUP(C12,'Full Trial Balance'!$A$4:$G$2306,3,FALSE)</f>
        <v>0</v>
      </c>
      <c r="F12" s="486">
        <f>VLOOKUP(C12,'Full Trial Balance'!$A$4:$G$2306,4,FALSE)</f>
        <v>5381.81</v>
      </c>
      <c r="G12" s="486">
        <f>VLOOKUP(C12,'Full Trial Balance'!$A$4:$G$2306,5,FALSE)</f>
        <v>0</v>
      </c>
      <c r="H12" s="486">
        <f>VLOOKUP(C12,'Full Trial Balance'!$A$4:$G$2306,6,FALSE)</f>
        <v>0</v>
      </c>
      <c r="I12" s="486">
        <f>VLOOKUP(C12,'Full Trial Balance'!$A$4:$G$2306,7,FALSE)</f>
        <v>5381.81</v>
      </c>
      <c r="J12" s="506"/>
      <c r="K12" s="265">
        <f t="shared" si="2"/>
        <v>0</v>
      </c>
    </row>
    <row r="13" spans="1:11" x14ac:dyDescent="0.25">
      <c r="A13" s="430" t="str">
        <f t="shared" si="0"/>
        <v>01</v>
      </c>
      <c r="B13" s="430" t="str">
        <f t="shared" si="1"/>
        <v>152-000</v>
      </c>
      <c r="C13" s="429" t="s">
        <v>1489</v>
      </c>
      <c r="D13" s="506" t="s">
        <v>84</v>
      </c>
      <c r="E13" s="486">
        <f>VLOOKUP(C13,'Full Trial Balance'!$A$4:$G$2306,3,FALSE)</f>
        <v>0</v>
      </c>
      <c r="F13" s="486">
        <f>VLOOKUP(C13,'Full Trial Balance'!$A$4:$G$2306,4,FALSE)</f>
        <v>600647.19999999995</v>
      </c>
      <c r="G13" s="486">
        <f>VLOOKUP(C13,'Full Trial Balance'!$A$4:$G$2306,5,FALSE)</f>
        <v>0</v>
      </c>
      <c r="H13" s="486">
        <f>VLOOKUP(C13,'Full Trial Balance'!$A$4:$G$2306,6,FALSE)</f>
        <v>0</v>
      </c>
      <c r="I13" s="486">
        <f>VLOOKUP(C13,'Full Trial Balance'!$A$4:$G$2306,7,FALSE)</f>
        <v>600647.19999999995</v>
      </c>
      <c r="J13" s="506"/>
      <c r="K13" s="265">
        <f t="shared" si="2"/>
        <v>0</v>
      </c>
    </row>
    <row r="14" spans="1:11" x14ac:dyDescent="0.25">
      <c r="A14" s="430" t="str">
        <f t="shared" si="0"/>
        <v>01</v>
      </c>
      <c r="B14" s="430" t="str">
        <f t="shared" si="1"/>
        <v>155-000</v>
      </c>
      <c r="C14" s="429" t="s">
        <v>1490</v>
      </c>
      <c r="D14" s="506" t="s">
        <v>1491</v>
      </c>
      <c r="E14" s="486">
        <f>VLOOKUP(C14,'Full Trial Balance'!$A$4:$G$2306,3,FALSE)</f>
        <v>0</v>
      </c>
      <c r="F14" s="486">
        <f>VLOOKUP(C14,'Full Trial Balance'!$A$4:$G$2306,4,FALSE)</f>
        <v>1754349.41</v>
      </c>
      <c r="G14" s="486">
        <f>VLOOKUP(C14,'Full Trial Balance'!$A$4:$G$2306,5,FALSE)</f>
        <v>0</v>
      </c>
      <c r="H14" s="486">
        <f>VLOOKUP(C14,'Full Trial Balance'!$A$4:$G$2306,6,FALSE)</f>
        <v>0</v>
      </c>
      <c r="I14" s="486">
        <f>VLOOKUP(C14,'Full Trial Balance'!$A$4:$G$2306,7,FALSE)</f>
        <v>1754349.41</v>
      </c>
      <c r="J14" s="506"/>
      <c r="K14" s="265">
        <f t="shared" si="2"/>
        <v>0</v>
      </c>
    </row>
    <row r="15" spans="1:11" s="506" customFormat="1" x14ac:dyDescent="0.25">
      <c r="A15" s="430" t="str">
        <f t="shared" si="0"/>
        <v>01</v>
      </c>
      <c r="B15" s="430" t="str">
        <f t="shared" si="1"/>
        <v>155-001</v>
      </c>
      <c r="C15" s="506" t="s">
        <v>1492</v>
      </c>
      <c r="D15" s="506" t="s">
        <v>1493</v>
      </c>
      <c r="E15" s="486">
        <v>29000</v>
      </c>
      <c r="F15" s="486">
        <f>VLOOKUP(C15,'Full Trial Balance'!$A$4:$G$2306,4,FALSE)</f>
        <v>215193.71</v>
      </c>
      <c r="G15" s="486">
        <f>VLOOKUP(C15,'Full Trial Balance'!$A$4:$G$2306,5,FALSE)</f>
        <v>5915.4</v>
      </c>
      <c r="H15" s="486">
        <f>VLOOKUP(C15,'Full Trial Balance'!$A$4:$G$2306,6,FALSE)</f>
        <v>0</v>
      </c>
      <c r="I15" s="486">
        <f>VLOOKUP(C15,'Full Trial Balance'!$A$4:$G$2306,7,FALSE)</f>
        <v>221109.11</v>
      </c>
      <c r="K15" s="265">
        <f t="shared" si="2"/>
        <v>5915.4</v>
      </c>
    </row>
    <row r="16" spans="1:11" s="506" customFormat="1" x14ac:dyDescent="0.25">
      <c r="A16" s="430" t="str">
        <f t="shared" si="0"/>
        <v>01</v>
      </c>
      <c r="B16" s="430" t="str">
        <f t="shared" si="1"/>
        <v>156-000</v>
      </c>
      <c r="C16" s="506" t="s">
        <v>1494</v>
      </c>
      <c r="D16" s="506" t="s">
        <v>1495</v>
      </c>
      <c r="E16" s="486">
        <f>VLOOKUP(C16,'Full Trial Balance'!$A$4:$G$2306,3,FALSE)</f>
        <v>0</v>
      </c>
      <c r="F16" s="486">
        <f>VLOOKUP(C16,'Full Trial Balance'!$A$4:$G$2306,4,FALSE)</f>
        <v>302866</v>
      </c>
      <c r="G16" s="486">
        <f>VLOOKUP(C16,'Full Trial Balance'!$A$4:$G$2306,5,FALSE)</f>
        <v>0</v>
      </c>
      <c r="H16" s="486">
        <f>VLOOKUP(C16,'Full Trial Balance'!$A$4:$G$2306,6,FALSE)</f>
        <v>0</v>
      </c>
      <c r="I16" s="486">
        <f>VLOOKUP(C16,'Full Trial Balance'!$A$4:$G$2306,7,FALSE)</f>
        <v>302866</v>
      </c>
      <c r="K16" s="265">
        <f t="shared" si="2"/>
        <v>0</v>
      </c>
    </row>
    <row r="17" spans="1:11" s="506" customFormat="1" x14ac:dyDescent="0.25">
      <c r="A17" s="430" t="str">
        <f t="shared" si="0"/>
        <v>01</v>
      </c>
      <c r="B17" s="430" t="str">
        <f t="shared" si="1"/>
        <v>157-000</v>
      </c>
      <c r="C17" s="506" t="s">
        <v>1496</v>
      </c>
      <c r="D17" s="506" t="s">
        <v>1497</v>
      </c>
      <c r="E17" s="486">
        <v>56550</v>
      </c>
      <c r="F17" s="486">
        <f>VLOOKUP(C17,'Full Trial Balance'!$A$4:$G$2306,4,FALSE)</f>
        <v>99740.07</v>
      </c>
      <c r="G17" s="486">
        <f>VLOOKUP(C17,'Full Trial Balance'!$A$4:$G$2306,5,FALSE)</f>
        <v>0</v>
      </c>
      <c r="H17" s="486">
        <f>VLOOKUP(C17,'Full Trial Balance'!$A$4:$G$2306,6,FALSE)</f>
        <v>0</v>
      </c>
      <c r="I17" s="486">
        <f>VLOOKUP(C17,'Full Trial Balance'!$A$4:$G$2306,7,FALSE)</f>
        <v>99740.07</v>
      </c>
      <c r="K17" s="265">
        <f t="shared" si="2"/>
        <v>0</v>
      </c>
    </row>
    <row r="18" spans="1:11" s="506" customFormat="1" x14ac:dyDescent="0.25">
      <c r="A18" s="430" t="str">
        <f t="shared" si="0"/>
        <v>01</v>
      </c>
      <c r="B18" s="430" t="str">
        <f t="shared" si="1"/>
        <v>159-000</v>
      </c>
      <c r="C18" s="506" t="s">
        <v>1498</v>
      </c>
      <c r="D18" s="506" t="s">
        <v>1499</v>
      </c>
      <c r="E18" s="486">
        <f>VLOOKUP(C18,'Full Trial Balance'!$A$4:$G$2306,3,FALSE)</f>
        <v>0</v>
      </c>
      <c r="F18" s="486">
        <f>VLOOKUP(C18,'Full Trial Balance'!$A$4:$G$2306,4,FALSE)</f>
        <v>622908.55000000005</v>
      </c>
      <c r="G18" s="486">
        <f>VLOOKUP(C18,'Full Trial Balance'!$A$4:$G$2306,5,FALSE)</f>
        <v>0</v>
      </c>
      <c r="H18" s="486">
        <f>VLOOKUP(C18,'Full Trial Balance'!$A$4:$G$2306,6,FALSE)</f>
        <v>0</v>
      </c>
      <c r="I18" s="486">
        <f>VLOOKUP(C18,'Full Trial Balance'!$A$4:$G$2306,7,FALSE)</f>
        <v>622908.55000000005</v>
      </c>
      <c r="J18" s="260"/>
      <c r="K18" s="265">
        <f t="shared" si="2"/>
        <v>0</v>
      </c>
    </row>
    <row r="19" spans="1:11" s="506" customFormat="1" x14ac:dyDescent="0.25">
      <c r="A19" s="430" t="str">
        <f t="shared" si="0"/>
        <v>01</v>
      </c>
      <c r="B19" s="430" t="str">
        <f t="shared" si="1"/>
        <v>160-010</v>
      </c>
      <c r="C19" s="506" t="s">
        <v>1500</v>
      </c>
      <c r="D19" s="506" t="s">
        <v>1501</v>
      </c>
      <c r="E19" s="486">
        <f>VLOOKUP(C19,'Full Trial Balance'!$A$4:$G$2306,3,FALSE)</f>
        <v>0</v>
      </c>
      <c r="F19" s="486">
        <f>VLOOKUP(C19,'Full Trial Balance'!$A$4:$G$2306,4,FALSE)</f>
        <v>255322.88</v>
      </c>
      <c r="G19" s="486">
        <f>VLOOKUP(C19,'Full Trial Balance'!$A$4:$G$2306,5,FALSE)</f>
        <v>0</v>
      </c>
      <c r="H19" s="486">
        <f>VLOOKUP(C19,'Full Trial Balance'!$A$4:$G$2306,6,FALSE)</f>
        <v>0</v>
      </c>
      <c r="I19" s="486">
        <f>VLOOKUP(C19,'Full Trial Balance'!$A$4:$G$2306,7,FALSE)</f>
        <v>255322.88</v>
      </c>
      <c r="K19" s="265">
        <f t="shared" si="2"/>
        <v>0</v>
      </c>
    </row>
    <row r="20" spans="1:11" x14ac:dyDescent="0.25">
      <c r="A20" s="430" t="str">
        <f t="shared" si="0"/>
        <v>01</v>
      </c>
      <c r="B20" s="430" t="str">
        <f t="shared" si="1"/>
        <v>160-020</v>
      </c>
      <c r="C20" s="429" t="s">
        <v>1502</v>
      </c>
      <c r="D20" s="429" t="s">
        <v>1503</v>
      </c>
      <c r="E20" s="486">
        <f>VLOOKUP(C20,'Full Trial Balance'!$A$4:$G$2306,3,FALSE)</f>
        <v>0</v>
      </c>
      <c r="F20" s="486">
        <f>VLOOKUP(C20,'Full Trial Balance'!$A$4:$G$2306,4,FALSE)</f>
        <v>1241417.24</v>
      </c>
      <c r="G20" s="486">
        <f>VLOOKUP(C20,'Full Trial Balance'!$A$4:$G$2306,5,FALSE)</f>
        <v>0</v>
      </c>
      <c r="H20" s="486">
        <f>VLOOKUP(C20,'Full Trial Balance'!$A$4:$G$2306,6,FALSE)</f>
        <v>0</v>
      </c>
      <c r="I20" s="486">
        <f>VLOOKUP(C20,'Full Trial Balance'!$A$4:$G$2306,7,FALSE)</f>
        <v>1241417.24</v>
      </c>
      <c r="K20" s="265">
        <f t="shared" si="2"/>
        <v>0</v>
      </c>
    </row>
    <row r="21" spans="1:11" x14ac:dyDescent="0.25">
      <c r="A21" s="430" t="str">
        <f t="shared" si="0"/>
        <v>01</v>
      </c>
      <c r="B21" s="430" t="str">
        <f t="shared" si="1"/>
        <v>160-030</v>
      </c>
      <c r="C21" s="429" t="s">
        <v>1504</v>
      </c>
      <c r="D21" s="429" t="s">
        <v>1505</v>
      </c>
      <c r="E21" s="486">
        <f>VLOOKUP(C21,'Full Trial Balance'!$A$4:$G$2306,3,FALSE)</f>
        <v>0</v>
      </c>
      <c r="F21" s="486">
        <f>VLOOKUP(C21,'Full Trial Balance'!$A$4:$G$2306,4,FALSE)</f>
        <v>0</v>
      </c>
      <c r="G21" s="486">
        <f>VLOOKUP(C21,'Full Trial Balance'!$A$4:$G$2306,5,FALSE)</f>
        <v>0</v>
      </c>
      <c r="H21" s="486">
        <f>VLOOKUP(C21,'Full Trial Balance'!$A$4:$G$2306,6,FALSE)</f>
        <v>0</v>
      </c>
      <c r="I21" s="486">
        <f>VLOOKUP(C21,'Full Trial Balance'!$A$4:$G$2306,7,FALSE)</f>
        <v>0</v>
      </c>
      <c r="K21" s="265">
        <f t="shared" si="2"/>
        <v>0</v>
      </c>
    </row>
    <row r="22" spans="1:11" x14ac:dyDescent="0.25">
      <c r="A22" s="430" t="str">
        <f t="shared" si="0"/>
        <v>01</v>
      </c>
      <c r="B22" s="430" t="str">
        <f t="shared" si="1"/>
        <v>160-032</v>
      </c>
      <c r="C22" s="429" t="s">
        <v>1506</v>
      </c>
      <c r="D22" s="429" t="s">
        <v>1507</v>
      </c>
      <c r="E22" s="486">
        <f>VLOOKUP(C22,'Full Trial Balance'!$A$4:$G$2306,3,FALSE)</f>
        <v>0</v>
      </c>
      <c r="F22" s="486">
        <f>VLOOKUP(C22,'Full Trial Balance'!$A$4:$G$2306,4,FALSE)</f>
        <v>0</v>
      </c>
      <c r="G22" s="486">
        <f>VLOOKUP(C22,'Full Trial Balance'!$A$4:$G$2306,5,FALSE)</f>
        <v>0</v>
      </c>
      <c r="H22" s="486">
        <f>VLOOKUP(C22,'Full Trial Balance'!$A$4:$G$2306,6,FALSE)</f>
        <v>0</v>
      </c>
      <c r="I22" s="486">
        <f>VLOOKUP(C22,'Full Trial Balance'!$A$4:$G$2306,7,FALSE)</f>
        <v>0</v>
      </c>
      <c r="J22" s="506"/>
      <c r="K22" s="265">
        <f t="shared" si="2"/>
        <v>0</v>
      </c>
    </row>
    <row r="23" spans="1:11" x14ac:dyDescent="0.25">
      <c r="A23" s="430" t="str">
        <f t="shared" si="0"/>
        <v>01</v>
      </c>
      <c r="B23" s="430" t="str">
        <f t="shared" si="1"/>
        <v>160-034</v>
      </c>
      <c r="C23" s="429" t="s">
        <v>1508</v>
      </c>
      <c r="D23" s="429" t="s">
        <v>1509</v>
      </c>
      <c r="E23" s="486">
        <f>VLOOKUP(C23,'Full Trial Balance'!$A$4:$G$2306,3,FALSE)</f>
        <v>0</v>
      </c>
      <c r="F23" s="486">
        <f>VLOOKUP(C23,'Full Trial Balance'!$A$4:$G$2306,4,FALSE)</f>
        <v>0</v>
      </c>
      <c r="G23" s="486">
        <f>VLOOKUP(C23,'Full Trial Balance'!$A$4:$G$2306,5,FALSE)</f>
        <v>0</v>
      </c>
      <c r="H23" s="486">
        <f>VLOOKUP(C23,'Full Trial Balance'!$A$4:$G$2306,6,FALSE)</f>
        <v>0</v>
      </c>
      <c r="I23" s="486">
        <f>VLOOKUP(C23,'Full Trial Balance'!$A$4:$G$2306,7,FALSE)</f>
        <v>0</v>
      </c>
      <c r="J23" s="506"/>
      <c r="K23" s="265">
        <f t="shared" si="2"/>
        <v>0</v>
      </c>
    </row>
    <row r="24" spans="1:11" x14ac:dyDescent="0.25">
      <c r="A24" s="430" t="str">
        <f t="shared" si="0"/>
        <v>01</v>
      </c>
      <c r="B24" s="430" t="str">
        <f t="shared" si="1"/>
        <v>160-036</v>
      </c>
      <c r="C24" s="429" t="s">
        <v>1510</v>
      </c>
      <c r="D24" s="429" t="s">
        <v>1511</v>
      </c>
      <c r="E24" s="486">
        <f>VLOOKUP(C24,'Full Trial Balance'!$A$4:$G$2306,3,FALSE)</f>
        <v>0</v>
      </c>
      <c r="F24" s="486">
        <f>VLOOKUP(C24,'Full Trial Balance'!$A$4:$G$2306,4,FALSE)</f>
        <v>524.95000000000005</v>
      </c>
      <c r="G24" s="486">
        <f>VLOOKUP(C24,'Full Trial Balance'!$A$4:$G$2306,5,FALSE)</f>
        <v>0</v>
      </c>
      <c r="H24" s="486">
        <f>VLOOKUP(C24,'Full Trial Balance'!$A$4:$G$2306,6,FALSE)</f>
        <v>0</v>
      </c>
      <c r="I24" s="486">
        <f>VLOOKUP(C24,'Full Trial Balance'!$A$4:$G$2306,7,FALSE)</f>
        <v>524.95000000000005</v>
      </c>
      <c r="J24" s="506"/>
      <c r="K24" s="265">
        <f t="shared" si="2"/>
        <v>0</v>
      </c>
    </row>
    <row r="25" spans="1:11" x14ac:dyDescent="0.25">
      <c r="A25" s="430" t="str">
        <f t="shared" si="0"/>
        <v>01</v>
      </c>
      <c r="B25" s="430" t="str">
        <f t="shared" si="1"/>
        <v>160-038</v>
      </c>
      <c r="C25" s="429" t="s">
        <v>1512</v>
      </c>
      <c r="D25" s="429" t="s">
        <v>1513</v>
      </c>
      <c r="E25" s="486">
        <f>VLOOKUP(C25,'Full Trial Balance'!$A$4:$G$2306,3,FALSE)</f>
        <v>0</v>
      </c>
      <c r="F25" s="486">
        <f>VLOOKUP(C25,'Full Trial Balance'!$A$4:$G$2306,4,FALSE)</f>
        <v>0</v>
      </c>
      <c r="G25" s="486">
        <f>VLOOKUP(C25,'Full Trial Balance'!$A$4:$G$2306,5,FALSE)</f>
        <v>0</v>
      </c>
      <c r="H25" s="486">
        <f>VLOOKUP(C25,'Full Trial Balance'!$A$4:$G$2306,6,FALSE)</f>
        <v>0</v>
      </c>
      <c r="I25" s="486">
        <f>VLOOKUP(C25,'Full Trial Balance'!$A$4:$G$2306,7,FALSE)</f>
        <v>0</v>
      </c>
      <c r="J25" s="260"/>
      <c r="K25" s="265">
        <f t="shared" si="2"/>
        <v>0</v>
      </c>
    </row>
    <row r="26" spans="1:11" x14ac:dyDescent="0.25">
      <c r="A26" s="430" t="str">
        <f t="shared" si="0"/>
        <v>01</v>
      </c>
      <c r="B26" s="430" t="str">
        <f t="shared" si="1"/>
        <v>160-039</v>
      </c>
      <c r="C26" s="429" t="s">
        <v>1514</v>
      </c>
      <c r="D26" s="429" t="s">
        <v>1515</v>
      </c>
      <c r="E26" s="486">
        <f>VLOOKUP(C26,'Full Trial Balance'!$A$4:$G$2306,3,FALSE)</f>
        <v>0</v>
      </c>
      <c r="F26" s="486">
        <f>VLOOKUP(C26,'Full Trial Balance'!$A$4:$G$2306,4,FALSE)</f>
        <v>0</v>
      </c>
      <c r="G26" s="486">
        <f>VLOOKUP(C26,'Full Trial Balance'!$A$4:$G$2306,5,FALSE)</f>
        <v>0</v>
      </c>
      <c r="H26" s="486">
        <f>VLOOKUP(C26,'Full Trial Balance'!$A$4:$G$2306,6,FALSE)</f>
        <v>0</v>
      </c>
      <c r="I26" s="486">
        <f>VLOOKUP(C26,'Full Trial Balance'!$A$4:$G$2306,7,FALSE)</f>
        <v>0</v>
      </c>
      <c r="J26" s="260"/>
      <c r="K26" s="265">
        <f t="shared" si="2"/>
        <v>0</v>
      </c>
    </row>
    <row r="27" spans="1:11" x14ac:dyDescent="0.25">
      <c r="A27" s="430" t="str">
        <f t="shared" si="0"/>
        <v>01</v>
      </c>
      <c r="B27" s="430" t="str">
        <f t="shared" si="1"/>
        <v>160-040</v>
      </c>
      <c r="C27" s="429" t="s">
        <v>1516</v>
      </c>
      <c r="D27" s="429" t="s">
        <v>1517</v>
      </c>
      <c r="E27" s="486">
        <f>VLOOKUP(C27,'Full Trial Balance'!$A$4:$G$2306,3,FALSE)</f>
        <v>0</v>
      </c>
      <c r="F27" s="486">
        <f>VLOOKUP(C27,'Full Trial Balance'!$A$4:$G$2306,4,FALSE)</f>
        <v>0</v>
      </c>
      <c r="G27" s="486">
        <f>VLOOKUP(C27,'Full Trial Balance'!$A$4:$G$2306,5,FALSE)</f>
        <v>0</v>
      </c>
      <c r="H27" s="486">
        <f>VLOOKUP(C27,'Full Trial Balance'!$A$4:$G$2306,6,FALSE)</f>
        <v>0</v>
      </c>
      <c r="I27" s="486">
        <f>VLOOKUP(C27,'Full Trial Balance'!$A$4:$G$2306,7,FALSE)</f>
        <v>0</v>
      </c>
      <c r="J27" s="260"/>
      <c r="K27" s="265">
        <f t="shared" si="2"/>
        <v>0</v>
      </c>
    </row>
    <row r="28" spans="1:11" x14ac:dyDescent="0.25">
      <c r="A28" s="430" t="str">
        <f t="shared" si="0"/>
        <v>01</v>
      </c>
      <c r="B28" s="430" t="str">
        <f t="shared" si="1"/>
        <v>160-050</v>
      </c>
      <c r="C28" s="429" t="s">
        <v>1518</v>
      </c>
      <c r="D28" s="429" t="s">
        <v>1519</v>
      </c>
      <c r="E28" s="486">
        <f>VLOOKUP(C28,'Full Trial Balance'!$A$4:$G$2306,3,FALSE)</f>
        <v>0</v>
      </c>
      <c r="F28" s="486">
        <f>VLOOKUP(C28,'Full Trial Balance'!$A$4:$G$2306,4,FALSE)</f>
        <v>267221.94</v>
      </c>
      <c r="G28" s="486">
        <f>VLOOKUP(C28,'Full Trial Balance'!$A$4:$G$2306,5,FALSE)</f>
        <v>0</v>
      </c>
      <c r="H28" s="486">
        <f>VLOOKUP(C28,'Full Trial Balance'!$A$4:$G$2306,6,FALSE)</f>
        <v>0</v>
      </c>
      <c r="I28" s="486">
        <f>VLOOKUP(C28,'Full Trial Balance'!$A$4:$G$2306,7,FALSE)</f>
        <v>267221.94</v>
      </c>
      <c r="K28" s="265">
        <f t="shared" si="2"/>
        <v>0</v>
      </c>
    </row>
    <row r="29" spans="1:11" x14ac:dyDescent="0.25">
      <c r="A29" s="430" t="str">
        <f t="shared" si="0"/>
        <v>01</v>
      </c>
      <c r="B29" s="430" t="str">
        <f t="shared" si="1"/>
        <v>160-105</v>
      </c>
      <c r="C29" s="429" t="s">
        <v>1520</v>
      </c>
      <c r="D29" s="429" t="s">
        <v>1521</v>
      </c>
      <c r="E29" s="486">
        <f>VLOOKUP(C29,'Full Trial Balance'!$A$4:$G$2306,3,FALSE)</f>
        <v>0</v>
      </c>
      <c r="F29" s="486">
        <f>VLOOKUP(C29,'Full Trial Balance'!$A$4:$G$2306,4,FALSE)</f>
        <v>0</v>
      </c>
      <c r="G29" s="486">
        <f>VLOOKUP(C29,'Full Trial Balance'!$A$4:$G$2306,5,FALSE)</f>
        <v>0</v>
      </c>
      <c r="H29" s="486">
        <f>VLOOKUP(C29,'Full Trial Balance'!$A$4:$G$2306,6,FALSE)</f>
        <v>0</v>
      </c>
      <c r="I29" s="486">
        <f>VLOOKUP(C29,'Full Trial Balance'!$A$4:$G$2306,7,FALSE)</f>
        <v>0</v>
      </c>
      <c r="K29" s="265">
        <f t="shared" si="2"/>
        <v>0</v>
      </c>
    </row>
    <row r="30" spans="1:11" x14ac:dyDescent="0.25">
      <c r="A30" s="430" t="str">
        <f t="shared" si="0"/>
        <v>01</v>
      </c>
      <c r="B30" s="430" t="str">
        <f t="shared" si="1"/>
        <v>160-302</v>
      </c>
      <c r="C30" s="429" t="s">
        <v>1522</v>
      </c>
      <c r="D30" s="429" t="s">
        <v>1523</v>
      </c>
      <c r="E30" s="486">
        <f>VLOOKUP(C30,'Full Trial Balance'!$A$4:$G$2306,3,FALSE)</f>
        <v>0</v>
      </c>
      <c r="F30" s="486">
        <f>VLOOKUP(C30,'Full Trial Balance'!$A$4:$G$2306,4,FALSE)</f>
        <v>75055.28</v>
      </c>
      <c r="G30" s="486">
        <f>VLOOKUP(C30,'Full Trial Balance'!$A$4:$G$2306,5,FALSE)</f>
        <v>0</v>
      </c>
      <c r="H30" s="486">
        <f>VLOOKUP(C30,'Full Trial Balance'!$A$4:$G$2306,6,FALSE)</f>
        <v>0</v>
      </c>
      <c r="I30" s="486">
        <f>VLOOKUP(C30,'Full Trial Balance'!$A$4:$G$2306,7,FALSE)</f>
        <v>75055.28</v>
      </c>
      <c r="J30" s="506"/>
      <c r="K30" s="265">
        <f t="shared" si="2"/>
        <v>0</v>
      </c>
    </row>
    <row r="31" spans="1:11" x14ac:dyDescent="0.25">
      <c r="A31" s="430" t="str">
        <f t="shared" si="0"/>
        <v>01</v>
      </c>
      <c r="B31" s="430" t="str">
        <f t="shared" si="1"/>
        <v>160-323</v>
      </c>
      <c r="C31" s="429" t="s">
        <v>1524</v>
      </c>
      <c r="D31" s="429" t="s">
        <v>1525</v>
      </c>
      <c r="E31" s="486">
        <f>VLOOKUP(C31,'Full Trial Balance'!$A$4:$G$2306,3,FALSE)</f>
        <v>0</v>
      </c>
      <c r="F31" s="486">
        <f>VLOOKUP(C31,'Full Trial Balance'!$A$4:$G$2306,4,FALSE)</f>
        <v>0</v>
      </c>
      <c r="G31" s="486">
        <f>VLOOKUP(C31,'Full Trial Balance'!$A$4:$G$2306,5,FALSE)</f>
        <v>0</v>
      </c>
      <c r="H31" s="486">
        <f>VLOOKUP(C31,'Full Trial Balance'!$A$4:$G$2306,6,FALSE)</f>
        <v>0</v>
      </c>
      <c r="I31" s="486">
        <f>VLOOKUP(C31,'Full Trial Balance'!$A$4:$G$2306,7,FALSE)</f>
        <v>0</v>
      </c>
      <c r="J31" s="506"/>
      <c r="K31" s="265">
        <f t="shared" si="2"/>
        <v>0</v>
      </c>
    </row>
    <row r="32" spans="1:11" x14ac:dyDescent="0.25">
      <c r="A32" s="430" t="str">
        <f t="shared" si="0"/>
        <v>01</v>
      </c>
      <c r="B32" s="430" t="str">
        <f t="shared" si="1"/>
        <v>160-327</v>
      </c>
      <c r="C32" s="429" t="s">
        <v>1526</v>
      </c>
      <c r="D32" s="429" t="s">
        <v>1527</v>
      </c>
      <c r="E32" s="486">
        <v>103050</v>
      </c>
      <c r="F32" s="486">
        <f>VLOOKUP(C32,'Full Trial Balance'!$A$4:$G$2306,4,FALSE)</f>
        <v>0</v>
      </c>
      <c r="G32" s="486">
        <f>VLOOKUP(C32,'Full Trial Balance'!$A$4:$G$2306,5,FALSE)</f>
        <v>3682.98</v>
      </c>
      <c r="H32" s="486">
        <f>VLOOKUP(C32,'Full Trial Balance'!$A$4:$G$2306,6,FALSE)</f>
        <v>0</v>
      </c>
      <c r="I32" s="486">
        <f>VLOOKUP(C32,'Full Trial Balance'!$A$4:$G$2306,7,FALSE)</f>
        <v>3682.98</v>
      </c>
      <c r="J32" s="260"/>
      <c r="K32" s="265">
        <f t="shared" si="2"/>
        <v>3682.98</v>
      </c>
    </row>
    <row r="33" spans="1:11" x14ac:dyDescent="0.25">
      <c r="A33" s="430" t="str">
        <f t="shared" si="0"/>
        <v>01</v>
      </c>
      <c r="B33" s="430" t="str">
        <f t="shared" si="1"/>
        <v>160-401</v>
      </c>
      <c r="C33" s="429" t="s">
        <v>1528</v>
      </c>
      <c r="D33" s="429" t="s">
        <v>1529</v>
      </c>
      <c r="E33" s="486">
        <f>VLOOKUP(C33,'Full Trial Balance'!$A$4:$G$2306,3,FALSE)</f>
        <v>0</v>
      </c>
      <c r="F33" s="486">
        <f>VLOOKUP(C33,'Full Trial Balance'!$A$4:$G$2306,4,FALSE)</f>
        <v>0</v>
      </c>
      <c r="G33" s="486">
        <f>VLOOKUP(C33,'Full Trial Balance'!$A$4:$G$2306,5,FALSE)</f>
        <v>0</v>
      </c>
      <c r="H33" s="486">
        <f>VLOOKUP(C33,'Full Trial Balance'!$A$4:$G$2306,6,FALSE)</f>
        <v>0</v>
      </c>
      <c r="I33" s="486">
        <f>VLOOKUP(C33,'Full Trial Balance'!$A$4:$G$2306,7,FALSE)</f>
        <v>0</v>
      </c>
      <c r="K33" s="265">
        <f t="shared" si="2"/>
        <v>0</v>
      </c>
    </row>
    <row r="34" spans="1:11" x14ac:dyDescent="0.25">
      <c r="A34" s="430" t="str">
        <f t="shared" si="0"/>
        <v>01</v>
      </c>
      <c r="B34" s="430" t="str">
        <f t="shared" si="1"/>
        <v>160-402</v>
      </c>
      <c r="C34" s="429" t="s">
        <v>1530</v>
      </c>
      <c r="D34" s="429" t="s">
        <v>1531</v>
      </c>
      <c r="E34" s="486">
        <v>8750</v>
      </c>
      <c r="F34" s="486">
        <f>VLOOKUP(C34,'Full Trial Balance'!$A$4:$G$2306,4,FALSE)</f>
        <v>107124.32</v>
      </c>
      <c r="G34" s="486">
        <f>VLOOKUP(C34,'Full Trial Balance'!$A$4:$G$2306,5,FALSE)</f>
        <v>0</v>
      </c>
      <c r="H34" s="486">
        <f>VLOOKUP(C34,'Full Trial Balance'!$A$4:$G$2306,6,FALSE)</f>
        <v>0</v>
      </c>
      <c r="I34" s="486">
        <f>VLOOKUP(C34,'Full Trial Balance'!$A$4:$G$2306,7,FALSE)</f>
        <v>107124.32</v>
      </c>
      <c r="J34" s="260"/>
      <c r="K34" s="265">
        <f t="shared" si="2"/>
        <v>0</v>
      </c>
    </row>
    <row r="35" spans="1:11" x14ac:dyDescent="0.25">
      <c r="A35" s="430" t="str">
        <f t="shared" si="0"/>
        <v>01</v>
      </c>
      <c r="B35" s="430" t="str">
        <f t="shared" si="1"/>
        <v>160-403</v>
      </c>
      <c r="C35" s="429" t="s">
        <v>1532</v>
      </c>
      <c r="D35" s="429" t="s">
        <v>1533</v>
      </c>
      <c r="E35" s="486">
        <f>VLOOKUP(C35,'Full Trial Balance'!$A$4:$G$2306,3,FALSE)</f>
        <v>0</v>
      </c>
      <c r="F35" s="486">
        <f>VLOOKUP(C35,'Full Trial Balance'!$A$4:$G$2306,4,FALSE)</f>
        <v>1933341.71</v>
      </c>
      <c r="G35" s="486">
        <f>VLOOKUP(C35,'Full Trial Balance'!$A$4:$G$2306,5,FALSE)</f>
        <v>0</v>
      </c>
      <c r="H35" s="486">
        <f>VLOOKUP(C35,'Full Trial Balance'!$A$4:$G$2306,6,FALSE)</f>
        <v>0</v>
      </c>
      <c r="I35" s="486">
        <f>VLOOKUP(C35,'Full Trial Balance'!$A$4:$G$2306,7,FALSE)</f>
        <v>1933341.71</v>
      </c>
      <c r="K35" s="265">
        <f t="shared" si="2"/>
        <v>0</v>
      </c>
    </row>
    <row r="36" spans="1:11" x14ac:dyDescent="0.25">
      <c r="A36" s="430" t="str">
        <f t="shared" si="0"/>
        <v>01</v>
      </c>
      <c r="B36" s="430" t="str">
        <f t="shared" si="1"/>
        <v>160-405</v>
      </c>
      <c r="C36" s="429" t="s">
        <v>1534</v>
      </c>
      <c r="D36" s="429" t="s">
        <v>1535</v>
      </c>
      <c r="E36" s="486">
        <f>VLOOKUP(C36,'Full Trial Balance'!$A$4:$G$2306,3,FALSE)</f>
        <v>0</v>
      </c>
      <c r="F36" s="486">
        <f>VLOOKUP(C36,'Full Trial Balance'!$A$4:$G$2306,4,FALSE)</f>
        <v>0</v>
      </c>
      <c r="G36" s="486">
        <f>VLOOKUP(C36,'Full Trial Balance'!$A$4:$G$2306,5,FALSE)</f>
        <v>0</v>
      </c>
      <c r="H36" s="486">
        <f>VLOOKUP(C36,'Full Trial Balance'!$A$4:$G$2306,6,FALSE)</f>
        <v>0</v>
      </c>
      <c r="I36" s="486">
        <f>VLOOKUP(C36,'Full Trial Balance'!$A$4:$G$2306,7,FALSE)</f>
        <v>0</v>
      </c>
      <c r="K36" s="265">
        <f t="shared" si="2"/>
        <v>0</v>
      </c>
    </row>
    <row r="37" spans="1:11" x14ac:dyDescent="0.25">
      <c r="A37" s="430" t="str">
        <f t="shared" si="0"/>
        <v>01</v>
      </c>
      <c r="B37" s="430" t="str">
        <f t="shared" si="1"/>
        <v>160-410</v>
      </c>
      <c r="C37" s="429" t="s">
        <v>1536</v>
      </c>
      <c r="D37" s="429" t="s">
        <v>1537</v>
      </c>
      <c r="E37" s="486">
        <f>VLOOKUP(C37,'Full Trial Balance'!$A$4:$G$2306,3,FALSE)</f>
        <v>0</v>
      </c>
      <c r="F37" s="486">
        <f>VLOOKUP(C37,'Full Trial Balance'!$A$4:$G$2306,4,FALSE)</f>
        <v>97878.77</v>
      </c>
      <c r="G37" s="486">
        <f>VLOOKUP(C37,'Full Trial Balance'!$A$4:$G$2306,5,FALSE)</f>
        <v>0</v>
      </c>
      <c r="H37" s="486">
        <f>VLOOKUP(C37,'Full Trial Balance'!$A$4:$G$2306,6,FALSE)</f>
        <v>0</v>
      </c>
      <c r="I37" s="486">
        <f>VLOOKUP(C37,'Full Trial Balance'!$A$4:$G$2306,7,FALSE)</f>
        <v>97878.77</v>
      </c>
      <c r="J37" s="506"/>
      <c r="K37" s="265">
        <f t="shared" si="2"/>
        <v>0</v>
      </c>
    </row>
    <row r="38" spans="1:11" x14ac:dyDescent="0.25">
      <c r="A38" s="430" t="str">
        <f t="shared" si="0"/>
        <v>01</v>
      </c>
      <c r="B38" s="430" t="str">
        <f t="shared" si="1"/>
        <v>160-415</v>
      </c>
      <c r="C38" s="429" t="s">
        <v>1538</v>
      </c>
      <c r="D38" s="429" t="s">
        <v>1539</v>
      </c>
      <c r="E38" s="486">
        <v>5945</v>
      </c>
      <c r="F38" s="486">
        <f>VLOOKUP(C38,'Full Trial Balance'!$A$4:$G$2306,4,FALSE)</f>
        <v>0</v>
      </c>
      <c r="G38" s="486">
        <f>VLOOKUP(C38,'Full Trial Balance'!$A$4:$G$2306,5,FALSE)</f>
        <v>0</v>
      </c>
      <c r="H38" s="486">
        <f>VLOOKUP(C38,'Full Trial Balance'!$A$4:$G$2306,6,FALSE)</f>
        <v>0</v>
      </c>
      <c r="I38" s="486">
        <f>VLOOKUP(C38,'Full Trial Balance'!$A$4:$G$2306,7,FALSE)</f>
        <v>0</v>
      </c>
      <c r="J38" s="260"/>
      <c r="K38" s="265">
        <f t="shared" si="2"/>
        <v>0</v>
      </c>
    </row>
    <row r="39" spans="1:11" x14ac:dyDescent="0.25">
      <c r="A39" s="430" t="str">
        <f t="shared" si="0"/>
        <v>01</v>
      </c>
      <c r="B39" s="430" t="str">
        <f t="shared" si="1"/>
        <v>160-500</v>
      </c>
      <c r="C39" s="429" t="s">
        <v>3451</v>
      </c>
      <c r="D39" s="509" t="s">
        <v>3455</v>
      </c>
      <c r="E39" s="486">
        <v>21460</v>
      </c>
      <c r="F39" s="486">
        <f>VLOOKUP(C39,'Full Trial Balance'!$A$4:$G$2306,4,FALSE)</f>
        <v>0</v>
      </c>
      <c r="G39" s="486">
        <f>VLOOKUP(C39,'Full Trial Balance'!$A$4:$G$2306,5,FALSE)</f>
        <v>0</v>
      </c>
      <c r="H39" s="486">
        <f>VLOOKUP(C39,'Full Trial Balance'!$A$4:$G$2306,6,FALSE)</f>
        <v>0</v>
      </c>
      <c r="I39" s="486">
        <f>VLOOKUP(C39,'Full Trial Balance'!$A$4:$G$2306,7,FALSE)</f>
        <v>0</v>
      </c>
      <c r="J39" s="506"/>
      <c r="K39" s="265">
        <f t="shared" si="2"/>
        <v>0</v>
      </c>
    </row>
    <row r="40" spans="1:11" x14ac:dyDescent="0.25">
      <c r="A40" s="430" t="str">
        <f t="shared" si="0"/>
        <v>01</v>
      </c>
      <c r="B40" s="430" t="str">
        <f t="shared" si="1"/>
        <v>160-505</v>
      </c>
      <c r="C40" s="429" t="s">
        <v>1540</v>
      </c>
      <c r="D40" s="429" t="s">
        <v>1541</v>
      </c>
      <c r="E40" s="486">
        <f>VLOOKUP(C40,'Full Trial Balance'!$A$4:$G$2306,3,FALSE)</f>
        <v>0</v>
      </c>
      <c r="F40" s="486">
        <f>VLOOKUP(C40,'Full Trial Balance'!$A$4:$G$2306,4,FALSE)</f>
        <v>0</v>
      </c>
      <c r="G40" s="486">
        <f>VLOOKUP(C40,'Full Trial Balance'!$A$4:$G$2306,5,FALSE)</f>
        <v>0</v>
      </c>
      <c r="H40" s="486">
        <f>VLOOKUP(C40,'Full Trial Balance'!$A$4:$G$2306,6,FALSE)</f>
        <v>0</v>
      </c>
      <c r="I40" s="486">
        <f>VLOOKUP(C40,'Full Trial Balance'!$A$4:$G$2306,7,FALSE)</f>
        <v>0</v>
      </c>
      <c r="J40" s="260"/>
      <c r="K40" s="265">
        <f t="shared" si="2"/>
        <v>0</v>
      </c>
    </row>
    <row r="41" spans="1:11" x14ac:dyDescent="0.25">
      <c r="A41" s="430" t="str">
        <f t="shared" si="0"/>
        <v>01</v>
      </c>
      <c r="B41" s="430" t="str">
        <f t="shared" si="1"/>
        <v>160-810</v>
      </c>
      <c r="C41" s="429" t="s">
        <v>1542</v>
      </c>
      <c r="D41" s="429" t="s">
        <v>1543</v>
      </c>
      <c r="E41" s="486">
        <f>VLOOKUP(C41,'Full Trial Balance'!$A$4:$G$2306,3,FALSE)</f>
        <v>0</v>
      </c>
      <c r="F41" s="486">
        <f>VLOOKUP(C41,'Full Trial Balance'!$A$4:$G$2306,4,FALSE)</f>
        <v>38121</v>
      </c>
      <c r="G41" s="486">
        <f>VLOOKUP(C41,'Full Trial Balance'!$A$4:$G$2306,5,FALSE)</f>
        <v>0</v>
      </c>
      <c r="H41" s="486">
        <f>VLOOKUP(C41,'Full Trial Balance'!$A$4:$G$2306,6,FALSE)</f>
        <v>0</v>
      </c>
      <c r="I41" s="486">
        <f>VLOOKUP(C41,'Full Trial Balance'!$A$4:$G$2306,7,FALSE)</f>
        <v>38121</v>
      </c>
      <c r="J41" s="506"/>
      <c r="K41" s="265">
        <f t="shared" si="2"/>
        <v>0</v>
      </c>
    </row>
    <row r="42" spans="1:11" x14ac:dyDescent="0.25">
      <c r="A42" s="430" t="str">
        <f t="shared" si="0"/>
        <v>01</v>
      </c>
      <c r="B42" s="430" t="str">
        <f t="shared" si="1"/>
        <v>163-000</v>
      </c>
      <c r="C42" s="429" t="s">
        <v>1544</v>
      </c>
      <c r="D42" s="429" t="s">
        <v>1545</v>
      </c>
      <c r="E42" s="486">
        <f>VLOOKUP(C42,'Full Trial Balance'!$A$4:$G$2306,3,FALSE)</f>
        <v>0</v>
      </c>
      <c r="F42" s="486">
        <f>VLOOKUP(C42,'Full Trial Balance'!$A$4:$G$2306,4,FALSE)</f>
        <v>218265.06</v>
      </c>
      <c r="G42" s="486">
        <f>VLOOKUP(C42,'Full Trial Balance'!$A$4:$G$2306,5,FALSE)</f>
        <v>0</v>
      </c>
      <c r="H42" s="486">
        <f>VLOOKUP(C42,'Full Trial Balance'!$A$4:$G$2306,6,FALSE)</f>
        <v>0</v>
      </c>
      <c r="I42" s="486">
        <f>VLOOKUP(C42,'Full Trial Balance'!$A$4:$G$2306,7,FALSE)</f>
        <v>218265.06</v>
      </c>
      <c r="J42" s="506"/>
      <c r="K42" s="265">
        <f t="shared" si="2"/>
        <v>0</v>
      </c>
    </row>
    <row r="43" spans="1:11" x14ac:dyDescent="0.25">
      <c r="A43" s="430" t="str">
        <f t="shared" si="0"/>
        <v>01</v>
      </c>
      <c r="B43" s="430" t="str">
        <f t="shared" si="1"/>
        <v>163-050</v>
      </c>
      <c r="C43" s="429" t="s">
        <v>1546</v>
      </c>
      <c r="D43" s="429" t="s">
        <v>1547</v>
      </c>
      <c r="E43" s="486">
        <f>VLOOKUP(C43,'Full Trial Balance'!$A$4:$G$2306,3,FALSE)</f>
        <v>0</v>
      </c>
      <c r="F43" s="486">
        <f>VLOOKUP(C43,'Full Trial Balance'!$A$4:$G$2306,4,FALSE)</f>
        <v>1012001.71</v>
      </c>
      <c r="G43" s="486">
        <f>VLOOKUP(C43,'Full Trial Balance'!$A$4:$G$2306,5,FALSE)</f>
        <v>1260.1400000000001</v>
      </c>
      <c r="H43" s="486">
        <f>VLOOKUP(C43,'Full Trial Balance'!$A$4:$G$2306,6,FALSE)</f>
        <v>1260.1400000000001</v>
      </c>
      <c r="I43" s="486">
        <f>VLOOKUP(C43,'Full Trial Balance'!$A$4:$G$2306,7,FALSE)</f>
        <v>1012001.71</v>
      </c>
      <c r="J43" s="506"/>
      <c r="K43" s="265">
        <f t="shared" si="2"/>
        <v>0</v>
      </c>
    </row>
    <row r="44" spans="1:11" x14ac:dyDescent="0.25">
      <c r="A44" s="430" t="str">
        <f t="shared" si="0"/>
        <v>01</v>
      </c>
      <c r="B44" s="430" t="str">
        <f t="shared" si="1"/>
        <v>163-060</v>
      </c>
      <c r="C44" s="429" t="s">
        <v>1548</v>
      </c>
      <c r="D44" s="429" t="s">
        <v>3450</v>
      </c>
      <c r="E44" s="486">
        <v>633472</v>
      </c>
      <c r="F44" s="486">
        <f>VLOOKUP(C44,'Full Trial Balance'!$A$4:$G$2306,4,FALSE)</f>
        <v>0</v>
      </c>
      <c r="G44" s="486">
        <f>VLOOKUP(C44,'Full Trial Balance'!$A$4:$G$2306,5,FALSE)</f>
        <v>15551.86</v>
      </c>
      <c r="H44" s="486">
        <f>VLOOKUP(C44,'Full Trial Balance'!$A$4:$G$2306,6,FALSE)</f>
        <v>0</v>
      </c>
      <c r="I44" s="486">
        <f>VLOOKUP(C44,'Full Trial Balance'!$A$4:$G$2306,7,FALSE)</f>
        <v>15551.86</v>
      </c>
      <c r="J44" s="260"/>
      <c r="K44" s="265">
        <f t="shared" si="2"/>
        <v>15551.86</v>
      </c>
    </row>
    <row r="45" spans="1:11" x14ac:dyDescent="0.25">
      <c r="A45" s="430" t="str">
        <f t="shared" si="0"/>
        <v>01</v>
      </c>
      <c r="B45" s="430" t="str">
        <f t="shared" si="1"/>
        <v>165-000</v>
      </c>
      <c r="C45" s="429" t="s">
        <v>1549</v>
      </c>
      <c r="D45" s="429" t="s">
        <v>1550</v>
      </c>
      <c r="E45" s="486">
        <f>VLOOKUP(C45,'Full Trial Balance'!$A$4:$G$2306,3,FALSE)</f>
        <v>0</v>
      </c>
      <c r="F45" s="486">
        <f>VLOOKUP(C45,'Full Trial Balance'!$A$4:$G$2306,4,FALSE)</f>
        <v>0</v>
      </c>
      <c r="G45" s="486">
        <f>VLOOKUP(C45,'Full Trial Balance'!$A$4:$G$2306,5,FALSE)</f>
        <v>0</v>
      </c>
      <c r="H45" s="486">
        <f>VLOOKUP(C45,'Full Trial Balance'!$A$4:$G$2306,6,FALSE)</f>
        <v>0</v>
      </c>
      <c r="I45" s="486">
        <f>VLOOKUP(C45,'Full Trial Balance'!$A$4:$G$2306,7,FALSE)</f>
        <v>0</v>
      </c>
      <c r="J45" s="506"/>
      <c r="K45" s="265">
        <f t="shared" si="2"/>
        <v>0</v>
      </c>
    </row>
    <row r="46" spans="1:11" x14ac:dyDescent="0.25">
      <c r="A46" s="430" t="str">
        <f t="shared" si="0"/>
        <v>01</v>
      </c>
      <c r="B46" s="430" t="str">
        <f t="shared" si="1"/>
        <v>175-000</v>
      </c>
      <c r="C46" s="429" t="s">
        <v>1551</v>
      </c>
      <c r="D46" s="429" t="s">
        <v>1552</v>
      </c>
      <c r="E46" s="486">
        <f>VLOOKUP(C46,'Full Trial Balance'!$A$4:$G$2306,3,FALSE)</f>
        <v>0</v>
      </c>
      <c r="F46" s="486">
        <f>VLOOKUP(C46,'Full Trial Balance'!$A$4:$G$2306,4,FALSE)</f>
        <v>636134.81000000006</v>
      </c>
      <c r="G46" s="486">
        <f>VLOOKUP(C46,'Full Trial Balance'!$A$4:$G$2306,5,FALSE)</f>
        <v>0</v>
      </c>
      <c r="H46" s="486">
        <f>VLOOKUP(C46,'Full Trial Balance'!$A$4:$G$2306,6,FALSE)</f>
        <v>0</v>
      </c>
      <c r="I46" s="486">
        <f>VLOOKUP(C46,'Full Trial Balance'!$A$4:$G$2306,7,FALSE)</f>
        <v>636134.81000000006</v>
      </c>
      <c r="J46" s="506"/>
      <c r="K46" s="265">
        <f t="shared" si="2"/>
        <v>0</v>
      </c>
    </row>
    <row r="47" spans="1:11" x14ac:dyDescent="0.25">
      <c r="A47" s="430" t="str">
        <f t="shared" si="0"/>
        <v>01</v>
      </c>
      <c r="B47" s="430" t="str">
        <f t="shared" si="1"/>
        <v>180-000</v>
      </c>
      <c r="C47" s="429" t="s">
        <v>1553</v>
      </c>
      <c r="D47" s="429" t="s">
        <v>1554</v>
      </c>
      <c r="E47" s="486">
        <f>VLOOKUP(C47,'Full Trial Balance'!$A$4:$G$2306,3,FALSE)</f>
        <v>0</v>
      </c>
      <c r="F47" s="486">
        <f>VLOOKUP(C47,'Full Trial Balance'!$A$4:$G$2306,4,FALSE)</f>
        <v>2922366.67</v>
      </c>
      <c r="G47" s="486">
        <f>VLOOKUP(C47,'Full Trial Balance'!$A$4:$G$2306,5,FALSE)</f>
        <v>0</v>
      </c>
      <c r="H47" s="486">
        <f>VLOOKUP(C47,'Full Trial Balance'!$A$4:$G$2306,6,FALSE)</f>
        <v>0</v>
      </c>
      <c r="I47" s="486">
        <f>VLOOKUP(C47,'Full Trial Balance'!$A$4:$G$2306,7,FALSE)</f>
        <v>2922366.67</v>
      </c>
      <c r="K47" s="265">
        <f t="shared" si="2"/>
        <v>0</v>
      </c>
    </row>
    <row r="48" spans="1:11" x14ac:dyDescent="0.25">
      <c r="A48" s="430" t="str">
        <f t="shared" si="0"/>
        <v>01</v>
      </c>
      <c r="B48" s="430" t="str">
        <f t="shared" si="1"/>
        <v>181-000</v>
      </c>
      <c r="C48" s="429" t="s">
        <v>1555</v>
      </c>
      <c r="D48" s="429" t="s">
        <v>1556</v>
      </c>
      <c r="E48" s="486">
        <f>VLOOKUP(C48,'Full Trial Balance'!$A$4:$G$2306,3,FALSE)</f>
        <v>0</v>
      </c>
      <c r="F48" s="486">
        <f>VLOOKUP(C48,'Full Trial Balance'!$A$4:$G$2306,4,FALSE)</f>
        <v>9721.5</v>
      </c>
      <c r="G48" s="486">
        <f>VLOOKUP(C48,'Full Trial Balance'!$A$4:$G$2306,5,FALSE)</f>
        <v>0</v>
      </c>
      <c r="H48" s="486">
        <f>VLOOKUP(C48,'Full Trial Balance'!$A$4:$G$2306,6,FALSE)</f>
        <v>0</v>
      </c>
      <c r="I48" s="486">
        <f>VLOOKUP(C48,'Full Trial Balance'!$A$4:$G$2306,7,FALSE)</f>
        <v>9721.5</v>
      </c>
      <c r="J48" s="506"/>
      <c r="K48" s="265">
        <f t="shared" si="2"/>
        <v>0</v>
      </c>
    </row>
    <row r="49" spans="1:11" x14ac:dyDescent="0.25">
      <c r="A49" s="430" t="str">
        <f t="shared" si="0"/>
        <v>01</v>
      </c>
      <c r="B49" s="430" t="str">
        <f t="shared" si="1"/>
        <v>185-000</v>
      </c>
      <c r="C49" s="429" t="s">
        <v>1557</v>
      </c>
      <c r="D49" s="429" t="s">
        <v>1558</v>
      </c>
      <c r="E49" s="486">
        <f>VLOOKUP(C49,'Full Trial Balance'!$A$4:$G$2306,3,FALSE)</f>
        <v>0</v>
      </c>
      <c r="F49" s="486">
        <f>VLOOKUP(C49,'Full Trial Balance'!$A$4:$G$2306,4,FALSE)</f>
        <v>540032.43999999994</v>
      </c>
      <c r="G49" s="486">
        <f>VLOOKUP(C49,'Full Trial Balance'!$A$4:$G$2306,5,FALSE)</f>
        <v>0</v>
      </c>
      <c r="H49" s="486">
        <f>VLOOKUP(C49,'Full Trial Balance'!$A$4:$G$2306,6,FALSE)</f>
        <v>0</v>
      </c>
      <c r="I49" s="486">
        <f>VLOOKUP(C49,'Full Trial Balance'!$A$4:$G$2306,7,FALSE)</f>
        <v>540032.43999999994</v>
      </c>
      <c r="J49" s="506"/>
      <c r="K49" s="265">
        <f t="shared" si="2"/>
        <v>0</v>
      </c>
    </row>
    <row r="50" spans="1:11" x14ac:dyDescent="0.25">
      <c r="A50" s="430" t="str">
        <f t="shared" si="0"/>
        <v>01</v>
      </c>
      <c r="B50" s="430" t="str">
        <f t="shared" si="1"/>
        <v>195-000</v>
      </c>
      <c r="C50" s="429" t="s">
        <v>1559</v>
      </c>
      <c r="D50" s="429" t="s">
        <v>1560</v>
      </c>
      <c r="E50" s="486">
        <f>VLOOKUP(C50,'Full Trial Balance'!$A$4:$G$2306,3,FALSE)</f>
        <v>0</v>
      </c>
      <c r="F50" s="486">
        <f>VLOOKUP(C50,'Full Trial Balance'!$A$4:$G$2306,4,FALSE)</f>
        <v>2179617.27</v>
      </c>
      <c r="G50" s="486">
        <f>VLOOKUP(C50,'Full Trial Balance'!$A$4:$G$2306,5,FALSE)</f>
        <v>0</v>
      </c>
      <c r="H50" s="486">
        <f>VLOOKUP(C50,'Full Trial Balance'!$A$4:$G$2306,6,FALSE)</f>
        <v>0</v>
      </c>
      <c r="I50" s="486">
        <f>VLOOKUP(C50,'Full Trial Balance'!$A$4:$G$2306,7,FALSE)</f>
        <v>2179617.27</v>
      </c>
      <c r="K50" s="265">
        <f t="shared" si="2"/>
        <v>0</v>
      </c>
    </row>
    <row r="51" spans="1:11" x14ac:dyDescent="0.25">
      <c r="A51" s="430" t="str">
        <f t="shared" si="0"/>
        <v>01</v>
      </c>
      <c r="B51" s="430" t="str">
        <f t="shared" si="1"/>
        <v>196-000</v>
      </c>
      <c r="C51" s="429" t="s">
        <v>1561</v>
      </c>
      <c r="D51" s="429" t="s">
        <v>104</v>
      </c>
      <c r="E51" s="486">
        <f>VLOOKUP(C51,'Full Trial Balance'!$A$4:$G$2306,3,FALSE)</f>
        <v>0</v>
      </c>
      <c r="F51" s="486">
        <f>VLOOKUP(C51,'Full Trial Balance'!$A$4:$G$2306,4,FALSE)</f>
        <v>0</v>
      </c>
      <c r="G51" s="486">
        <f>VLOOKUP(C51,'Full Trial Balance'!$A$4:$G$2306,5,FALSE)</f>
        <v>0</v>
      </c>
      <c r="H51" s="486">
        <f>VLOOKUP(C51,'Full Trial Balance'!$A$4:$G$2306,6,FALSE)</f>
        <v>0</v>
      </c>
      <c r="I51" s="486">
        <f>VLOOKUP(C51,'Full Trial Balance'!$A$4:$G$2306,7,FALSE)</f>
        <v>0</v>
      </c>
      <c r="K51" s="265">
        <f t="shared" si="2"/>
        <v>0</v>
      </c>
    </row>
    <row r="52" spans="1:11" x14ac:dyDescent="0.25">
      <c r="A52" s="430" t="str">
        <f t="shared" si="0"/>
        <v>02</v>
      </c>
      <c r="B52" s="430" t="str">
        <f t="shared" si="1"/>
        <v>140-000</v>
      </c>
      <c r="C52" s="429" t="s">
        <v>1562</v>
      </c>
      <c r="D52" s="429" t="s">
        <v>1468</v>
      </c>
      <c r="E52" s="486">
        <f>VLOOKUP(C52,'Full Trial Balance'!$A$4:$G$2306,3,FALSE)</f>
        <v>0</v>
      </c>
      <c r="F52" s="486">
        <f>VLOOKUP(C52,'Full Trial Balance'!$A$4:$G$2306,4,FALSE)</f>
        <v>74405.25</v>
      </c>
      <c r="G52" s="486">
        <f>VLOOKUP(C52,'Full Trial Balance'!$A$4:$G$2306,5,FALSE)</f>
        <v>0</v>
      </c>
      <c r="H52" s="486">
        <f>VLOOKUP(C52,'Full Trial Balance'!$A$4:$G$2306,6,FALSE)</f>
        <v>0</v>
      </c>
      <c r="I52" s="486">
        <f>VLOOKUP(C52,'Full Trial Balance'!$A$4:$G$2306,7,FALSE)</f>
        <v>74405.25</v>
      </c>
      <c r="K52" s="265">
        <f t="shared" si="2"/>
        <v>0</v>
      </c>
    </row>
    <row r="53" spans="1:11" x14ac:dyDescent="0.25">
      <c r="A53" s="430" t="str">
        <f t="shared" si="0"/>
        <v>02</v>
      </c>
      <c r="B53" s="430" t="str">
        <f t="shared" si="1"/>
        <v>140-005</v>
      </c>
      <c r="C53" s="429" t="s">
        <v>1563</v>
      </c>
      <c r="D53" s="429" t="s">
        <v>1470</v>
      </c>
      <c r="E53" s="486">
        <f>VLOOKUP(C53,'Full Trial Balance'!$A$4:$G$2306,3,FALSE)</f>
        <v>0</v>
      </c>
      <c r="F53" s="486">
        <f>VLOOKUP(C53,'Full Trial Balance'!$A$4:$G$2306,4,FALSE)</f>
        <v>89846.58</v>
      </c>
      <c r="G53" s="486">
        <f>VLOOKUP(C53,'Full Trial Balance'!$A$4:$G$2306,5,FALSE)</f>
        <v>0</v>
      </c>
      <c r="H53" s="486">
        <f>VLOOKUP(C53,'Full Trial Balance'!$A$4:$G$2306,6,FALSE)</f>
        <v>0</v>
      </c>
      <c r="I53" s="486">
        <f>VLOOKUP(C53,'Full Trial Balance'!$A$4:$G$2306,7,FALSE)</f>
        <v>89846.58</v>
      </c>
      <c r="K53" s="265">
        <f t="shared" si="2"/>
        <v>0</v>
      </c>
    </row>
    <row r="54" spans="1:11" x14ac:dyDescent="0.25">
      <c r="A54" s="430" t="str">
        <f t="shared" si="0"/>
        <v>02</v>
      </c>
      <c r="B54" s="430" t="str">
        <f t="shared" si="1"/>
        <v>140-010</v>
      </c>
      <c r="C54" s="429" t="s">
        <v>1564</v>
      </c>
      <c r="D54" s="429" t="s">
        <v>1472</v>
      </c>
      <c r="E54" s="486">
        <f>VLOOKUP(C54,'Full Trial Balance'!$A$4:$G$2306,3,FALSE)</f>
        <v>0</v>
      </c>
      <c r="F54" s="486">
        <f>VLOOKUP(C54,'Full Trial Balance'!$A$4:$G$2306,4,FALSE)</f>
        <v>17181.41</v>
      </c>
      <c r="G54" s="486">
        <f>VLOOKUP(C54,'Full Trial Balance'!$A$4:$G$2306,5,FALSE)</f>
        <v>0</v>
      </c>
      <c r="H54" s="486">
        <f>VLOOKUP(C54,'Full Trial Balance'!$A$4:$G$2306,6,FALSE)</f>
        <v>0</v>
      </c>
      <c r="I54" s="486">
        <f>VLOOKUP(C54,'Full Trial Balance'!$A$4:$G$2306,7,FALSE)</f>
        <v>17181.41</v>
      </c>
      <c r="K54" s="265">
        <f t="shared" si="2"/>
        <v>0</v>
      </c>
    </row>
    <row r="55" spans="1:11" x14ac:dyDescent="0.25">
      <c r="A55" s="430" t="str">
        <f t="shared" si="0"/>
        <v>02</v>
      </c>
      <c r="B55" s="430" t="str">
        <f t="shared" si="1"/>
        <v>141-000</v>
      </c>
      <c r="C55" s="429" t="s">
        <v>1565</v>
      </c>
      <c r="D55" s="429" t="s">
        <v>1566</v>
      </c>
      <c r="E55" s="486">
        <f>VLOOKUP(C55,'Full Trial Balance'!$A$4:$G$2306,3,FALSE)</f>
        <v>0</v>
      </c>
      <c r="F55" s="486">
        <f>VLOOKUP(C55,'Full Trial Balance'!$A$4:$G$2306,4,FALSE)</f>
        <v>87425.62</v>
      </c>
      <c r="G55" s="486">
        <f>VLOOKUP(C55,'Full Trial Balance'!$A$4:$G$2306,5,FALSE)</f>
        <v>0</v>
      </c>
      <c r="H55" s="486">
        <f>VLOOKUP(C55,'Full Trial Balance'!$A$4:$G$2306,6,FALSE)</f>
        <v>0</v>
      </c>
      <c r="I55" s="486">
        <f>VLOOKUP(C55,'Full Trial Balance'!$A$4:$G$2306,7,FALSE)</f>
        <v>87425.62</v>
      </c>
      <c r="K55" s="265">
        <f t="shared" si="2"/>
        <v>0</v>
      </c>
    </row>
    <row r="56" spans="1:11" x14ac:dyDescent="0.25">
      <c r="A56" s="430" t="str">
        <f t="shared" si="0"/>
        <v>02</v>
      </c>
      <c r="B56" s="430" t="str">
        <f t="shared" si="1"/>
        <v>142-000</v>
      </c>
      <c r="C56" s="429" t="s">
        <v>1567</v>
      </c>
      <c r="D56" s="429" t="s">
        <v>1568</v>
      </c>
      <c r="E56" s="486">
        <f>VLOOKUP(C56,'Full Trial Balance'!$A$4:$G$2306,3,FALSE)</f>
        <v>0</v>
      </c>
      <c r="F56" s="486">
        <f>VLOOKUP(C56,'Full Trial Balance'!$A$4:$G$2306,4,FALSE)</f>
        <v>0</v>
      </c>
      <c r="G56" s="486">
        <f>VLOOKUP(C56,'Full Trial Balance'!$A$4:$G$2306,5,FALSE)</f>
        <v>0</v>
      </c>
      <c r="H56" s="486">
        <f>VLOOKUP(C56,'Full Trial Balance'!$A$4:$G$2306,6,FALSE)</f>
        <v>0</v>
      </c>
      <c r="I56" s="486">
        <f>VLOOKUP(C56,'Full Trial Balance'!$A$4:$G$2306,7,FALSE)</f>
        <v>0</v>
      </c>
      <c r="K56" s="265">
        <f t="shared" si="2"/>
        <v>0</v>
      </c>
    </row>
    <row r="57" spans="1:11" x14ac:dyDescent="0.25">
      <c r="A57" s="430" t="str">
        <f t="shared" si="0"/>
        <v>02</v>
      </c>
      <c r="B57" s="430" t="str">
        <f t="shared" si="1"/>
        <v>143-000</v>
      </c>
      <c r="C57" s="429" t="s">
        <v>1569</v>
      </c>
      <c r="D57" s="429" t="s">
        <v>1476</v>
      </c>
      <c r="E57" s="486">
        <f>VLOOKUP(C57,'Full Trial Balance'!$A$4:$G$2306,3,FALSE)</f>
        <v>0</v>
      </c>
      <c r="F57" s="486">
        <f>VLOOKUP(C57,'Full Trial Balance'!$A$4:$G$2306,4,FALSE)</f>
        <v>0</v>
      </c>
      <c r="G57" s="486">
        <f>VLOOKUP(C57,'Full Trial Balance'!$A$4:$G$2306,5,FALSE)</f>
        <v>0</v>
      </c>
      <c r="H57" s="486">
        <f>VLOOKUP(C57,'Full Trial Balance'!$A$4:$G$2306,6,FALSE)</f>
        <v>0</v>
      </c>
      <c r="I57" s="486">
        <f>VLOOKUP(C57,'Full Trial Balance'!$A$4:$G$2306,7,FALSE)</f>
        <v>0</v>
      </c>
      <c r="K57" s="265">
        <f t="shared" si="2"/>
        <v>0</v>
      </c>
    </row>
    <row r="58" spans="1:11" x14ac:dyDescent="0.25">
      <c r="A58" s="430" t="str">
        <f t="shared" si="0"/>
        <v>02</v>
      </c>
      <c r="B58" s="430" t="str">
        <f t="shared" si="1"/>
        <v>144-010</v>
      </c>
      <c r="C58" s="429" t="s">
        <v>1570</v>
      </c>
      <c r="D58" s="429" t="s">
        <v>1478</v>
      </c>
      <c r="E58" s="486">
        <f>VLOOKUP(C58,'Full Trial Balance'!$A$4:$G$2306,3,FALSE)</f>
        <v>0</v>
      </c>
      <c r="F58" s="486">
        <f>VLOOKUP(C58,'Full Trial Balance'!$A$4:$G$2306,4,FALSE)</f>
        <v>588142.88</v>
      </c>
      <c r="G58" s="486">
        <f>VLOOKUP(C58,'Full Trial Balance'!$A$4:$G$2306,5,FALSE)</f>
        <v>0</v>
      </c>
      <c r="H58" s="486">
        <f>VLOOKUP(C58,'Full Trial Balance'!$A$4:$G$2306,6,FALSE)</f>
        <v>0</v>
      </c>
      <c r="I58" s="486">
        <f>VLOOKUP(C58,'Full Trial Balance'!$A$4:$G$2306,7,FALSE)</f>
        <v>588142.88</v>
      </c>
      <c r="K58" s="265">
        <f t="shared" si="2"/>
        <v>0</v>
      </c>
    </row>
    <row r="59" spans="1:11" x14ac:dyDescent="0.25">
      <c r="A59" s="430" t="str">
        <f t="shared" si="0"/>
        <v>02</v>
      </c>
      <c r="B59" s="430" t="str">
        <f t="shared" si="1"/>
        <v>146-000</v>
      </c>
      <c r="C59" s="429" t="s">
        <v>1571</v>
      </c>
      <c r="D59" s="429" t="s">
        <v>1482</v>
      </c>
      <c r="E59" s="486">
        <f>VLOOKUP(C59,'Full Trial Balance'!$A$4:$G$2306,3,FALSE)</f>
        <v>0</v>
      </c>
      <c r="F59" s="486">
        <f>VLOOKUP(C59,'Full Trial Balance'!$A$4:$G$2306,4,FALSE)</f>
        <v>0</v>
      </c>
      <c r="G59" s="486">
        <f>VLOOKUP(C59,'Full Trial Balance'!$A$4:$G$2306,5,FALSE)</f>
        <v>0</v>
      </c>
      <c r="H59" s="486">
        <f>VLOOKUP(C59,'Full Trial Balance'!$A$4:$G$2306,6,FALSE)</f>
        <v>0</v>
      </c>
      <c r="I59" s="486">
        <f>VLOOKUP(C59,'Full Trial Balance'!$A$4:$G$2306,7,FALSE)</f>
        <v>0</v>
      </c>
      <c r="K59" s="265">
        <f t="shared" si="2"/>
        <v>0</v>
      </c>
    </row>
    <row r="60" spans="1:11" x14ac:dyDescent="0.25">
      <c r="A60" s="430" t="str">
        <f t="shared" si="0"/>
        <v>02</v>
      </c>
      <c r="B60" s="430" t="str">
        <f t="shared" si="1"/>
        <v>148-001</v>
      </c>
      <c r="C60" s="429" t="s">
        <v>1572</v>
      </c>
      <c r="D60" s="429" t="s">
        <v>1484</v>
      </c>
      <c r="E60" s="486">
        <v>0</v>
      </c>
      <c r="F60" s="486">
        <f>VLOOKUP(C60,'Full Trial Balance'!$A$4:$G$2306,4,FALSE)</f>
        <v>0</v>
      </c>
      <c r="G60" s="486">
        <f>VLOOKUP(C60,'Full Trial Balance'!$A$4:$G$2306,5,FALSE)</f>
        <v>0</v>
      </c>
      <c r="H60" s="486">
        <f>VLOOKUP(C60,'Full Trial Balance'!$A$4:$G$2306,6,FALSE)</f>
        <v>0</v>
      </c>
      <c r="I60" s="486">
        <f>VLOOKUP(C60,'Full Trial Balance'!$A$4:$G$2306,7,FALSE)</f>
        <v>0</v>
      </c>
      <c r="K60" s="265">
        <f t="shared" si="2"/>
        <v>0</v>
      </c>
    </row>
    <row r="61" spans="1:11" x14ac:dyDescent="0.25">
      <c r="A61" s="430" t="str">
        <f t="shared" si="0"/>
        <v>02</v>
      </c>
      <c r="B61" s="430" t="str">
        <f t="shared" si="1"/>
        <v>150-001</v>
      </c>
      <c r="C61" s="429" t="s">
        <v>1573</v>
      </c>
      <c r="D61" s="429" t="s">
        <v>1486</v>
      </c>
      <c r="E61" s="486">
        <v>5646</v>
      </c>
      <c r="F61" s="486">
        <f>VLOOKUP(C61,'Full Trial Balance'!$A$4:$G$2306,4,FALSE)</f>
        <v>15729.21</v>
      </c>
      <c r="G61" s="486">
        <f>VLOOKUP(C61,'Full Trial Balance'!$A$4:$G$2306,5,FALSE)</f>
        <v>826.51</v>
      </c>
      <c r="H61" s="486">
        <f>VLOOKUP(C61,'Full Trial Balance'!$A$4:$G$2306,6,FALSE)</f>
        <v>0</v>
      </c>
      <c r="I61" s="486">
        <f>VLOOKUP(C61,'Full Trial Balance'!$A$4:$G$2306,7,FALSE)</f>
        <v>16555.72</v>
      </c>
      <c r="K61" s="265">
        <f t="shared" si="2"/>
        <v>826.51</v>
      </c>
    </row>
    <row r="62" spans="1:11" x14ac:dyDescent="0.25">
      <c r="A62" s="430" t="str">
        <f t="shared" si="0"/>
        <v>02</v>
      </c>
      <c r="B62" s="430" t="str">
        <f t="shared" si="1"/>
        <v>150-003</v>
      </c>
      <c r="C62" s="429" t="s">
        <v>1574</v>
      </c>
      <c r="D62" s="429" t="s">
        <v>1488</v>
      </c>
      <c r="E62" s="486">
        <f>VLOOKUP(C62,'Full Trial Balance'!$A$4:$G$2306,3,FALSE)</f>
        <v>0</v>
      </c>
      <c r="F62" s="486">
        <f>VLOOKUP(C62,'Full Trial Balance'!$A$4:$G$2306,4,FALSE)</f>
        <v>1369.89</v>
      </c>
      <c r="G62" s="486">
        <f>VLOOKUP(C62,'Full Trial Balance'!$A$4:$G$2306,5,FALSE)</f>
        <v>0</v>
      </c>
      <c r="H62" s="486">
        <f>VLOOKUP(C62,'Full Trial Balance'!$A$4:$G$2306,6,FALSE)</f>
        <v>0</v>
      </c>
      <c r="I62" s="486">
        <f>VLOOKUP(C62,'Full Trial Balance'!$A$4:$G$2306,7,FALSE)</f>
        <v>1369.89</v>
      </c>
      <c r="K62" s="265">
        <f t="shared" si="2"/>
        <v>0</v>
      </c>
    </row>
    <row r="63" spans="1:11" x14ac:dyDescent="0.25">
      <c r="A63" s="430" t="str">
        <f t="shared" si="0"/>
        <v>02</v>
      </c>
      <c r="B63" s="430" t="str">
        <f t="shared" si="1"/>
        <v>155-000</v>
      </c>
      <c r="C63" s="429" t="s">
        <v>1575</v>
      </c>
      <c r="D63" s="429" t="s">
        <v>1491</v>
      </c>
      <c r="E63" s="486">
        <f>VLOOKUP(C63,'Full Trial Balance'!$A$4:$G$2306,3,FALSE)</f>
        <v>0</v>
      </c>
      <c r="F63" s="486">
        <f>VLOOKUP(C63,'Full Trial Balance'!$A$4:$G$2306,4,FALSE)</f>
        <v>46707</v>
      </c>
      <c r="G63" s="486">
        <f>VLOOKUP(C63,'Full Trial Balance'!$A$4:$G$2306,5,FALSE)</f>
        <v>0</v>
      </c>
      <c r="H63" s="486">
        <f>VLOOKUP(C63,'Full Trial Balance'!$A$4:$G$2306,6,FALSE)</f>
        <v>0</v>
      </c>
      <c r="I63" s="486">
        <f>VLOOKUP(C63,'Full Trial Balance'!$A$4:$G$2306,7,FALSE)</f>
        <v>46707</v>
      </c>
      <c r="K63" s="265">
        <f t="shared" si="2"/>
        <v>0</v>
      </c>
    </row>
    <row r="64" spans="1:11" x14ac:dyDescent="0.25">
      <c r="A64" s="430" t="str">
        <f t="shared" si="0"/>
        <v>02</v>
      </c>
      <c r="B64" s="430" t="str">
        <f t="shared" si="1"/>
        <v>155-001</v>
      </c>
      <c r="C64" s="429" t="s">
        <v>1576</v>
      </c>
      <c r="D64" s="429" t="s">
        <v>1493</v>
      </c>
      <c r="E64" s="486">
        <v>8000</v>
      </c>
      <c r="F64" s="486">
        <f>VLOOKUP(C64,'Full Trial Balance'!$A$4:$G$2306,4,FALSE)</f>
        <v>40353.629999999997</v>
      </c>
      <c r="G64" s="486">
        <f>VLOOKUP(C64,'Full Trial Balance'!$A$4:$G$2306,5,FALSE)</f>
        <v>1631.83</v>
      </c>
      <c r="H64" s="486">
        <f>VLOOKUP(C64,'Full Trial Balance'!$A$4:$G$2306,6,FALSE)</f>
        <v>0</v>
      </c>
      <c r="I64" s="486">
        <f>VLOOKUP(C64,'Full Trial Balance'!$A$4:$G$2306,7,FALSE)</f>
        <v>41985.46</v>
      </c>
      <c r="K64" s="265">
        <f t="shared" si="2"/>
        <v>1631.83</v>
      </c>
    </row>
    <row r="65" spans="1:11" x14ac:dyDescent="0.25">
      <c r="A65" s="430" t="str">
        <f t="shared" si="0"/>
        <v>02</v>
      </c>
      <c r="B65" s="430" t="str">
        <f t="shared" si="1"/>
        <v>156-000</v>
      </c>
      <c r="C65" s="429" t="s">
        <v>1577</v>
      </c>
      <c r="D65" s="429" t="s">
        <v>1495</v>
      </c>
      <c r="E65" s="486">
        <f>VLOOKUP(C65,'Full Trial Balance'!$A$4:$G$2306,3,FALSE)</f>
        <v>0</v>
      </c>
      <c r="F65" s="486">
        <f>VLOOKUP(C65,'Full Trial Balance'!$A$4:$G$2306,4,FALSE)</f>
        <v>0</v>
      </c>
      <c r="G65" s="486">
        <f>VLOOKUP(C65,'Full Trial Balance'!$A$4:$G$2306,5,FALSE)</f>
        <v>0</v>
      </c>
      <c r="H65" s="486">
        <f>VLOOKUP(C65,'Full Trial Balance'!$A$4:$G$2306,6,FALSE)</f>
        <v>0</v>
      </c>
      <c r="I65" s="486">
        <f>VLOOKUP(C65,'Full Trial Balance'!$A$4:$G$2306,7,FALSE)</f>
        <v>0</v>
      </c>
      <c r="K65" s="265">
        <f t="shared" si="2"/>
        <v>0</v>
      </c>
    </row>
    <row r="66" spans="1:11" x14ac:dyDescent="0.25">
      <c r="A66" s="430" t="str">
        <f t="shared" ref="A66:A129" si="3">LEFT(C66,2)</f>
        <v>02</v>
      </c>
      <c r="B66" s="430" t="str">
        <f t="shared" ref="B66:B129" si="4">RIGHT(C66,7)</f>
        <v>157-000</v>
      </c>
      <c r="C66" s="429" t="s">
        <v>1578</v>
      </c>
      <c r="D66" s="429" t="s">
        <v>1497</v>
      </c>
      <c r="E66" s="486">
        <v>15600</v>
      </c>
      <c r="F66" s="486">
        <f>VLOOKUP(C66,'Full Trial Balance'!$A$4:$G$2306,4,FALSE)</f>
        <v>130089.71</v>
      </c>
      <c r="G66" s="486">
        <f>VLOOKUP(C66,'Full Trial Balance'!$A$4:$G$2306,5,FALSE)</f>
        <v>0</v>
      </c>
      <c r="H66" s="486">
        <f>VLOOKUP(C66,'Full Trial Balance'!$A$4:$G$2306,6,FALSE)</f>
        <v>0</v>
      </c>
      <c r="I66" s="486">
        <f>VLOOKUP(C66,'Full Trial Balance'!$A$4:$G$2306,7,FALSE)</f>
        <v>130089.71</v>
      </c>
      <c r="K66" s="265">
        <f t="shared" ref="K66:K129" si="5">G66-H66+J66</f>
        <v>0</v>
      </c>
    </row>
    <row r="67" spans="1:11" x14ac:dyDescent="0.25">
      <c r="A67" s="430" t="str">
        <f t="shared" si="3"/>
        <v>02</v>
      </c>
      <c r="B67" s="430" t="str">
        <f t="shared" si="4"/>
        <v>159-000</v>
      </c>
      <c r="C67" s="429" t="s">
        <v>1579</v>
      </c>
      <c r="D67" s="429" t="s">
        <v>1499</v>
      </c>
      <c r="E67" s="486">
        <f>VLOOKUP(C67,'Full Trial Balance'!$A$4:$G$2306,3,FALSE)</f>
        <v>0</v>
      </c>
      <c r="F67" s="486">
        <f>VLOOKUP(C67,'Full Trial Balance'!$A$4:$G$2306,4,FALSE)</f>
        <v>266559.19</v>
      </c>
      <c r="G67" s="486">
        <f>VLOOKUP(C67,'Full Trial Balance'!$A$4:$G$2306,5,FALSE)</f>
        <v>0</v>
      </c>
      <c r="H67" s="486">
        <f>VLOOKUP(C67,'Full Trial Balance'!$A$4:$G$2306,6,FALSE)</f>
        <v>0</v>
      </c>
      <c r="I67" s="486">
        <f>VLOOKUP(C67,'Full Trial Balance'!$A$4:$G$2306,7,FALSE)</f>
        <v>266559.19</v>
      </c>
      <c r="J67" s="260"/>
      <c r="K67" s="265">
        <f t="shared" si="5"/>
        <v>0</v>
      </c>
    </row>
    <row r="68" spans="1:11" x14ac:dyDescent="0.25">
      <c r="A68" s="430" t="str">
        <f t="shared" si="3"/>
        <v>02</v>
      </c>
      <c r="B68" s="430" t="str">
        <f t="shared" si="4"/>
        <v>160-009</v>
      </c>
      <c r="C68" s="429" t="s">
        <v>1580</v>
      </c>
      <c r="D68" s="429" t="s">
        <v>1581</v>
      </c>
      <c r="E68" s="486">
        <v>487477</v>
      </c>
      <c r="F68" s="486">
        <f>VLOOKUP(C68,'Full Trial Balance'!$A$4:$G$2306,4,FALSE)</f>
        <v>0</v>
      </c>
      <c r="G68" s="486">
        <f>VLOOKUP(C68,'Full Trial Balance'!$A$4:$G$2306,5,FALSE)</f>
        <v>2926.96</v>
      </c>
      <c r="H68" s="486">
        <f>VLOOKUP(C68,'Full Trial Balance'!$A$4:$G$2306,6,FALSE)</f>
        <v>0</v>
      </c>
      <c r="I68" s="486">
        <f>VLOOKUP(C68,'Full Trial Balance'!$A$4:$G$2306,7,FALSE)</f>
        <v>2926.96</v>
      </c>
      <c r="J68" s="260"/>
      <c r="K68" s="265">
        <f t="shared" si="5"/>
        <v>2926.96</v>
      </c>
    </row>
    <row r="69" spans="1:11" x14ac:dyDescent="0.25">
      <c r="A69" s="430" t="str">
        <f t="shared" si="3"/>
        <v>02</v>
      </c>
      <c r="B69" s="430" t="str">
        <f t="shared" si="4"/>
        <v>160-010</v>
      </c>
      <c r="C69" s="429" t="s">
        <v>1582</v>
      </c>
      <c r="D69" s="429" t="s">
        <v>1583</v>
      </c>
      <c r="E69" s="486">
        <f>VLOOKUP(C69,'Full Trial Balance'!$A$4:$G$2306,3,FALSE)</f>
        <v>0</v>
      </c>
      <c r="F69" s="486">
        <f>VLOOKUP(C69,'Full Trial Balance'!$A$4:$G$2306,4,FALSE)</f>
        <v>179861.22</v>
      </c>
      <c r="G69" s="486">
        <f>VLOOKUP(C69,'Full Trial Balance'!$A$4:$G$2306,5,FALSE)</f>
        <v>0</v>
      </c>
      <c r="H69" s="486">
        <f>VLOOKUP(C69,'Full Trial Balance'!$A$4:$G$2306,6,FALSE)</f>
        <v>0</v>
      </c>
      <c r="I69" s="486">
        <f>VLOOKUP(C69,'Full Trial Balance'!$A$4:$G$2306,7,FALSE)</f>
        <v>179861.22</v>
      </c>
      <c r="K69" s="265">
        <f t="shared" si="5"/>
        <v>0</v>
      </c>
    </row>
    <row r="70" spans="1:11" x14ac:dyDescent="0.25">
      <c r="A70" s="430" t="str">
        <f t="shared" si="3"/>
        <v>02</v>
      </c>
      <c r="B70" s="430" t="str">
        <f t="shared" si="4"/>
        <v>160-015</v>
      </c>
      <c r="C70" s="429" t="s">
        <v>1584</v>
      </c>
      <c r="D70" s="429" t="s">
        <v>1585</v>
      </c>
      <c r="E70" s="486">
        <f>VLOOKUP(C70,'Full Trial Balance'!$A$4:$G$2306,3,FALSE)</f>
        <v>0</v>
      </c>
      <c r="F70" s="486">
        <f>VLOOKUP(C70,'Full Trial Balance'!$A$4:$G$2306,4,FALSE)</f>
        <v>213930.52</v>
      </c>
      <c r="G70" s="486">
        <f>VLOOKUP(C70,'Full Trial Balance'!$A$4:$G$2306,5,FALSE)</f>
        <v>0</v>
      </c>
      <c r="H70" s="486">
        <f>VLOOKUP(C70,'Full Trial Balance'!$A$4:$G$2306,6,FALSE)</f>
        <v>0</v>
      </c>
      <c r="I70" s="486">
        <f>VLOOKUP(C70,'Full Trial Balance'!$A$4:$G$2306,7,FALSE)</f>
        <v>213930.52</v>
      </c>
      <c r="K70" s="265">
        <f t="shared" si="5"/>
        <v>0</v>
      </c>
    </row>
    <row r="71" spans="1:11" x14ac:dyDescent="0.25">
      <c r="A71" s="430" t="str">
        <f t="shared" si="3"/>
        <v>02</v>
      </c>
      <c r="B71" s="430" t="str">
        <f t="shared" si="4"/>
        <v>160-020</v>
      </c>
      <c r="C71" s="429" t="s">
        <v>1586</v>
      </c>
      <c r="D71" s="429" t="s">
        <v>1587</v>
      </c>
      <c r="E71" s="486">
        <f>VLOOKUP(C71,'Full Trial Balance'!$A$4:$G$2306,3,FALSE)</f>
        <v>0</v>
      </c>
      <c r="F71" s="486">
        <f>VLOOKUP(C71,'Full Trial Balance'!$A$4:$G$2306,4,FALSE)</f>
        <v>156976.89000000001</v>
      </c>
      <c r="G71" s="486">
        <f>VLOOKUP(C71,'Full Trial Balance'!$A$4:$G$2306,5,FALSE)</f>
        <v>0</v>
      </c>
      <c r="H71" s="486">
        <f>VLOOKUP(C71,'Full Trial Balance'!$A$4:$G$2306,6,FALSE)</f>
        <v>0</v>
      </c>
      <c r="I71" s="486">
        <f>VLOOKUP(C71,'Full Trial Balance'!$A$4:$G$2306,7,FALSE)</f>
        <v>156976.89000000001</v>
      </c>
      <c r="J71" s="506"/>
      <c r="K71" s="265">
        <f t="shared" si="5"/>
        <v>0</v>
      </c>
    </row>
    <row r="72" spans="1:11" x14ac:dyDescent="0.25">
      <c r="A72" s="430" t="str">
        <f t="shared" si="3"/>
        <v>02</v>
      </c>
      <c r="B72" s="430" t="str">
        <f t="shared" si="4"/>
        <v>160-025</v>
      </c>
      <c r="C72" s="429" t="s">
        <v>1588</v>
      </c>
      <c r="D72" s="429" t="s">
        <v>1589</v>
      </c>
      <c r="E72" s="486">
        <f>VLOOKUP(C72,'Full Trial Balance'!$A$4:$G$2306,3,FALSE)</f>
        <v>0</v>
      </c>
      <c r="F72" s="486">
        <f>VLOOKUP(C72,'Full Trial Balance'!$A$4:$G$2306,4,FALSE)</f>
        <v>235465.35</v>
      </c>
      <c r="G72" s="486">
        <f>VLOOKUP(C72,'Full Trial Balance'!$A$4:$G$2306,5,FALSE)</f>
        <v>0</v>
      </c>
      <c r="H72" s="486">
        <f>VLOOKUP(C72,'Full Trial Balance'!$A$4:$G$2306,6,FALSE)</f>
        <v>0</v>
      </c>
      <c r="I72" s="486">
        <f>VLOOKUP(C72,'Full Trial Balance'!$A$4:$G$2306,7,FALSE)</f>
        <v>235465.35</v>
      </c>
      <c r="J72" s="506"/>
      <c r="K72" s="265">
        <f t="shared" si="5"/>
        <v>0</v>
      </c>
    </row>
    <row r="73" spans="1:11" x14ac:dyDescent="0.25">
      <c r="A73" s="430" t="str">
        <f t="shared" si="3"/>
        <v>02</v>
      </c>
      <c r="B73" s="430" t="str">
        <f t="shared" si="4"/>
        <v>160-030</v>
      </c>
      <c r="C73" s="429" t="s">
        <v>1590</v>
      </c>
      <c r="D73" s="429" t="s">
        <v>1591</v>
      </c>
      <c r="E73" s="486">
        <f>VLOOKUP(C73,'Full Trial Balance'!$A$4:$G$2306,3,FALSE)</f>
        <v>0</v>
      </c>
      <c r="F73" s="486">
        <f>VLOOKUP(C73,'Full Trial Balance'!$A$4:$G$2306,4,FALSE)</f>
        <v>613738.52</v>
      </c>
      <c r="G73" s="486">
        <f>VLOOKUP(C73,'Full Trial Balance'!$A$4:$G$2306,5,FALSE)</f>
        <v>0</v>
      </c>
      <c r="H73" s="486">
        <f>VLOOKUP(C73,'Full Trial Balance'!$A$4:$G$2306,6,FALSE)</f>
        <v>0</v>
      </c>
      <c r="I73" s="486">
        <f>VLOOKUP(C73,'Full Trial Balance'!$A$4:$G$2306,7,FALSE)</f>
        <v>613738.52</v>
      </c>
      <c r="K73" s="265">
        <f t="shared" si="5"/>
        <v>0</v>
      </c>
    </row>
    <row r="74" spans="1:11" x14ac:dyDescent="0.25">
      <c r="A74" s="430" t="str">
        <f t="shared" si="3"/>
        <v>02</v>
      </c>
      <c r="B74" s="430" t="str">
        <f t="shared" si="4"/>
        <v>160-401</v>
      </c>
      <c r="C74" s="429" t="s">
        <v>1592</v>
      </c>
      <c r="D74" s="429" t="s">
        <v>1593</v>
      </c>
      <c r="E74" s="486">
        <f>VLOOKUP(C74,'Full Trial Balance'!$A$4:$G$2306,3,FALSE)</f>
        <v>0</v>
      </c>
      <c r="F74" s="486">
        <f>VLOOKUP(C74,'Full Trial Balance'!$A$4:$G$2306,4,FALSE)</f>
        <v>0</v>
      </c>
      <c r="G74" s="486">
        <f>VLOOKUP(C74,'Full Trial Balance'!$A$4:$G$2306,5,FALSE)</f>
        <v>0</v>
      </c>
      <c r="H74" s="486">
        <f>VLOOKUP(C74,'Full Trial Balance'!$A$4:$G$2306,6,FALSE)</f>
        <v>0</v>
      </c>
      <c r="I74" s="486">
        <f>VLOOKUP(C74,'Full Trial Balance'!$A$4:$G$2306,7,FALSE)</f>
        <v>0</v>
      </c>
      <c r="K74" s="265">
        <f t="shared" si="5"/>
        <v>0</v>
      </c>
    </row>
    <row r="75" spans="1:11" x14ac:dyDescent="0.25">
      <c r="A75" s="430" t="str">
        <f t="shared" si="3"/>
        <v>02</v>
      </c>
      <c r="B75" s="430" t="str">
        <f t="shared" si="4"/>
        <v>160-402</v>
      </c>
      <c r="C75" s="429" t="s">
        <v>1594</v>
      </c>
      <c r="D75" s="429" t="s">
        <v>1531</v>
      </c>
      <c r="E75" s="486">
        <v>5600</v>
      </c>
      <c r="F75" s="486">
        <f>VLOOKUP(C75,'Full Trial Balance'!$A$4:$G$2306,4,FALSE)</f>
        <v>106772.37</v>
      </c>
      <c r="G75" s="486">
        <f>VLOOKUP(C75,'Full Trial Balance'!$A$4:$G$2306,5,FALSE)</f>
        <v>0</v>
      </c>
      <c r="H75" s="486">
        <f>VLOOKUP(C75,'Full Trial Balance'!$A$4:$G$2306,6,FALSE)</f>
        <v>0</v>
      </c>
      <c r="I75" s="486">
        <f>VLOOKUP(C75,'Full Trial Balance'!$A$4:$G$2306,7,FALSE)</f>
        <v>106772.37</v>
      </c>
      <c r="J75" s="260"/>
      <c r="K75" s="265">
        <f t="shared" si="5"/>
        <v>0</v>
      </c>
    </row>
    <row r="76" spans="1:11" x14ac:dyDescent="0.25">
      <c r="A76" s="430" t="str">
        <f t="shared" si="3"/>
        <v>02</v>
      </c>
      <c r="B76" s="430" t="str">
        <f t="shared" si="4"/>
        <v>160-403</v>
      </c>
      <c r="C76" s="429" t="s">
        <v>1595</v>
      </c>
      <c r="D76" s="429" t="s">
        <v>1596</v>
      </c>
      <c r="E76" s="486">
        <f>VLOOKUP(C76,'Full Trial Balance'!$A$4:$G$2306,3,FALSE)</f>
        <v>0</v>
      </c>
      <c r="F76" s="486">
        <f>VLOOKUP(C76,'Full Trial Balance'!$A$4:$G$2306,4,FALSE)</f>
        <v>370309.26</v>
      </c>
      <c r="G76" s="486">
        <f>VLOOKUP(C76,'Full Trial Balance'!$A$4:$G$2306,5,FALSE)</f>
        <v>0</v>
      </c>
      <c r="H76" s="486">
        <f>VLOOKUP(C76,'Full Trial Balance'!$A$4:$G$2306,6,FALSE)</f>
        <v>0</v>
      </c>
      <c r="I76" s="486">
        <f>VLOOKUP(C76,'Full Trial Balance'!$A$4:$G$2306,7,FALSE)</f>
        <v>370309.26</v>
      </c>
      <c r="K76" s="265">
        <f t="shared" si="5"/>
        <v>0</v>
      </c>
    </row>
    <row r="77" spans="1:11" x14ac:dyDescent="0.25">
      <c r="A77" s="430" t="str">
        <f t="shared" si="3"/>
        <v>02</v>
      </c>
      <c r="B77" s="430" t="str">
        <f t="shared" si="4"/>
        <v>160-404</v>
      </c>
      <c r="C77" s="429" t="s">
        <v>1597</v>
      </c>
      <c r="D77" s="429" t="s">
        <v>1598</v>
      </c>
      <c r="E77" s="486">
        <v>381217</v>
      </c>
      <c r="F77" s="486">
        <f>VLOOKUP(C77,'Full Trial Balance'!$A$4:$G$2306,4,FALSE)</f>
        <v>0</v>
      </c>
      <c r="G77" s="486">
        <f>VLOOKUP(C77,'Full Trial Balance'!$A$4:$G$2306,5,FALSE)</f>
        <v>2045.86</v>
      </c>
      <c r="H77" s="486">
        <f>VLOOKUP(C77,'Full Trial Balance'!$A$4:$G$2306,6,FALSE)</f>
        <v>0</v>
      </c>
      <c r="I77" s="486">
        <f>VLOOKUP(C77,'Full Trial Balance'!$A$4:$G$2306,7,FALSE)</f>
        <v>2045.86</v>
      </c>
      <c r="J77" s="260"/>
      <c r="K77" s="265">
        <f t="shared" si="5"/>
        <v>2045.86</v>
      </c>
    </row>
    <row r="78" spans="1:11" x14ac:dyDescent="0.25">
      <c r="A78" s="430" t="str">
        <f t="shared" si="3"/>
        <v>02</v>
      </c>
      <c r="B78" s="430" t="str">
        <f t="shared" si="4"/>
        <v>160-410</v>
      </c>
      <c r="C78" s="429" t="s">
        <v>1599</v>
      </c>
      <c r="D78" s="429" t="s">
        <v>1537</v>
      </c>
      <c r="E78" s="486">
        <f>VLOOKUP(C78,'Full Trial Balance'!$A$4:$G$2306,3,FALSE)</f>
        <v>0</v>
      </c>
      <c r="F78" s="486">
        <f>VLOOKUP(C78,'Full Trial Balance'!$A$4:$G$2306,4,FALSE)</f>
        <v>19538.759999999998</v>
      </c>
      <c r="G78" s="486">
        <f>VLOOKUP(C78,'Full Trial Balance'!$A$4:$G$2306,5,FALSE)</f>
        <v>0</v>
      </c>
      <c r="H78" s="486">
        <f>VLOOKUP(C78,'Full Trial Balance'!$A$4:$G$2306,6,FALSE)</f>
        <v>0</v>
      </c>
      <c r="I78" s="486">
        <f>VLOOKUP(C78,'Full Trial Balance'!$A$4:$G$2306,7,FALSE)</f>
        <v>19538.759999999998</v>
      </c>
      <c r="J78" s="506"/>
      <c r="K78" s="265">
        <f t="shared" si="5"/>
        <v>0</v>
      </c>
    </row>
    <row r="79" spans="1:11" x14ac:dyDescent="0.25">
      <c r="A79" s="430" t="str">
        <f t="shared" si="3"/>
        <v>02</v>
      </c>
      <c r="B79" s="430" t="str">
        <f t="shared" si="4"/>
        <v>160-415</v>
      </c>
      <c r="C79" s="429" t="s">
        <v>1600</v>
      </c>
      <c r="D79" s="429" t="s">
        <v>1539</v>
      </c>
      <c r="E79" s="486">
        <v>1640</v>
      </c>
      <c r="F79" s="486">
        <f>VLOOKUP(C79,'Full Trial Balance'!$A$4:$G$2306,4,FALSE)</f>
        <v>0</v>
      </c>
      <c r="G79" s="486">
        <f>VLOOKUP(C79,'Full Trial Balance'!$A$4:$G$2306,5,FALSE)</f>
        <v>0</v>
      </c>
      <c r="H79" s="486">
        <f>VLOOKUP(C79,'Full Trial Balance'!$A$4:$G$2306,6,FALSE)</f>
        <v>0</v>
      </c>
      <c r="I79" s="486">
        <f>VLOOKUP(C79,'Full Trial Balance'!$A$4:$G$2306,7,FALSE)</f>
        <v>0</v>
      </c>
      <c r="J79" s="260"/>
      <c r="K79" s="265">
        <f t="shared" si="5"/>
        <v>0</v>
      </c>
    </row>
    <row r="80" spans="1:11" x14ac:dyDescent="0.25">
      <c r="A80" s="430" t="str">
        <f t="shared" si="3"/>
        <v>02</v>
      </c>
      <c r="B80" s="430" t="str">
        <f t="shared" si="4"/>
        <v>160-810</v>
      </c>
      <c r="C80" s="429" t="s">
        <v>1601</v>
      </c>
      <c r="D80" s="429" t="s">
        <v>1543</v>
      </c>
      <c r="E80" s="486">
        <f>VLOOKUP(C80,'Full Trial Balance'!$A$4:$G$2306,3,FALSE)</f>
        <v>0</v>
      </c>
      <c r="F80" s="486">
        <f>VLOOKUP(C80,'Full Trial Balance'!$A$4:$G$2306,4,FALSE)</f>
        <v>0</v>
      </c>
      <c r="G80" s="486">
        <f>VLOOKUP(C80,'Full Trial Balance'!$A$4:$G$2306,5,FALSE)</f>
        <v>0</v>
      </c>
      <c r="H80" s="486">
        <f>VLOOKUP(C80,'Full Trial Balance'!$A$4:$G$2306,6,FALSE)</f>
        <v>0</v>
      </c>
      <c r="I80" s="486">
        <f>VLOOKUP(C80,'Full Trial Balance'!$A$4:$G$2306,7,FALSE)</f>
        <v>0</v>
      </c>
      <c r="J80" s="506"/>
      <c r="K80" s="265">
        <f t="shared" si="5"/>
        <v>0</v>
      </c>
    </row>
    <row r="81" spans="1:11" x14ac:dyDescent="0.25">
      <c r="A81" s="430" t="str">
        <f t="shared" si="3"/>
        <v>02</v>
      </c>
      <c r="B81" s="430" t="str">
        <f t="shared" si="4"/>
        <v>163-000</v>
      </c>
      <c r="C81" s="429" t="s">
        <v>1602</v>
      </c>
      <c r="D81" s="429" t="s">
        <v>1545</v>
      </c>
      <c r="E81" s="486">
        <f>VLOOKUP(C81,'Full Trial Balance'!$A$4:$G$2306,3,FALSE)</f>
        <v>0</v>
      </c>
      <c r="F81" s="486">
        <f>VLOOKUP(C81,'Full Trial Balance'!$A$4:$G$2306,4,FALSE)</f>
        <v>53310.65</v>
      </c>
      <c r="G81" s="486">
        <f>VLOOKUP(C81,'Full Trial Balance'!$A$4:$G$2306,5,FALSE)</f>
        <v>0</v>
      </c>
      <c r="H81" s="486">
        <f>VLOOKUP(C81,'Full Trial Balance'!$A$4:$G$2306,6,FALSE)</f>
        <v>0</v>
      </c>
      <c r="I81" s="486">
        <f>VLOOKUP(C81,'Full Trial Balance'!$A$4:$G$2306,7,FALSE)</f>
        <v>53310.65</v>
      </c>
      <c r="J81" s="506"/>
      <c r="K81" s="265">
        <f t="shared" si="5"/>
        <v>0</v>
      </c>
    </row>
    <row r="82" spans="1:11" x14ac:dyDescent="0.25">
      <c r="A82" s="430" t="str">
        <f t="shared" si="3"/>
        <v>02</v>
      </c>
      <c r="B82" s="430" t="str">
        <f t="shared" si="4"/>
        <v>163-050</v>
      </c>
      <c r="C82" s="429" t="s">
        <v>1603</v>
      </c>
      <c r="D82" s="429" t="s">
        <v>1547</v>
      </c>
      <c r="E82" s="486">
        <f>VLOOKUP(C82,'Full Trial Balance'!$A$4:$G$2306,3,FALSE)</f>
        <v>0</v>
      </c>
      <c r="F82" s="486">
        <f>VLOOKUP(C82,'Full Trial Balance'!$A$4:$G$2306,4,FALSE)</f>
        <v>246439.18</v>
      </c>
      <c r="G82" s="486">
        <f>VLOOKUP(C82,'Full Trial Balance'!$A$4:$G$2306,5,FALSE)</f>
        <v>360.04</v>
      </c>
      <c r="H82" s="486">
        <f>VLOOKUP(C82,'Full Trial Balance'!$A$4:$G$2306,6,FALSE)</f>
        <v>360.04</v>
      </c>
      <c r="I82" s="486">
        <f>VLOOKUP(C82,'Full Trial Balance'!$A$4:$G$2306,7,FALSE)</f>
        <v>246439.18</v>
      </c>
      <c r="J82" s="506"/>
      <c r="K82" s="265">
        <f t="shared" si="5"/>
        <v>0</v>
      </c>
    </row>
    <row r="83" spans="1:11" x14ac:dyDescent="0.25">
      <c r="A83" s="430" t="str">
        <f t="shared" si="3"/>
        <v>02</v>
      </c>
      <c r="B83" s="430" t="str">
        <f t="shared" si="4"/>
        <v>163-060</v>
      </c>
      <c r="C83" s="429" t="s">
        <v>1604</v>
      </c>
      <c r="D83" s="429" t="s">
        <v>3450</v>
      </c>
      <c r="E83" s="486">
        <v>180992</v>
      </c>
      <c r="F83" s="486">
        <f>VLOOKUP(C83,'Full Trial Balance'!$A$4:$G$2306,4,FALSE)</f>
        <v>0</v>
      </c>
      <c r="G83" s="486">
        <f>VLOOKUP(C83,'Full Trial Balance'!$A$4:$G$2306,5,FALSE)</f>
        <v>4381.49</v>
      </c>
      <c r="H83" s="486">
        <f>VLOOKUP(C83,'Full Trial Balance'!$A$4:$G$2306,6,FALSE)</f>
        <v>0</v>
      </c>
      <c r="I83" s="486">
        <f>VLOOKUP(C83,'Full Trial Balance'!$A$4:$G$2306,7,FALSE)</f>
        <v>4381.49</v>
      </c>
      <c r="J83" s="260"/>
      <c r="K83" s="265">
        <f t="shared" si="5"/>
        <v>4381.49</v>
      </c>
    </row>
    <row r="84" spans="1:11" x14ac:dyDescent="0.25">
      <c r="A84" s="430" t="str">
        <f t="shared" si="3"/>
        <v>02</v>
      </c>
      <c r="B84" s="430" t="str">
        <f t="shared" si="4"/>
        <v>170-000</v>
      </c>
      <c r="C84" s="429" t="s">
        <v>1605</v>
      </c>
      <c r="D84" s="429" t="s">
        <v>1606</v>
      </c>
      <c r="E84" s="486">
        <f>VLOOKUP(C84,'Full Trial Balance'!$A$4:$G$2306,3,FALSE)</f>
        <v>0</v>
      </c>
      <c r="F84" s="486">
        <f>VLOOKUP(C84,'Full Trial Balance'!$A$4:$G$2306,4,FALSE)</f>
        <v>332720.46999999997</v>
      </c>
      <c r="G84" s="486">
        <f>VLOOKUP(C84,'Full Trial Balance'!$A$4:$G$2306,5,FALSE)</f>
        <v>0</v>
      </c>
      <c r="H84" s="486">
        <f>VLOOKUP(C84,'Full Trial Balance'!$A$4:$G$2306,6,FALSE)</f>
        <v>0</v>
      </c>
      <c r="I84" s="486">
        <f>VLOOKUP(C84,'Full Trial Balance'!$A$4:$G$2306,7,FALSE)</f>
        <v>332720.46999999997</v>
      </c>
      <c r="K84" s="265">
        <f t="shared" si="5"/>
        <v>0</v>
      </c>
    </row>
    <row r="85" spans="1:11" x14ac:dyDescent="0.25">
      <c r="A85" s="430" t="str">
        <f t="shared" si="3"/>
        <v>02</v>
      </c>
      <c r="B85" s="430" t="str">
        <f t="shared" si="4"/>
        <v>186-000</v>
      </c>
      <c r="C85" s="429" t="s">
        <v>1607</v>
      </c>
      <c r="D85" s="429" t="s">
        <v>187</v>
      </c>
      <c r="E85" s="486">
        <f>VLOOKUP(C85,'Full Trial Balance'!$A$4:$G$2306,3,FALSE)</f>
        <v>0</v>
      </c>
      <c r="F85" s="486">
        <f>VLOOKUP(C85,'Full Trial Balance'!$A$4:$G$2306,4,FALSE)</f>
        <v>864404.98</v>
      </c>
      <c r="G85" s="486">
        <f>VLOOKUP(C85,'Full Trial Balance'!$A$4:$G$2306,5,FALSE)</f>
        <v>0</v>
      </c>
      <c r="H85" s="486">
        <f>VLOOKUP(C85,'Full Trial Balance'!$A$4:$G$2306,6,FALSE)</f>
        <v>0</v>
      </c>
      <c r="I85" s="486">
        <f>VLOOKUP(C85,'Full Trial Balance'!$A$4:$G$2306,7,FALSE)</f>
        <v>864404.98</v>
      </c>
      <c r="K85" s="265">
        <f t="shared" si="5"/>
        <v>0</v>
      </c>
    </row>
    <row r="86" spans="1:11" x14ac:dyDescent="0.25">
      <c r="A86" s="430" t="str">
        <f t="shared" si="3"/>
        <v>02</v>
      </c>
      <c r="B86" s="430" t="str">
        <f t="shared" si="4"/>
        <v>189-000</v>
      </c>
      <c r="C86" s="429" t="s">
        <v>1608</v>
      </c>
      <c r="D86" s="429" t="s">
        <v>1609</v>
      </c>
      <c r="E86" s="486">
        <f>VLOOKUP(C86,'Full Trial Balance'!$A$4:$G$2306,3,FALSE)</f>
        <v>0</v>
      </c>
      <c r="F86" s="486">
        <f>VLOOKUP(C86,'Full Trial Balance'!$A$4:$G$2306,4,FALSE)</f>
        <v>374555.55</v>
      </c>
      <c r="G86" s="486">
        <f>VLOOKUP(C86,'Full Trial Balance'!$A$4:$G$2306,5,FALSE)</f>
        <v>0</v>
      </c>
      <c r="H86" s="486">
        <f>VLOOKUP(C86,'Full Trial Balance'!$A$4:$G$2306,6,FALSE)</f>
        <v>0</v>
      </c>
      <c r="I86" s="486">
        <f>VLOOKUP(C86,'Full Trial Balance'!$A$4:$G$2306,7,FALSE)</f>
        <v>374555.55</v>
      </c>
      <c r="J86" s="506"/>
      <c r="K86" s="265">
        <f t="shared" si="5"/>
        <v>0</v>
      </c>
    </row>
    <row r="87" spans="1:11" x14ac:dyDescent="0.25">
      <c r="A87" s="430" t="str">
        <f t="shared" si="3"/>
        <v>02</v>
      </c>
      <c r="B87" s="430" t="str">
        <f t="shared" si="4"/>
        <v>191-000</v>
      </c>
      <c r="C87" s="429" t="s">
        <v>1610</v>
      </c>
      <c r="D87" s="429" t="s">
        <v>1611</v>
      </c>
      <c r="E87" s="486">
        <f>VLOOKUP(C87,'Full Trial Balance'!$A$4:$G$2306,3,FALSE)</f>
        <v>0</v>
      </c>
      <c r="F87" s="486">
        <f>VLOOKUP(C87,'Full Trial Balance'!$A$4:$G$2306,4,FALSE)</f>
        <v>3594657.92</v>
      </c>
      <c r="G87" s="486">
        <f>VLOOKUP(C87,'Full Trial Balance'!$A$4:$G$2306,5,FALSE)</f>
        <v>0</v>
      </c>
      <c r="H87" s="486">
        <f>VLOOKUP(C87,'Full Trial Balance'!$A$4:$G$2306,6,FALSE)</f>
        <v>0</v>
      </c>
      <c r="I87" s="486">
        <f>VLOOKUP(C87,'Full Trial Balance'!$A$4:$G$2306,7,FALSE)</f>
        <v>3594657.92</v>
      </c>
      <c r="K87" s="265">
        <f t="shared" si="5"/>
        <v>0</v>
      </c>
    </row>
    <row r="88" spans="1:11" x14ac:dyDescent="0.25">
      <c r="A88" s="430" t="str">
        <f t="shared" si="3"/>
        <v>02</v>
      </c>
      <c r="B88" s="430" t="str">
        <f t="shared" si="4"/>
        <v>195-000</v>
      </c>
      <c r="C88" s="429" t="s">
        <v>1612</v>
      </c>
      <c r="D88" s="429" t="s">
        <v>1560</v>
      </c>
      <c r="E88" s="486">
        <f>VLOOKUP(C88,'Full Trial Balance'!$A$4:$G$2306,3,FALSE)</f>
        <v>0</v>
      </c>
      <c r="F88" s="486">
        <f>VLOOKUP(C88,'Full Trial Balance'!$A$4:$G$2306,4,FALSE)</f>
        <v>907.76</v>
      </c>
      <c r="G88" s="486">
        <f>VLOOKUP(C88,'Full Trial Balance'!$A$4:$G$2306,5,FALSE)</f>
        <v>0</v>
      </c>
      <c r="H88" s="486">
        <f>VLOOKUP(C88,'Full Trial Balance'!$A$4:$G$2306,6,FALSE)</f>
        <v>0</v>
      </c>
      <c r="I88" s="486">
        <f>VLOOKUP(C88,'Full Trial Balance'!$A$4:$G$2306,7,FALSE)</f>
        <v>907.76</v>
      </c>
      <c r="K88" s="265">
        <f t="shared" si="5"/>
        <v>0</v>
      </c>
    </row>
    <row r="89" spans="1:11" x14ac:dyDescent="0.25">
      <c r="A89" s="430" t="str">
        <f t="shared" si="3"/>
        <v>02</v>
      </c>
      <c r="B89" s="430" t="str">
        <f t="shared" si="4"/>
        <v>196-000</v>
      </c>
      <c r="C89" s="429" t="s">
        <v>1613</v>
      </c>
      <c r="D89" s="429" t="s">
        <v>104</v>
      </c>
      <c r="E89" s="486">
        <f>VLOOKUP(C89,'Full Trial Balance'!$A$4:$G$2306,3,FALSE)</f>
        <v>0</v>
      </c>
      <c r="F89" s="486">
        <f>VLOOKUP(C89,'Full Trial Balance'!$A$4:$G$2306,4,FALSE)</f>
        <v>0</v>
      </c>
      <c r="G89" s="486">
        <f>VLOOKUP(C89,'Full Trial Balance'!$A$4:$G$2306,5,FALSE)</f>
        <v>0</v>
      </c>
      <c r="H89" s="486">
        <f>VLOOKUP(C89,'Full Trial Balance'!$A$4:$G$2306,6,FALSE)</f>
        <v>0</v>
      </c>
      <c r="I89" s="486">
        <f>VLOOKUP(C89,'Full Trial Balance'!$A$4:$G$2306,7,FALSE)</f>
        <v>0</v>
      </c>
      <c r="K89" s="265">
        <f t="shared" si="5"/>
        <v>0</v>
      </c>
    </row>
    <row r="90" spans="1:11" x14ac:dyDescent="0.25">
      <c r="A90" s="430" t="str">
        <f t="shared" si="3"/>
        <v>03</v>
      </c>
      <c r="B90" s="430" t="str">
        <f t="shared" si="4"/>
        <v>140-000</v>
      </c>
      <c r="C90" s="429" t="s">
        <v>1614</v>
      </c>
      <c r="D90" s="429" t="s">
        <v>1468</v>
      </c>
      <c r="E90" s="486">
        <f>VLOOKUP(C90,'Full Trial Balance'!$A$4:$G$2306,3,FALSE)</f>
        <v>0</v>
      </c>
      <c r="F90" s="486">
        <f>VLOOKUP(C90,'Full Trial Balance'!$A$4:$G$2306,4,FALSE)</f>
        <v>0</v>
      </c>
      <c r="G90" s="486">
        <f>VLOOKUP(C90,'Full Trial Balance'!$A$4:$G$2306,5,FALSE)</f>
        <v>0</v>
      </c>
      <c r="H90" s="486">
        <f>VLOOKUP(C90,'Full Trial Balance'!$A$4:$G$2306,6,FALSE)</f>
        <v>0</v>
      </c>
      <c r="I90" s="486">
        <f>VLOOKUP(C90,'Full Trial Balance'!$A$4:$G$2306,7,FALSE)</f>
        <v>0</v>
      </c>
      <c r="K90" s="265">
        <f t="shared" si="5"/>
        <v>0</v>
      </c>
    </row>
    <row r="91" spans="1:11" x14ac:dyDescent="0.25">
      <c r="A91" s="430" t="str">
        <f t="shared" si="3"/>
        <v>03</v>
      </c>
      <c r="B91" s="430" t="str">
        <f t="shared" si="4"/>
        <v>140-005</v>
      </c>
      <c r="C91" s="429" t="s">
        <v>1615</v>
      </c>
      <c r="D91" s="429" t="s">
        <v>1470</v>
      </c>
      <c r="E91" s="486">
        <f>VLOOKUP(C91,'Full Trial Balance'!$A$4:$G$2306,3,FALSE)</f>
        <v>0</v>
      </c>
      <c r="F91" s="486">
        <f>VLOOKUP(C91,'Full Trial Balance'!$A$4:$G$2306,4,FALSE)</f>
        <v>561541.1</v>
      </c>
      <c r="G91" s="486">
        <f>VLOOKUP(C91,'Full Trial Balance'!$A$4:$G$2306,5,FALSE)</f>
        <v>0</v>
      </c>
      <c r="H91" s="486">
        <f>VLOOKUP(C91,'Full Trial Balance'!$A$4:$G$2306,6,FALSE)</f>
        <v>0</v>
      </c>
      <c r="I91" s="486">
        <f>VLOOKUP(C91,'Full Trial Balance'!$A$4:$G$2306,7,FALSE)</f>
        <v>561541.1</v>
      </c>
      <c r="K91" s="265">
        <f t="shared" si="5"/>
        <v>0</v>
      </c>
    </row>
    <row r="92" spans="1:11" x14ac:dyDescent="0.25">
      <c r="A92" s="430" t="str">
        <f t="shared" si="3"/>
        <v>03</v>
      </c>
      <c r="B92" s="430" t="str">
        <f t="shared" si="4"/>
        <v>140-010</v>
      </c>
      <c r="C92" s="429" t="s">
        <v>1616</v>
      </c>
      <c r="D92" s="429" t="s">
        <v>1472</v>
      </c>
      <c r="E92" s="486">
        <f>VLOOKUP(C92,'Full Trial Balance'!$A$4:$G$2306,3,FALSE)</f>
        <v>0</v>
      </c>
      <c r="F92" s="486">
        <f>VLOOKUP(C92,'Full Trial Balance'!$A$4:$G$2306,4,FALSE)</f>
        <v>107383.8</v>
      </c>
      <c r="G92" s="486">
        <f>VLOOKUP(C92,'Full Trial Balance'!$A$4:$G$2306,5,FALSE)</f>
        <v>0</v>
      </c>
      <c r="H92" s="486">
        <f>VLOOKUP(C92,'Full Trial Balance'!$A$4:$G$2306,6,FALSE)</f>
        <v>0</v>
      </c>
      <c r="I92" s="486">
        <f>VLOOKUP(C92,'Full Trial Balance'!$A$4:$G$2306,7,FALSE)</f>
        <v>107383.8</v>
      </c>
      <c r="K92" s="265">
        <f t="shared" si="5"/>
        <v>0</v>
      </c>
    </row>
    <row r="93" spans="1:11" x14ac:dyDescent="0.25">
      <c r="A93" s="430" t="str">
        <f t="shared" si="3"/>
        <v>03</v>
      </c>
      <c r="B93" s="430" t="str">
        <f t="shared" si="4"/>
        <v>142-000</v>
      </c>
      <c r="C93" s="429" t="s">
        <v>1617</v>
      </c>
      <c r="D93" s="429" t="s">
        <v>1474</v>
      </c>
      <c r="E93" s="486">
        <f>VLOOKUP(C93,'Full Trial Balance'!$A$4:$G$2306,3,FALSE)</f>
        <v>0</v>
      </c>
      <c r="F93" s="486">
        <f>VLOOKUP(C93,'Full Trial Balance'!$A$4:$G$2306,4,FALSE)</f>
        <v>57450000</v>
      </c>
      <c r="G93" s="486">
        <f>VLOOKUP(C93,'Full Trial Balance'!$A$4:$G$2306,5,FALSE)</f>
        <v>0</v>
      </c>
      <c r="H93" s="486">
        <f>VLOOKUP(C93,'Full Trial Balance'!$A$4:$G$2306,6,FALSE)</f>
        <v>0</v>
      </c>
      <c r="I93" s="486">
        <f>VLOOKUP(C93,'Full Trial Balance'!$A$4:$G$2306,7,FALSE)</f>
        <v>57450000</v>
      </c>
      <c r="J93" s="506"/>
      <c r="K93" s="265">
        <f t="shared" si="5"/>
        <v>0</v>
      </c>
    </row>
    <row r="94" spans="1:11" x14ac:dyDescent="0.25">
      <c r="A94" s="430" t="str">
        <f t="shared" si="3"/>
        <v>03</v>
      </c>
      <c r="B94" s="430" t="str">
        <f t="shared" si="4"/>
        <v>143-000</v>
      </c>
      <c r="C94" s="429" t="s">
        <v>1618</v>
      </c>
      <c r="D94" s="429" t="s">
        <v>1476</v>
      </c>
      <c r="E94" s="486">
        <f>VLOOKUP(C94,'Full Trial Balance'!$A$4:$G$2306,3,FALSE)</f>
        <v>0</v>
      </c>
      <c r="F94" s="486">
        <f>VLOOKUP(C94,'Full Trial Balance'!$A$4:$G$2306,4,FALSE)</f>
        <v>14100000</v>
      </c>
      <c r="G94" s="486">
        <f>VLOOKUP(C94,'Full Trial Balance'!$A$4:$G$2306,5,FALSE)</f>
        <v>0</v>
      </c>
      <c r="H94" s="486">
        <f>VLOOKUP(C94,'Full Trial Balance'!$A$4:$G$2306,6,FALSE)</f>
        <v>0</v>
      </c>
      <c r="I94" s="486">
        <f>VLOOKUP(C94,'Full Trial Balance'!$A$4:$G$2306,7,FALSE)</f>
        <v>14100000</v>
      </c>
      <c r="J94" s="506"/>
      <c r="K94" s="265">
        <f t="shared" si="5"/>
        <v>0</v>
      </c>
    </row>
    <row r="95" spans="1:11" x14ac:dyDescent="0.25">
      <c r="A95" s="430" t="str">
        <f t="shared" si="3"/>
        <v>03</v>
      </c>
      <c r="B95" s="430" t="str">
        <f t="shared" si="4"/>
        <v>144-010</v>
      </c>
      <c r="C95" s="429" t="s">
        <v>1619</v>
      </c>
      <c r="D95" s="429" t="s">
        <v>1478</v>
      </c>
      <c r="E95" s="486">
        <f>VLOOKUP(C95,'Full Trial Balance'!$A$4:$G$2306,3,FALSE)</f>
        <v>0</v>
      </c>
      <c r="F95" s="486">
        <f>VLOOKUP(C95,'Full Trial Balance'!$A$4:$G$2306,4,FALSE)</f>
        <v>3675893</v>
      </c>
      <c r="G95" s="486">
        <f>VLOOKUP(C95,'Full Trial Balance'!$A$4:$G$2306,5,FALSE)</f>
        <v>0</v>
      </c>
      <c r="H95" s="486">
        <f>VLOOKUP(C95,'Full Trial Balance'!$A$4:$G$2306,6,FALSE)</f>
        <v>0</v>
      </c>
      <c r="I95" s="486">
        <f>VLOOKUP(C95,'Full Trial Balance'!$A$4:$G$2306,7,FALSE)</f>
        <v>3675893</v>
      </c>
      <c r="J95" s="506"/>
      <c r="K95" s="265">
        <f t="shared" si="5"/>
        <v>0</v>
      </c>
    </row>
    <row r="96" spans="1:11" x14ac:dyDescent="0.25">
      <c r="A96" s="430" t="str">
        <f t="shared" si="3"/>
        <v>03</v>
      </c>
      <c r="B96" s="430" t="str">
        <f t="shared" si="4"/>
        <v>146-000</v>
      </c>
      <c r="C96" s="429" t="s">
        <v>1620</v>
      </c>
      <c r="D96" s="429" t="s">
        <v>1482</v>
      </c>
      <c r="E96" s="486">
        <f>VLOOKUP(C96,'Full Trial Balance'!$A$4:$G$2306,3,FALSE)</f>
        <v>0</v>
      </c>
      <c r="F96" s="486">
        <f>VLOOKUP(C96,'Full Trial Balance'!$A$4:$G$2306,4,FALSE)</f>
        <v>0</v>
      </c>
      <c r="G96" s="486">
        <f>VLOOKUP(C96,'Full Trial Balance'!$A$4:$G$2306,5,FALSE)</f>
        <v>0</v>
      </c>
      <c r="H96" s="486">
        <f>VLOOKUP(C96,'Full Trial Balance'!$A$4:$G$2306,6,FALSE)</f>
        <v>0</v>
      </c>
      <c r="I96" s="486">
        <f>VLOOKUP(C96,'Full Trial Balance'!$A$4:$G$2306,7,FALSE)</f>
        <v>0</v>
      </c>
      <c r="K96" s="265">
        <f t="shared" si="5"/>
        <v>0</v>
      </c>
    </row>
    <row r="97" spans="1:11" x14ac:dyDescent="0.25">
      <c r="A97" s="430" t="str">
        <f t="shared" si="3"/>
        <v>03</v>
      </c>
      <c r="B97" s="430" t="str">
        <f t="shared" si="4"/>
        <v>148-001</v>
      </c>
      <c r="C97" s="429" t="s">
        <v>1621</v>
      </c>
      <c r="D97" s="429" t="s">
        <v>1484</v>
      </c>
      <c r="E97" s="486">
        <v>4608</v>
      </c>
      <c r="F97" s="486">
        <f>VLOOKUP(C97,'Full Trial Balance'!$A$4:$G$2306,4,FALSE)</f>
        <v>28155.51</v>
      </c>
      <c r="G97" s="486">
        <f>VLOOKUP(C97,'Full Trial Balance'!$A$4:$G$2306,5,FALSE)</f>
        <v>0</v>
      </c>
      <c r="H97" s="486">
        <f>VLOOKUP(C97,'Full Trial Balance'!$A$4:$G$2306,6,FALSE)</f>
        <v>0</v>
      </c>
      <c r="I97" s="486">
        <f>VLOOKUP(C97,'Full Trial Balance'!$A$4:$G$2306,7,FALSE)</f>
        <v>28155.51</v>
      </c>
      <c r="K97" s="265">
        <f t="shared" si="5"/>
        <v>0</v>
      </c>
    </row>
    <row r="98" spans="1:11" x14ac:dyDescent="0.25">
      <c r="A98" s="430" t="str">
        <f t="shared" si="3"/>
        <v>03</v>
      </c>
      <c r="B98" s="430" t="str">
        <f t="shared" si="4"/>
        <v>150-001</v>
      </c>
      <c r="C98" s="429" t="s">
        <v>1622</v>
      </c>
      <c r="D98" s="429" t="s">
        <v>1486</v>
      </c>
      <c r="E98" s="486">
        <v>36699</v>
      </c>
      <c r="F98" s="486">
        <f>VLOOKUP(C98,'Full Trial Balance'!$A$4:$G$2306,4,FALSE)</f>
        <v>101865.04</v>
      </c>
      <c r="G98" s="486">
        <f>VLOOKUP(C98,'Full Trial Balance'!$A$4:$G$2306,5,FALSE)</f>
        <v>5372.31</v>
      </c>
      <c r="H98" s="486">
        <f>VLOOKUP(C98,'Full Trial Balance'!$A$4:$G$2306,6,FALSE)</f>
        <v>0</v>
      </c>
      <c r="I98" s="486">
        <f>VLOOKUP(C98,'Full Trial Balance'!$A$4:$G$2306,7,FALSE)</f>
        <v>107237.35</v>
      </c>
      <c r="K98" s="265">
        <f t="shared" si="5"/>
        <v>5372.31</v>
      </c>
    </row>
    <row r="99" spans="1:11" x14ac:dyDescent="0.25">
      <c r="A99" s="430" t="str">
        <f t="shared" si="3"/>
        <v>03</v>
      </c>
      <c r="B99" s="430" t="str">
        <f t="shared" si="4"/>
        <v>150-003</v>
      </c>
      <c r="C99" s="429" t="s">
        <v>1623</v>
      </c>
      <c r="D99" s="429" t="s">
        <v>1488</v>
      </c>
      <c r="E99" s="486">
        <f>VLOOKUP(C99,'Full Trial Balance'!$A$4:$G$2306,3,FALSE)</f>
        <v>0</v>
      </c>
      <c r="F99" s="486">
        <f>VLOOKUP(C99,'Full Trial Balance'!$A$4:$G$2306,4,FALSE)</f>
        <v>7974.62</v>
      </c>
      <c r="G99" s="486">
        <f>VLOOKUP(C99,'Full Trial Balance'!$A$4:$G$2306,5,FALSE)</f>
        <v>0</v>
      </c>
      <c r="H99" s="486">
        <f>VLOOKUP(C99,'Full Trial Balance'!$A$4:$G$2306,6,FALSE)</f>
        <v>0</v>
      </c>
      <c r="I99" s="486">
        <f>VLOOKUP(C99,'Full Trial Balance'!$A$4:$G$2306,7,FALSE)</f>
        <v>7974.62</v>
      </c>
      <c r="K99" s="265">
        <f t="shared" si="5"/>
        <v>0</v>
      </c>
    </row>
    <row r="100" spans="1:11" x14ac:dyDescent="0.25">
      <c r="A100" s="430" t="str">
        <f t="shared" si="3"/>
        <v>03</v>
      </c>
      <c r="B100" s="430" t="str">
        <f t="shared" si="4"/>
        <v>151-000</v>
      </c>
      <c r="C100" s="429" t="s">
        <v>1624</v>
      </c>
      <c r="D100" s="429" t="s">
        <v>1625</v>
      </c>
      <c r="E100" s="486">
        <f>VLOOKUP(C100,'Full Trial Balance'!$A$4:$G$2306,3,FALSE)</f>
        <v>0</v>
      </c>
      <c r="F100" s="486">
        <f>VLOOKUP(C100,'Full Trial Balance'!$A$4:$G$2306,4,FALSE)</f>
        <v>13599.52</v>
      </c>
      <c r="G100" s="486">
        <f>VLOOKUP(C100,'Full Trial Balance'!$A$4:$G$2306,5,FALSE)</f>
        <v>0</v>
      </c>
      <c r="H100" s="486">
        <f>VLOOKUP(C100,'Full Trial Balance'!$A$4:$G$2306,6,FALSE)</f>
        <v>0</v>
      </c>
      <c r="I100" s="486">
        <f>VLOOKUP(C100,'Full Trial Balance'!$A$4:$G$2306,7,FALSE)</f>
        <v>13599.52</v>
      </c>
      <c r="K100" s="265">
        <f t="shared" si="5"/>
        <v>0</v>
      </c>
    </row>
    <row r="101" spans="1:11" x14ac:dyDescent="0.25">
      <c r="A101" s="430" t="str">
        <f t="shared" si="3"/>
        <v>03</v>
      </c>
      <c r="B101" s="430" t="str">
        <f t="shared" si="4"/>
        <v>152-000</v>
      </c>
      <c r="C101" s="429" t="s">
        <v>1626</v>
      </c>
      <c r="D101" s="429" t="s">
        <v>84</v>
      </c>
      <c r="E101" s="486">
        <f>VLOOKUP(C101,'Full Trial Balance'!$A$4:$G$2306,3,FALSE)</f>
        <v>0</v>
      </c>
      <c r="F101" s="486">
        <f>VLOOKUP(C101,'Full Trial Balance'!$A$4:$G$2306,4,FALSE)</f>
        <v>253761.74</v>
      </c>
      <c r="G101" s="486">
        <f>VLOOKUP(C101,'Full Trial Balance'!$A$4:$G$2306,5,FALSE)</f>
        <v>0</v>
      </c>
      <c r="H101" s="486">
        <f>VLOOKUP(C101,'Full Trial Balance'!$A$4:$G$2306,6,FALSE)</f>
        <v>0</v>
      </c>
      <c r="I101" s="486">
        <f>VLOOKUP(C101,'Full Trial Balance'!$A$4:$G$2306,7,FALSE)</f>
        <v>253761.74</v>
      </c>
      <c r="K101" s="265">
        <f t="shared" si="5"/>
        <v>0</v>
      </c>
    </row>
    <row r="102" spans="1:11" x14ac:dyDescent="0.25">
      <c r="A102" s="430" t="str">
        <f t="shared" si="3"/>
        <v>03</v>
      </c>
      <c r="B102" s="430" t="str">
        <f t="shared" si="4"/>
        <v>155-000</v>
      </c>
      <c r="C102" s="429" t="s">
        <v>1627</v>
      </c>
      <c r="D102" s="429" t="s">
        <v>1491</v>
      </c>
      <c r="E102" s="486">
        <f>VLOOKUP(C102,'Full Trial Balance'!$A$4:$G$2306,3,FALSE)</f>
        <v>0</v>
      </c>
      <c r="F102" s="486">
        <f>VLOOKUP(C102,'Full Trial Balance'!$A$4:$G$2306,4,FALSE)</f>
        <v>1669865.01</v>
      </c>
      <c r="G102" s="486">
        <f>VLOOKUP(C102,'Full Trial Balance'!$A$4:$G$2306,5,FALSE)</f>
        <v>0</v>
      </c>
      <c r="H102" s="486">
        <f>VLOOKUP(C102,'Full Trial Balance'!$A$4:$G$2306,6,FALSE)</f>
        <v>0</v>
      </c>
      <c r="I102" s="486">
        <f>VLOOKUP(C102,'Full Trial Balance'!$A$4:$G$2306,7,FALSE)</f>
        <v>1669865.01</v>
      </c>
      <c r="K102" s="265">
        <f t="shared" si="5"/>
        <v>0</v>
      </c>
    </row>
    <row r="103" spans="1:11" x14ac:dyDescent="0.25">
      <c r="A103" s="430" t="str">
        <f t="shared" si="3"/>
        <v>03</v>
      </c>
      <c r="B103" s="430" t="str">
        <f t="shared" si="4"/>
        <v>155-001</v>
      </c>
      <c r="C103" s="429" t="s">
        <v>1628</v>
      </c>
      <c r="D103" s="429" t="s">
        <v>1493</v>
      </c>
      <c r="E103" s="486">
        <v>52000</v>
      </c>
      <c r="F103" s="486">
        <f>VLOOKUP(C103,'Full Trial Balance'!$A$4:$G$2306,4,FALSE)</f>
        <v>232986.95</v>
      </c>
      <c r="G103" s="486">
        <f>VLOOKUP(C103,'Full Trial Balance'!$A$4:$G$2306,5,FALSE)</f>
        <v>10606.91</v>
      </c>
      <c r="H103" s="486">
        <f>VLOOKUP(C103,'Full Trial Balance'!$A$4:$G$2306,6,FALSE)</f>
        <v>0</v>
      </c>
      <c r="I103" s="486">
        <f>VLOOKUP(C103,'Full Trial Balance'!$A$4:$G$2306,7,FALSE)</f>
        <v>243593.86</v>
      </c>
      <c r="K103" s="265">
        <f t="shared" si="5"/>
        <v>10606.91</v>
      </c>
    </row>
    <row r="104" spans="1:11" x14ac:dyDescent="0.25">
      <c r="A104" s="430" t="str">
        <f t="shared" si="3"/>
        <v>03</v>
      </c>
      <c r="B104" s="430" t="str">
        <f t="shared" si="4"/>
        <v>156-000</v>
      </c>
      <c r="C104" s="429" t="s">
        <v>1629</v>
      </c>
      <c r="D104" s="429" t="s">
        <v>1495</v>
      </c>
      <c r="E104" s="486">
        <f>VLOOKUP(C104,'Full Trial Balance'!$A$4:$G$2306,3,FALSE)</f>
        <v>0</v>
      </c>
      <c r="F104" s="486">
        <f>VLOOKUP(C104,'Full Trial Balance'!$A$4:$G$2306,4,FALSE)</f>
        <v>0</v>
      </c>
      <c r="G104" s="486">
        <f>VLOOKUP(C104,'Full Trial Balance'!$A$4:$G$2306,5,FALSE)</f>
        <v>0</v>
      </c>
      <c r="H104" s="486">
        <f>VLOOKUP(C104,'Full Trial Balance'!$A$4:$G$2306,6,FALSE)</f>
        <v>0</v>
      </c>
      <c r="I104" s="486">
        <f>VLOOKUP(C104,'Full Trial Balance'!$A$4:$G$2306,7,FALSE)</f>
        <v>0</v>
      </c>
      <c r="K104" s="265">
        <f t="shared" si="5"/>
        <v>0</v>
      </c>
    </row>
    <row r="105" spans="1:11" x14ac:dyDescent="0.25">
      <c r="A105" s="430" t="str">
        <f t="shared" si="3"/>
        <v>03</v>
      </c>
      <c r="B105" s="430" t="str">
        <f t="shared" si="4"/>
        <v>157-000</v>
      </c>
      <c r="C105" s="429" t="s">
        <v>1630</v>
      </c>
      <c r="D105" s="429" t="s">
        <v>1497</v>
      </c>
      <c r="E105" s="486">
        <v>101400</v>
      </c>
      <c r="F105" s="486">
        <f>VLOOKUP(C105,'Full Trial Balance'!$A$4:$G$2306,4,FALSE)</f>
        <v>135321.18</v>
      </c>
      <c r="G105" s="486">
        <f>VLOOKUP(C105,'Full Trial Balance'!$A$4:$G$2306,5,FALSE)</f>
        <v>0</v>
      </c>
      <c r="H105" s="486">
        <f>VLOOKUP(C105,'Full Trial Balance'!$A$4:$G$2306,6,FALSE)</f>
        <v>0</v>
      </c>
      <c r="I105" s="486">
        <f>VLOOKUP(C105,'Full Trial Balance'!$A$4:$G$2306,7,FALSE)</f>
        <v>135321.18</v>
      </c>
      <c r="K105" s="265">
        <f t="shared" si="5"/>
        <v>0</v>
      </c>
    </row>
    <row r="106" spans="1:11" x14ac:dyDescent="0.25">
      <c r="A106" s="430" t="str">
        <f t="shared" si="3"/>
        <v>03</v>
      </c>
      <c r="B106" s="430" t="str">
        <f t="shared" si="4"/>
        <v>159-000</v>
      </c>
      <c r="C106" s="429" t="s">
        <v>1631</v>
      </c>
      <c r="D106" s="429" t="s">
        <v>1499</v>
      </c>
      <c r="E106" s="486">
        <f>VLOOKUP(C106,'Full Trial Balance'!$A$4:$G$2306,3,FALSE)</f>
        <v>0</v>
      </c>
      <c r="F106" s="486">
        <f>VLOOKUP(C106,'Full Trial Balance'!$A$4:$G$2306,4,FALSE)</f>
        <v>8798157.1699999999</v>
      </c>
      <c r="G106" s="486">
        <f>VLOOKUP(C106,'Full Trial Balance'!$A$4:$G$2306,5,FALSE)</f>
        <v>0</v>
      </c>
      <c r="H106" s="486">
        <f>VLOOKUP(C106,'Full Trial Balance'!$A$4:$G$2306,6,FALSE)</f>
        <v>0</v>
      </c>
      <c r="I106" s="486">
        <f>VLOOKUP(C106,'Full Trial Balance'!$A$4:$G$2306,7,FALSE)</f>
        <v>8798157.1699999999</v>
      </c>
      <c r="J106" s="260"/>
      <c r="K106" s="265">
        <f t="shared" si="5"/>
        <v>0</v>
      </c>
    </row>
    <row r="107" spans="1:11" x14ac:dyDescent="0.25">
      <c r="A107" s="430" t="str">
        <f t="shared" si="3"/>
        <v>03</v>
      </c>
      <c r="B107" s="430" t="str">
        <f t="shared" si="4"/>
        <v>160-105</v>
      </c>
      <c r="C107" s="429" t="s">
        <v>1632</v>
      </c>
      <c r="D107" s="429" t="s">
        <v>1521</v>
      </c>
      <c r="E107" s="486">
        <f>VLOOKUP(C107,'Full Trial Balance'!$A$4:$G$2306,3,FALSE)</f>
        <v>0</v>
      </c>
      <c r="F107" s="486">
        <f>VLOOKUP(C107,'Full Trial Balance'!$A$4:$G$2306,4,FALSE)</f>
        <v>0</v>
      </c>
      <c r="G107" s="486">
        <f>VLOOKUP(C107,'Full Trial Balance'!$A$4:$G$2306,5,FALSE)</f>
        <v>0</v>
      </c>
      <c r="H107" s="486">
        <f>VLOOKUP(C107,'Full Trial Balance'!$A$4:$G$2306,6,FALSE)</f>
        <v>0</v>
      </c>
      <c r="I107" s="486">
        <f>VLOOKUP(C107,'Full Trial Balance'!$A$4:$G$2306,7,FALSE)</f>
        <v>0</v>
      </c>
      <c r="K107" s="265">
        <f t="shared" si="5"/>
        <v>0</v>
      </c>
    </row>
    <row r="108" spans="1:11" x14ac:dyDescent="0.25">
      <c r="A108" s="430" t="str">
        <f t="shared" si="3"/>
        <v>03</v>
      </c>
      <c r="B108" s="430" t="str">
        <f t="shared" si="4"/>
        <v>160-301</v>
      </c>
      <c r="C108" s="429" t="s">
        <v>1633</v>
      </c>
      <c r="D108" s="429" t="s">
        <v>1634</v>
      </c>
      <c r="E108" s="486">
        <f>VLOOKUP(C108,'Full Trial Balance'!$A$4:$G$2306,3,FALSE)</f>
        <v>0</v>
      </c>
      <c r="F108" s="486">
        <f>VLOOKUP(C108,'Full Trial Balance'!$A$4:$G$2306,4,FALSE)</f>
        <v>551703.42000000004</v>
      </c>
      <c r="G108" s="486">
        <f>VLOOKUP(C108,'Full Trial Balance'!$A$4:$G$2306,5,FALSE)</f>
        <v>0</v>
      </c>
      <c r="H108" s="486">
        <f>VLOOKUP(C108,'Full Trial Balance'!$A$4:$G$2306,6,FALSE)</f>
        <v>0</v>
      </c>
      <c r="I108" s="486">
        <f>VLOOKUP(C108,'Full Trial Balance'!$A$4:$G$2306,7,FALSE)</f>
        <v>551703.42000000004</v>
      </c>
      <c r="J108" s="260"/>
      <c r="K108" s="265">
        <f t="shared" si="5"/>
        <v>0</v>
      </c>
    </row>
    <row r="109" spans="1:11" x14ac:dyDescent="0.25">
      <c r="A109" s="430" t="str">
        <f t="shared" si="3"/>
        <v>03</v>
      </c>
      <c r="B109" s="430" t="str">
        <f t="shared" si="4"/>
        <v>160-302</v>
      </c>
      <c r="C109" s="429" t="s">
        <v>1635</v>
      </c>
      <c r="D109" s="429" t="s">
        <v>1523</v>
      </c>
      <c r="E109" s="486">
        <f>VLOOKUP(C109,'Full Trial Balance'!$A$4:$G$2306,3,FALSE)</f>
        <v>0</v>
      </c>
      <c r="F109" s="486">
        <f>VLOOKUP(C109,'Full Trial Balance'!$A$4:$G$2306,4,FALSE)</f>
        <v>37542.269999999997</v>
      </c>
      <c r="G109" s="486">
        <f>VLOOKUP(C109,'Full Trial Balance'!$A$4:$G$2306,5,FALSE)</f>
        <v>0</v>
      </c>
      <c r="H109" s="486">
        <f>VLOOKUP(C109,'Full Trial Balance'!$A$4:$G$2306,6,FALSE)</f>
        <v>0</v>
      </c>
      <c r="I109" s="486">
        <f>VLOOKUP(C109,'Full Trial Balance'!$A$4:$G$2306,7,FALSE)</f>
        <v>37542.269999999997</v>
      </c>
      <c r="J109" s="506"/>
      <c r="K109" s="265">
        <f t="shared" si="5"/>
        <v>0</v>
      </c>
    </row>
    <row r="110" spans="1:11" x14ac:dyDescent="0.25">
      <c r="A110" s="430" t="str">
        <f t="shared" si="3"/>
        <v>03</v>
      </c>
      <c r="B110" s="430" t="str">
        <f t="shared" si="4"/>
        <v>160-303</v>
      </c>
      <c r="C110" s="429" t="s">
        <v>1636</v>
      </c>
      <c r="D110" s="429" t="s">
        <v>1637</v>
      </c>
      <c r="E110" s="486">
        <f>VLOOKUP(C110,'Full Trial Balance'!$A$4:$G$2306,3,FALSE)</f>
        <v>0</v>
      </c>
      <c r="F110" s="486">
        <f>VLOOKUP(C110,'Full Trial Balance'!$A$4:$G$2306,4,FALSE)</f>
        <v>0</v>
      </c>
      <c r="G110" s="486">
        <f>VLOOKUP(C110,'Full Trial Balance'!$A$4:$G$2306,5,FALSE)</f>
        <v>0</v>
      </c>
      <c r="H110" s="486">
        <f>VLOOKUP(C110,'Full Trial Balance'!$A$4:$G$2306,6,FALSE)</f>
        <v>0</v>
      </c>
      <c r="I110" s="486">
        <f>VLOOKUP(C110,'Full Trial Balance'!$A$4:$G$2306,7,FALSE)</f>
        <v>0</v>
      </c>
      <c r="K110" s="265">
        <f t="shared" si="5"/>
        <v>0</v>
      </c>
    </row>
    <row r="111" spans="1:11" x14ac:dyDescent="0.25">
      <c r="A111" s="430" t="str">
        <f t="shared" si="3"/>
        <v>03</v>
      </c>
      <c r="B111" s="430" t="str">
        <f t="shared" si="4"/>
        <v>160-305</v>
      </c>
      <c r="C111" s="429" t="s">
        <v>1638</v>
      </c>
      <c r="D111" s="429" t="s">
        <v>1639</v>
      </c>
      <c r="E111" s="486">
        <f>VLOOKUP(C111,'Full Trial Balance'!$A$4:$G$2306,3,FALSE)</f>
        <v>0</v>
      </c>
      <c r="F111" s="486">
        <f>VLOOKUP(C111,'Full Trial Balance'!$A$4:$G$2306,4,FALSE)</f>
        <v>216830.94</v>
      </c>
      <c r="G111" s="486">
        <f>VLOOKUP(C111,'Full Trial Balance'!$A$4:$G$2306,5,FALSE)</f>
        <v>0</v>
      </c>
      <c r="H111" s="486">
        <f>VLOOKUP(C111,'Full Trial Balance'!$A$4:$G$2306,6,FALSE)</f>
        <v>0</v>
      </c>
      <c r="I111" s="486">
        <f>VLOOKUP(C111,'Full Trial Balance'!$A$4:$G$2306,7,FALSE)</f>
        <v>216830.94</v>
      </c>
      <c r="J111" s="506"/>
      <c r="K111" s="265">
        <f t="shared" si="5"/>
        <v>0</v>
      </c>
    </row>
    <row r="112" spans="1:11" x14ac:dyDescent="0.25">
      <c r="A112" s="430" t="str">
        <f t="shared" si="3"/>
        <v>03</v>
      </c>
      <c r="B112" s="430" t="str">
        <f t="shared" si="4"/>
        <v>160-307</v>
      </c>
      <c r="C112" s="429" t="s">
        <v>1640</v>
      </c>
      <c r="D112" s="429" t="s">
        <v>1641</v>
      </c>
      <c r="E112" s="486">
        <f>VLOOKUP(C112,'Full Trial Balance'!$A$4:$G$2306,3,FALSE)</f>
        <v>0</v>
      </c>
      <c r="F112" s="486">
        <f>VLOOKUP(C112,'Full Trial Balance'!$A$4:$G$2306,4,FALSE)</f>
        <v>713498.5</v>
      </c>
      <c r="G112" s="486">
        <f>VLOOKUP(C112,'Full Trial Balance'!$A$4:$G$2306,5,FALSE)</f>
        <v>0</v>
      </c>
      <c r="H112" s="486">
        <f>VLOOKUP(C112,'Full Trial Balance'!$A$4:$G$2306,6,FALSE)</f>
        <v>0</v>
      </c>
      <c r="I112" s="486">
        <f>VLOOKUP(C112,'Full Trial Balance'!$A$4:$G$2306,7,FALSE)</f>
        <v>713498.5</v>
      </c>
      <c r="K112" s="265">
        <f t="shared" si="5"/>
        <v>0</v>
      </c>
    </row>
    <row r="113" spans="1:11" x14ac:dyDescent="0.25">
      <c r="A113" s="430" t="str">
        <f t="shared" si="3"/>
        <v>03</v>
      </c>
      <c r="B113" s="430" t="str">
        <f t="shared" si="4"/>
        <v>160-309</v>
      </c>
      <c r="C113" s="429" t="s">
        <v>1642</v>
      </c>
      <c r="D113" s="429" t="s">
        <v>1643</v>
      </c>
      <c r="E113" s="486">
        <f>VLOOKUP(C113,'Full Trial Balance'!$A$4:$G$2306,3,FALSE)</f>
        <v>0</v>
      </c>
      <c r="F113" s="486">
        <f>VLOOKUP(C113,'Full Trial Balance'!$A$4:$G$2306,4,FALSE)</f>
        <v>574119</v>
      </c>
      <c r="G113" s="486">
        <f>VLOOKUP(C113,'Full Trial Balance'!$A$4:$G$2306,5,FALSE)</f>
        <v>0</v>
      </c>
      <c r="H113" s="486">
        <f>VLOOKUP(C113,'Full Trial Balance'!$A$4:$G$2306,6,FALSE)</f>
        <v>0</v>
      </c>
      <c r="I113" s="486">
        <f>VLOOKUP(C113,'Full Trial Balance'!$A$4:$G$2306,7,FALSE)</f>
        <v>574119</v>
      </c>
      <c r="K113" s="265">
        <f t="shared" si="5"/>
        <v>0</v>
      </c>
    </row>
    <row r="114" spans="1:11" x14ac:dyDescent="0.25">
      <c r="A114" s="430" t="str">
        <f t="shared" si="3"/>
        <v>03</v>
      </c>
      <c r="B114" s="430" t="str">
        <f t="shared" si="4"/>
        <v>160-310</v>
      </c>
      <c r="C114" s="429" t="s">
        <v>1644</v>
      </c>
      <c r="D114" s="429" t="s">
        <v>1645</v>
      </c>
      <c r="E114" s="486">
        <f>VLOOKUP(C114,'Full Trial Balance'!$A$4:$G$2306,3,FALSE)</f>
        <v>0</v>
      </c>
      <c r="F114" s="486">
        <f>VLOOKUP(C114,'Full Trial Balance'!$A$4:$G$2306,4,FALSE)</f>
        <v>0</v>
      </c>
      <c r="G114" s="486">
        <f>VLOOKUP(C114,'Full Trial Balance'!$A$4:$G$2306,5,FALSE)</f>
        <v>959975.36</v>
      </c>
      <c r="H114" s="486">
        <f>VLOOKUP(C114,'Full Trial Balance'!$A$4:$G$2306,6,FALSE)</f>
        <v>0</v>
      </c>
      <c r="I114" s="486">
        <f>VLOOKUP(C114,'Full Trial Balance'!$A$4:$G$2306,7,FALSE)</f>
        <v>959975.36</v>
      </c>
      <c r="J114" s="260"/>
      <c r="K114" s="265">
        <f t="shared" si="5"/>
        <v>959975.36</v>
      </c>
    </row>
    <row r="115" spans="1:11" x14ac:dyDescent="0.25">
      <c r="A115" s="430" t="str">
        <f t="shared" si="3"/>
        <v>03</v>
      </c>
      <c r="B115" s="430" t="str">
        <f t="shared" si="4"/>
        <v>160-312</v>
      </c>
      <c r="C115" s="429" t="s">
        <v>1646</v>
      </c>
      <c r="D115" s="429" t="s">
        <v>1647</v>
      </c>
      <c r="E115" s="486">
        <f>VLOOKUP(C115,'Full Trial Balance'!$A$4:$G$2306,3,FALSE)</f>
        <v>0</v>
      </c>
      <c r="F115" s="486">
        <f>VLOOKUP(C115,'Full Trial Balance'!$A$4:$G$2306,4,FALSE)</f>
        <v>8010</v>
      </c>
      <c r="G115" s="486">
        <f>VLOOKUP(C115,'Full Trial Balance'!$A$4:$G$2306,5,FALSE)</f>
        <v>0</v>
      </c>
      <c r="H115" s="486">
        <f>VLOOKUP(C115,'Full Trial Balance'!$A$4:$G$2306,6,FALSE)</f>
        <v>0</v>
      </c>
      <c r="I115" s="486">
        <f>VLOOKUP(C115,'Full Trial Balance'!$A$4:$G$2306,7,FALSE)</f>
        <v>8010</v>
      </c>
      <c r="J115" s="260"/>
      <c r="K115" s="265">
        <f t="shared" si="5"/>
        <v>0</v>
      </c>
    </row>
    <row r="116" spans="1:11" x14ac:dyDescent="0.25">
      <c r="A116" s="430" t="str">
        <f t="shared" si="3"/>
        <v>03</v>
      </c>
      <c r="B116" s="430" t="str">
        <f t="shared" si="4"/>
        <v>160-315</v>
      </c>
      <c r="C116" s="429" t="s">
        <v>1648</v>
      </c>
      <c r="D116" s="429" t="s">
        <v>1649</v>
      </c>
      <c r="E116" s="486">
        <f>VLOOKUP(C116,'Full Trial Balance'!$A$4:$G$2306,3,FALSE)</f>
        <v>0</v>
      </c>
      <c r="F116" s="486">
        <f>VLOOKUP(C116,'Full Trial Balance'!$A$4:$G$2306,4,FALSE)</f>
        <v>959294.61</v>
      </c>
      <c r="G116" s="486">
        <f>VLOOKUP(C116,'Full Trial Balance'!$A$4:$G$2306,5,FALSE)</f>
        <v>0</v>
      </c>
      <c r="H116" s="486">
        <f>VLOOKUP(C116,'Full Trial Balance'!$A$4:$G$2306,6,FALSE)</f>
        <v>0</v>
      </c>
      <c r="I116" s="486">
        <f>VLOOKUP(C116,'Full Trial Balance'!$A$4:$G$2306,7,FALSE)</f>
        <v>959294.61</v>
      </c>
      <c r="J116" s="506"/>
      <c r="K116" s="265">
        <f t="shared" si="5"/>
        <v>0</v>
      </c>
    </row>
    <row r="117" spans="1:11" x14ac:dyDescent="0.25">
      <c r="A117" s="430" t="str">
        <f t="shared" si="3"/>
        <v>03</v>
      </c>
      <c r="B117" s="430" t="str">
        <f t="shared" si="4"/>
        <v>160-320</v>
      </c>
      <c r="C117" s="429" t="s">
        <v>1650</v>
      </c>
      <c r="D117" s="429" t="s">
        <v>1651</v>
      </c>
      <c r="E117" s="486">
        <f>VLOOKUP(C117,'Full Trial Balance'!$A$4:$G$2306,3,FALSE)</f>
        <v>0</v>
      </c>
      <c r="F117" s="486">
        <f>VLOOKUP(C117,'Full Trial Balance'!$A$4:$G$2306,4,FALSE)</f>
        <v>2017087.27</v>
      </c>
      <c r="G117" s="486">
        <f>VLOOKUP(C117,'Full Trial Balance'!$A$4:$G$2306,5,FALSE)</f>
        <v>0</v>
      </c>
      <c r="H117" s="486">
        <f>VLOOKUP(C117,'Full Trial Balance'!$A$4:$G$2306,6,FALSE)</f>
        <v>0</v>
      </c>
      <c r="I117" s="486">
        <f>VLOOKUP(C117,'Full Trial Balance'!$A$4:$G$2306,7,FALSE)</f>
        <v>2017087.27</v>
      </c>
      <c r="J117" s="260"/>
      <c r="K117" s="265">
        <f t="shared" si="5"/>
        <v>0</v>
      </c>
    </row>
    <row r="118" spans="1:11" x14ac:dyDescent="0.25">
      <c r="A118" s="430" t="str">
        <f t="shared" si="3"/>
        <v>03</v>
      </c>
      <c r="B118" s="430" t="str">
        <f t="shared" si="4"/>
        <v>160-323</v>
      </c>
      <c r="C118" s="429" t="s">
        <v>1652</v>
      </c>
      <c r="D118" s="429" t="s">
        <v>1525</v>
      </c>
      <c r="E118" s="486">
        <f>VLOOKUP(C118,'Full Trial Balance'!$A$4:$G$2306,3,FALSE)</f>
        <v>0</v>
      </c>
      <c r="F118" s="486">
        <f>VLOOKUP(C118,'Full Trial Balance'!$A$4:$G$2306,4,FALSE)</f>
        <v>0</v>
      </c>
      <c r="G118" s="486">
        <f>VLOOKUP(C118,'Full Trial Balance'!$A$4:$G$2306,5,FALSE)</f>
        <v>0</v>
      </c>
      <c r="H118" s="486">
        <f>VLOOKUP(C118,'Full Trial Balance'!$A$4:$G$2306,6,FALSE)</f>
        <v>0</v>
      </c>
      <c r="I118" s="486">
        <f>VLOOKUP(C118,'Full Trial Balance'!$A$4:$G$2306,7,FALSE)</f>
        <v>0</v>
      </c>
      <c r="J118" s="506"/>
      <c r="K118" s="265">
        <f t="shared" si="5"/>
        <v>0</v>
      </c>
    </row>
    <row r="119" spans="1:11" x14ac:dyDescent="0.25">
      <c r="A119" s="430" t="str">
        <f t="shared" si="3"/>
        <v>03</v>
      </c>
      <c r="B119" s="430" t="str">
        <f t="shared" si="4"/>
        <v>160-325</v>
      </c>
      <c r="C119" s="429" t="s">
        <v>1653</v>
      </c>
      <c r="D119" s="429" t="s">
        <v>1654</v>
      </c>
      <c r="E119" s="486">
        <f>VLOOKUP(C119,'Full Trial Balance'!$A$4:$G$2306,3,FALSE)</f>
        <v>0</v>
      </c>
      <c r="F119" s="486">
        <f>VLOOKUP(C119,'Full Trial Balance'!$A$4:$G$2306,4,FALSE)</f>
        <v>3829220.11</v>
      </c>
      <c r="G119" s="486">
        <f>VLOOKUP(C119,'Full Trial Balance'!$A$4:$G$2306,5,FALSE)</f>
        <v>0</v>
      </c>
      <c r="H119" s="486">
        <f>VLOOKUP(C119,'Full Trial Balance'!$A$4:$G$2306,6,FALSE)</f>
        <v>0</v>
      </c>
      <c r="I119" s="486">
        <f>VLOOKUP(C119,'Full Trial Balance'!$A$4:$G$2306,7,FALSE)</f>
        <v>3829220.11</v>
      </c>
      <c r="J119" s="260"/>
      <c r="K119" s="265">
        <f t="shared" si="5"/>
        <v>0</v>
      </c>
    </row>
    <row r="120" spans="1:11" x14ac:dyDescent="0.25">
      <c r="A120" s="430" t="str">
        <f t="shared" si="3"/>
        <v>03</v>
      </c>
      <c r="B120" s="430" t="str">
        <f t="shared" si="4"/>
        <v>160-327</v>
      </c>
      <c r="C120" s="429" t="s">
        <v>1655</v>
      </c>
      <c r="D120" s="429" t="s">
        <v>1527</v>
      </c>
      <c r="E120" s="486">
        <v>175464</v>
      </c>
      <c r="F120" s="486">
        <f>VLOOKUP(C120,'Full Trial Balance'!$A$4:$G$2306,4,FALSE)</f>
        <v>0</v>
      </c>
      <c r="G120" s="486">
        <f>VLOOKUP(C120,'Full Trial Balance'!$A$4:$G$2306,5,FALSE)</f>
        <v>9264.02</v>
      </c>
      <c r="H120" s="486">
        <f>VLOOKUP(C120,'Full Trial Balance'!$A$4:$G$2306,6,FALSE)</f>
        <v>0</v>
      </c>
      <c r="I120" s="486">
        <f>VLOOKUP(C120,'Full Trial Balance'!$A$4:$G$2306,7,FALSE)</f>
        <v>9264.02</v>
      </c>
      <c r="J120" s="260"/>
      <c r="K120" s="265">
        <f t="shared" si="5"/>
        <v>9264.02</v>
      </c>
    </row>
    <row r="121" spans="1:11" x14ac:dyDescent="0.25">
      <c r="A121" s="430" t="str">
        <f t="shared" si="3"/>
        <v>03</v>
      </c>
      <c r="B121" s="430" t="str">
        <f t="shared" si="4"/>
        <v>160-330</v>
      </c>
      <c r="C121" s="429" t="s">
        <v>1656</v>
      </c>
      <c r="D121" s="429" t="s">
        <v>1657</v>
      </c>
      <c r="E121" s="486">
        <f>VLOOKUP(C121,'Full Trial Balance'!$A$4:$G$2306,3,FALSE)</f>
        <v>0</v>
      </c>
      <c r="F121" s="486">
        <f>VLOOKUP(C121,'Full Trial Balance'!$A$4:$G$2306,4,FALSE)</f>
        <v>8052102.5499999998</v>
      </c>
      <c r="G121" s="486">
        <f>VLOOKUP(C121,'Full Trial Balance'!$A$4:$G$2306,5,FALSE)</f>
        <v>0</v>
      </c>
      <c r="H121" s="486">
        <f>VLOOKUP(C121,'Full Trial Balance'!$A$4:$G$2306,6,FALSE)</f>
        <v>0</v>
      </c>
      <c r="I121" s="486">
        <f>VLOOKUP(C121,'Full Trial Balance'!$A$4:$G$2306,7,FALSE)</f>
        <v>8052102.5499999998</v>
      </c>
      <c r="J121" s="260"/>
      <c r="K121" s="265">
        <f t="shared" si="5"/>
        <v>0</v>
      </c>
    </row>
    <row r="122" spans="1:11" x14ac:dyDescent="0.25">
      <c r="A122" s="430" t="str">
        <f t="shared" si="3"/>
        <v>03</v>
      </c>
      <c r="B122" s="430" t="str">
        <f t="shared" si="4"/>
        <v>160-334</v>
      </c>
      <c r="C122" s="429" t="s">
        <v>1658</v>
      </c>
      <c r="D122" s="429" t="s">
        <v>1659</v>
      </c>
      <c r="E122" s="486">
        <f>VLOOKUP(C122,'Full Trial Balance'!$A$4:$G$2306,3,FALSE)</f>
        <v>0</v>
      </c>
      <c r="F122" s="486">
        <f>VLOOKUP(C122,'Full Trial Balance'!$A$4:$G$2306,4,FALSE)</f>
        <v>0</v>
      </c>
      <c r="G122" s="486">
        <f>VLOOKUP(C122,'Full Trial Balance'!$A$4:$G$2306,5,FALSE)</f>
        <v>0</v>
      </c>
      <c r="H122" s="486">
        <f>VLOOKUP(C122,'Full Trial Balance'!$A$4:$G$2306,6,FALSE)</f>
        <v>0</v>
      </c>
      <c r="I122" s="486">
        <f>VLOOKUP(C122,'Full Trial Balance'!$A$4:$G$2306,7,FALSE)</f>
        <v>0</v>
      </c>
      <c r="J122" s="260"/>
      <c r="K122" s="265">
        <f t="shared" si="5"/>
        <v>0</v>
      </c>
    </row>
    <row r="123" spans="1:11" x14ac:dyDescent="0.25">
      <c r="A123" s="430" t="str">
        <f t="shared" si="3"/>
        <v>03</v>
      </c>
      <c r="B123" s="430" t="str">
        <f t="shared" si="4"/>
        <v>160-338</v>
      </c>
      <c r="C123" s="429" t="s">
        <v>1660</v>
      </c>
      <c r="D123" s="429" t="s">
        <v>1661</v>
      </c>
      <c r="E123" s="486">
        <f>VLOOKUP(C123,'Full Trial Balance'!$A$4:$G$2306,3,FALSE)</f>
        <v>0</v>
      </c>
      <c r="F123" s="486">
        <f>VLOOKUP(C123,'Full Trial Balance'!$A$4:$G$2306,4,FALSE)</f>
        <v>0</v>
      </c>
      <c r="G123" s="486">
        <f>VLOOKUP(C123,'Full Trial Balance'!$A$4:$G$2306,5,FALSE)</f>
        <v>0</v>
      </c>
      <c r="H123" s="486">
        <f>VLOOKUP(C123,'Full Trial Balance'!$A$4:$G$2306,6,FALSE)</f>
        <v>0</v>
      </c>
      <c r="I123" s="486">
        <f>VLOOKUP(C123,'Full Trial Balance'!$A$4:$G$2306,7,FALSE)</f>
        <v>0</v>
      </c>
      <c r="J123" s="506"/>
      <c r="K123" s="265">
        <f t="shared" si="5"/>
        <v>0</v>
      </c>
    </row>
    <row r="124" spans="1:11" x14ac:dyDescent="0.25">
      <c r="A124" s="430" t="str">
        <f t="shared" si="3"/>
        <v>03</v>
      </c>
      <c r="B124" s="430" t="str">
        <f t="shared" si="4"/>
        <v>160-342</v>
      </c>
      <c r="C124" s="429" t="s">
        <v>1662</v>
      </c>
      <c r="D124" s="429" t="s">
        <v>1663</v>
      </c>
      <c r="E124" s="486">
        <f>VLOOKUP(C124,'Full Trial Balance'!$A$4:$G$2306,3,FALSE)</f>
        <v>0</v>
      </c>
      <c r="F124" s="486">
        <f>VLOOKUP(C124,'Full Trial Balance'!$A$4:$G$2306,4,FALSE)</f>
        <v>0</v>
      </c>
      <c r="G124" s="486">
        <f>VLOOKUP(C124,'Full Trial Balance'!$A$4:$G$2306,5,FALSE)</f>
        <v>0</v>
      </c>
      <c r="H124" s="486">
        <f>VLOOKUP(C124,'Full Trial Balance'!$A$4:$G$2306,6,FALSE)</f>
        <v>0</v>
      </c>
      <c r="I124" s="486">
        <f>VLOOKUP(C124,'Full Trial Balance'!$A$4:$G$2306,7,FALSE)</f>
        <v>0</v>
      </c>
      <c r="J124" s="260"/>
      <c r="K124" s="265">
        <f t="shared" si="5"/>
        <v>0</v>
      </c>
    </row>
    <row r="125" spans="1:11" x14ac:dyDescent="0.25">
      <c r="A125" s="430" t="str">
        <f t="shared" si="3"/>
        <v>03</v>
      </c>
      <c r="B125" s="430" t="str">
        <f t="shared" si="4"/>
        <v>160-346</v>
      </c>
      <c r="C125" s="429" t="s">
        <v>1664</v>
      </c>
      <c r="D125" s="429" t="s">
        <v>1665</v>
      </c>
      <c r="E125" s="486">
        <f>VLOOKUP(C125,'Full Trial Balance'!$A$4:$G$2306,3,FALSE)</f>
        <v>0</v>
      </c>
      <c r="F125" s="486">
        <f>VLOOKUP(C125,'Full Trial Balance'!$A$4:$G$2306,4,FALSE)</f>
        <v>0</v>
      </c>
      <c r="G125" s="486">
        <f>VLOOKUP(C125,'Full Trial Balance'!$A$4:$G$2306,5,FALSE)</f>
        <v>0</v>
      </c>
      <c r="H125" s="486">
        <f>VLOOKUP(C125,'Full Trial Balance'!$A$4:$G$2306,6,FALSE)</f>
        <v>0</v>
      </c>
      <c r="I125" s="486">
        <f>VLOOKUP(C125,'Full Trial Balance'!$A$4:$G$2306,7,FALSE)</f>
        <v>0</v>
      </c>
      <c r="J125" s="506"/>
      <c r="K125" s="265">
        <f t="shared" si="5"/>
        <v>0</v>
      </c>
    </row>
    <row r="126" spans="1:11" x14ac:dyDescent="0.25">
      <c r="A126" s="430" t="str">
        <f t="shared" si="3"/>
        <v>03</v>
      </c>
      <c r="B126" s="430" t="str">
        <f t="shared" si="4"/>
        <v>160-375</v>
      </c>
      <c r="C126" s="429" t="s">
        <v>1666</v>
      </c>
      <c r="D126" s="429" t="s">
        <v>1667</v>
      </c>
      <c r="E126" s="486">
        <f>VLOOKUP(C126,'Full Trial Balance'!$A$4:$G$2306,3,FALSE)</f>
        <v>0</v>
      </c>
      <c r="F126" s="486">
        <f>VLOOKUP(C126,'Full Trial Balance'!$A$4:$G$2306,4,FALSE)</f>
        <v>0</v>
      </c>
      <c r="G126" s="486">
        <f>VLOOKUP(C126,'Full Trial Balance'!$A$4:$G$2306,5,FALSE)</f>
        <v>0</v>
      </c>
      <c r="H126" s="486">
        <f>VLOOKUP(C126,'Full Trial Balance'!$A$4:$G$2306,6,FALSE)</f>
        <v>0</v>
      </c>
      <c r="I126" s="486">
        <f>VLOOKUP(C126,'Full Trial Balance'!$A$4:$G$2306,7,FALSE)</f>
        <v>0</v>
      </c>
      <c r="J126" s="260"/>
      <c r="K126" s="265">
        <f t="shared" si="5"/>
        <v>0</v>
      </c>
    </row>
    <row r="127" spans="1:11" x14ac:dyDescent="0.25">
      <c r="A127" s="430" t="str">
        <f t="shared" si="3"/>
        <v>03</v>
      </c>
      <c r="B127" s="430" t="str">
        <f t="shared" si="4"/>
        <v>160-376</v>
      </c>
      <c r="C127" s="429" t="s">
        <v>1668</v>
      </c>
      <c r="D127" s="429" t="s">
        <v>1669</v>
      </c>
      <c r="E127" s="486">
        <f>VLOOKUP(C127,'Full Trial Balance'!$A$4:$G$2306,3,FALSE)</f>
        <v>0</v>
      </c>
      <c r="F127" s="486">
        <f>VLOOKUP(C127,'Full Trial Balance'!$A$4:$G$2306,4,FALSE)</f>
        <v>116135.29</v>
      </c>
      <c r="G127" s="486">
        <f>VLOOKUP(C127,'Full Trial Balance'!$A$4:$G$2306,5,FALSE)</f>
        <v>0</v>
      </c>
      <c r="H127" s="486">
        <f>VLOOKUP(C127,'Full Trial Balance'!$A$4:$G$2306,6,FALSE)</f>
        <v>0</v>
      </c>
      <c r="I127" s="486">
        <f>VLOOKUP(C127,'Full Trial Balance'!$A$4:$G$2306,7,FALSE)</f>
        <v>116135.29</v>
      </c>
      <c r="J127" s="260"/>
      <c r="K127" s="265">
        <f t="shared" si="5"/>
        <v>0</v>
      </c>
    </row>
    <row r="128" spans="1:11" x14ac:dyDescent="0.25">
      <c r="A128" s="430" t="str">
        <f t="shared" si="3"/>
        <v>03</v>
      </c>
      <c r="B128" s="430" t="str">
        <f t="shared" si="4"/>
        <v>160-377</v>
      </c>
      <c r="C128" s="509" t="s">
        <v>3456</v>
      </c>
      <c r="D128" s="509" t="s">
        <v>3457</v>
      </c>
      <c r="E128" s="486">
        <v>1800</v>
      </c>
      <c r="F128" s="486">
        <f>VLOOKUP(C128,'Full Trial Balance'!$A$4:$G$2306,4,FALSE)</f>
        <v>0</v>
      </c>
      <c r="G128" s="486">
        <f>VLOOKUP(C128,'Full Trial Balance'!$A$4:$G$2306,5,FALSE)</f>
        <v>0</v>
      </c>
      <c r="H128" s="486">
        <f>VLOOKUP(C128,'Full Trial Balance'!$A$4:$G$2306,6,FALSE)</f>
        <v>0</v>
      </c>
      <c r="I128" s="486">
        <f>VLOOKUP(C128,'Full Trial Balance'!$A$4:$G$2306,7,FALSE)</f>
        <v>0</v>
      </c>
      <c r="J128" s="260"/>
      <c r="K128" s="265">
        <f t="shared" si="5"/>
        <v>0</v>
      </c>
    </row>
    <row r="129" spans="1:11" x14ac:dyDescent="0.25">
      <c r="A129" s="430" t="str">
        <f t="shared" si="3"/>
        <v>03</v>
      </c>
      <c r="B129" s="430" t="str">
        <f t="shared" si="4"/>
        <v>160-378</v>
      </c>
      <c r="C129" s="429" t="s">
        <v>1670</v>
      </c>
      <c r="D129" s="429" t="s">
        <v>1671</v>
      </c>
      <c r="E129" s="486">
        <f>VLOOKUP(C129,'Full Trial Balance'!$A$4:$G$2306,3,FALSE)</f>
        <v>0</v>
      </c>
      <c r="F129" s="486">
        <f>VLOOKUP(C129,'Full Trial Balance'!$A$4:$G$2306,4,FALSE)</f>
        <v>327542.82</v>
      </c>
      <c r="G129" s="486">
        <f>VLOOKUP(C129,'Full Trial Balance'!$A$4:$G$2306,5,FALSE)</f>
        <v>0</v>
      </c>
      <c r="H129" s="486">
        <f>VLOOKUP(C129,'Full Trial Balance'!$A$4:$G$2306,6,FALSE)</f>
        <v>0</v>
      </c>
      <c r="I129" s="486">
        <f>VLOOKUP(C129,'Full Trial Balance'!$A$4:$G$2306,7,FALSE)</f>
        <v>327542.82</v>
      </c>
      <c r="J129" s="260"/>
      <c r="K129" s="265">
        <f t="shared" si="5"/>
        <v>0</v>
      </c>
    </row>
    <row r="130" spans="1:11" x14ac:dyDescent="0.25">
      <c r="A130" s="430" t="str">
        <f t="shared" ref="A130:A193" si="6">LEFT(C130,2)</f>
        <v>03</v>
      </c>
      <c r="B130" s="430" t="str">
        <f t="shared" ref="B130:B193" si="7">RIGHT(C130,7)</f>
        <v>160-380</v>
      </c>
      <c r="C130" s="429" t="s">
        <v>1672</v>
      </c>
      <c r="D130" s="429" t="s">
        <v>1673</v>
      </c>
      <c r="E130" s="486">
        <f>VLOOKUP(C130,'Full Trial Balance'!$A$4:$G$2306,3,FALSE)</f>
        <v>0</v>
      </c>
      <c r="F130" s="486">
        <f>VLOOKUP(C130,'Full Trial Balance'!$A$4:$G$2306,4,FALSE)</f>
        <v>28149.45</v>
      </c>
      <c r="G130" s="486">
        <f>VLOOKUP(C130,'Full Trial Balance'!$A$4:$G$2306,5,FALSE)</f>
        <v>0</v>
      </c>
      <c r="H130" s="486">
        <f>VLOOKUP(C130,'Full Trial Balance'!$A$4:$G$2306,6,FALSE)</f>
        <v>0</v>
      </c>
      <c r="I130" s="486">
        <f>VLOOKUP(C130,'Full Trial Balance'!$A$4:$G$2306,7,FALSE)</f>
        <v>28149.45</v>
      </c>
      <c r="J130" s="260"/>
      <c r="K130" s="265">
        <f t="shared" ref="K130:K193" si="8">G130-H130+J130</f>
        <v>0</v>
      </c>
    </row>
    <row r="131" spans="1:11" x14ac:dyDescent="0.25">
      <c r="A131" s="430" t="str">
        <f t="shared" si="6"/>
        <v>03</v>
      </c>
      <c r="B131" s="430" t="str">
        <f t="shared" si="7"/>
        <v>160-381</v>
      </c>
      <c r="C131" s="429" t="s">
        <v>1674</v>
      </c>
      <c r="D131" s="429" t="s">
        <v>1675</v>
      </c>
      <c r="E131" s="486">
        <f>VLOOKUP(C131,'Full Trial Balance'!$A$4:$G$2306,3,FALSE)</f>
        <v>0</v>
      </c>
      <c r="F131" s="486">
        <f>VLOOKUP(C131,'Full Trial Balance'!$A$4:$G$2306,4,FALSE)</f>
        <v>0</v>
      </c>
      <c r="G131" s="486">
        <f>VLOOKUP(C131,'Full Trial Balance'!$A$4:$G$2306,5,FALSE)</f>
        <v>0</v>
      </c>
      <c r="H131" s="486">
        <f>VLOOKUP(C131,'Full Trial Balance'!$A$4:$G$2306,6,FALSE)</f>
        <v>0</v>
      </c>
      <c r="I131" s="486">
        <f>VLOOKUP(C131,'Full Trial Balance'!$A$4:$G$2306,7,FALSE)</f>
        <v>0</v>
      </c>
      <c r="J131" s="260"/>
      <c r="K131" s="265">
        <f t="shared" si="8"/>
        <v>0</v>
      </c>
    </row>
    <row r="132" spans="1:11" x14ac:dyDescent="0.25">
      <c r="A132" s="430" t="str">
        <f t="shared" si="6"/>
        <v>03</v>
      </c>
      <c r="B132" s="430" t="str">
        <f t="shared" si="7"/>
        <v>160-382</v>
      </c>
      <c r="C132" s="509" t="s">
        <v>2590</v>
      </c>
      <c r="D132" s="509" t="s">
        <v>2591</v>
      </c>
      <c r="E132" s="486">
        <v>210000</v>
      </c>
      <c r="F132" s="486">
        <f>VLOOKUP(C132,'Full Trial Balance'!$A$4:$G$2306,4,FALSE)</f>
        <v>0</v>
      </c>
      <c r="G132" s="486">
        <f>VLOOKUP(C132,'Full Trial Balance'!$A$4:$G$2306,5,FALSE)</f>
        <v>1391.2</v>
      </c>
      <c r="H132" s="486">
        <f>VLOOKUP(C132,'Full Trial Balance'!$A$4:$G$2306,6,FALSE)</f>
        <v>0</v>
      </c>
      <c r="I132" s="486">
        <f>VLOOKUP(C132,'Full Trial Balance'!$A$4:$G$2306,7,FALSE)</f>
        <v>1391.2</v>
      </c>
      <c r="J132" s="506"/>
      <c r="K132" s="265">
        <f t="shared" si="8"/>
        <v>1391.2</v>
      </c>
    </row>
    <row r="133" spans="1:11" x14ac:dyDescent="0.25">
      <c r="A133" s="430" t="str">
        <f t="shared" si="6"/>
        <v>03</v>
      </c>
      <c r="B133" s="430" t="str">
        <f t="shared" si="7"/>
        <v>160-401</v>
      </c>
      <c r="C133" s="429" t="s">
        <v>1676</v>
      </c>
      <c r="D133" s="429" t="s">
        <v>1677</v>
      </c>
      <c r="E133" s="486">
        <f>VLOOKUP(C133,'Full Trial Balance'!$A$4:$G$2306,3,FALSE)</f>
        <v>0</v>
      </c>
      <c r="F133" s="486">
        <f>VLOOKUP(C133,'Full Trial Balance'!$A$4:$G$2306,4,FALSE)</f>
        <v>0</v>
      </c>
      <c r="G133" s="486">
        <f>VLOOKUP(C133,'Full Trial Balance'!$A$4:$G$2306,5,FALSE)</f>
        <v>0</v>
      </c>
      <c r="H133" s="486">
        <f>VLOOKUP(C133,'Full Trial Balance'!$A$4:$G$2306,6,FALSE)</f>
        <v>0</v>
      </c>
      <c r="I133" s="486">
        <f>VLOOKUP(C133,'Full Trial Balance'!$A$4:$G$2306,7,FALSE)</f>
        <v>0</v>
      </c>
      <c r="J133" s="506"/>
      <c r="K133" s="265">
        <f t="shared" si="8"/>
        <v>0</v>
      </c>
    </row>
    <row r="134" spans="1:11" x14ac:dyDescent="0.25">
      <c r="A134" s="430" t="str">
        <f t="shared" si="6"/>
        <v>03</v>
      </c>
      <c r="B134" s="430" t="str">
        <f t="shared" si="7"/>
        <v>160-402</v>
      </c>
      <c r="C134" s="506" t="s">
        <v>1678</v>
      </c>
      <c r="D134" s="506" t="s">
        <v>1531</v>
      </c>
      <c r="E134" s="486">
        <v>9100</v>
      </c>
      <c r="F134" s="486">
        <f>VLOOKUP(C134,'Full Trial Balance'!$A$4:$G$2306,4,FALSE)</f>
        <v>5942.96</v>
      </c>
      <c r="G134" s="486">
        <f>VLOOKUP(C134,'Full Trial Balance'!$A$4:$G$2306,5,FALSE)</f>
        <v>0</v>
      </c>
      <c r="H134" s="486">
        <f>VLOOKUP(C134,'Full Trial Balance'!$A$4:$G$2306,6,FALSE)</f>
        <v>0</v>
      </c>
      <c r="I134" s="486">
        <f>VLOOKUP(C134,'Full Trial Balance'!$A$4:$G$2306,7,FALSE)</f>
        <v>5942.96</v>
      </c>
      <c r="J134" s="260"/>
      <c r="K134" s="265">
        <f t="shared" si="8"/>
        <v>0</v>
      </c>
    </row>
    <row r="135" spans="1:11" x14ac:dyDescent="0.25">
      <c r="A135" s="430" t="str">
        <f t="shared" si="6"/>
        <v>03</v>
      </c>
      <c r="B135" s="430" t="str">
        <f t="shared" si="7"/>
        <v>160-403</v>
      </c>
      <c r="C135" s="506" t="s">
        <v>1679</v>
      </c>
      <c r="D135" s="506" t="s">
        <v>1680</v>
      </c>
      <c r="E135" s="486">
        <f>VLOOKUP(C135,'Full Trial Balance'!$A$4:$G$2306,3,FALSE)</f>
        <v>0</v>
      </c>
      <c r="F135" s="486">
        <f>VLOOKUP(C135,'Full Trial Balance'!$A$4:$G$2306,4,FALSE)</f>
        <v>298962.46999999997</v>
      </c>
      <c r="G135" s="486">
        <f>VLOOKUP(C135,'Full Trial Balance'!$A$4:$G$2306,5,FALSE)</f>
        <v>0</v>
      </c>
      <c r="H135" s="486">
        <f>VLOOKUP(C135,'Full Trial Balance'!$A$4:$G$2306,6,FALSE)</f>
        <v>0</v>
      </c>
      <c r="I135" s="486">
        <f>VLOOKUP(C135,'Full Trial Balance'!$A$4:$G$2306,7,FALSE)</f>
        <v>298962.46999999997</v>
      </c>
      <c r="J135" s="260"/>
      <c r="K135" s="265">
        <f t="shared" si="8"/>
        <v>0</v>
      </c>
    </row>
    <row r="136" spans="1:11" x14ac:dyDescent="0.25">
      <c r="A136" s="430" t="str">
        <f t="shared" si="6"/>
        <v>03</v>
      </c>
      <c r="B136" s="430" t="str">
        <f t="shared" si="7"/>
        <v>160-405</v>
      </c>
      <c r="C136" s="429" t="s">
        <v>1681</v>
      </c>
      <c r="D136" s="429" t="s">
        <v>1535</v>
      </c>
      <c r="E136" s="486">
        <f>VLOOKUP(C136,'Full Trial Balance'!$A$4:$G$2306,3,FALSE)</f>
        <v>0</v>
      </c>
      <c r="F136" s="486">
        <f>VLOOKUP(C136,'Full Trial Balance'!$A$4:$G$2306,4,FALSE)</f>
        <v>0</v>
      </c>
      <c r="G136" s="486">
        <f>VLOOKUP(C136,'Full Trial Balance'!$A$4:$G$2306,5,FALSE)</f>
        <v>0</v>
      </c>
      <c r="H136" s="486">
        <f>VLOOKUP(C136,'Full Trial Balance'!$A$4:$G$2306,6,FALSE)</f>
        <v>0</v>
      </c>
      <c r="I136" s="486">
        <f>VLOOKUP(C136,'Full Trial Balance'!$A$4:$G$2306,7,FALSE)</f>
        <v>0</v>
      </c>
      <c r="J136" s="506"/>
      <c r="K136" s="265">
        <f t="shared" si="8"/>
        <v>0</v>
      </c>
    </row>
    <row r="137" spans="1:11" x14ac:dyDescent="0.25">
      <c r="A137" s="430" t="str">
        <f t="shared" si="6"/>
        <v>03</v>
      </c>
      <c r="B137" s="430" t="str">
        <f t="shared" si="7"/>
        <v>160-410</v>
      </c>
      <c r="C137" s="429" t="s">
        <v>1682</v>
      </c>
      <c r="D137" s="429" t="s">
        <v>1537</v>
      </c>
      <c r="E137" s="486">
        <f>VLOOKUP(C137,'Full Trial Balance'!$A$4:$G$2306,3,FALSE)</f>
        <v>0</v>
      </c>
      <c r="F137" s="486">
        <f>VLOOKUP(C137,'Full Trial Balance'!$A$4:$G$2306,4,FALSE)</f>
        <v>108039.84</v>
      </c>
      <c r="G137" s="486">
        <f>VLOOKUP(C137,'Full Trial Balance'!$A$4:$G$2306,5,FALSE)</f>
        <v>0</v>
      </c>
      <c r="H137" s="486">
        <f>VLOOKUP(C137,'Full Trial Balance'!$A$4:$G$2306,6,FALSE)</f>
        <v>0</v>
      </c>
      <c r="I137" s="486">
        <f>VLOOKUP(C137,'Full Trial Balance'!$A$4:$G$2306,7,FALSE)</f>
        <v>108039.84</v>
      </c>
      <c r="J137" s="506"/>
      <c r="K137" s="265">
        <f t="shared" si="8"/>
        <v>0</v>
      </c>
    </row>
    <row r="138" spans="1:11" x14ac:dyDescent="0.25">
      <c r="A138" s="430" t="str">
        <f t="shared" si="6"/>
        <v>03</v>
      </c>
      <c r="B138" s="430" t="str">
        <f t="shared" si="7"/>
        <v>160-415</v>
      </c>
      <c r="C138" s="429" t="s">
        <v>1683</v>
      </c>
      <c r="D138" s="429" t="s">
        <v>1539</v>
      </c>
      <c r="E138" s="486">
        <v>10660</v>
      </c>
      <c r="F138" s="486">
        <f>VLOOKUP(C138,'Full Trial Balance'!$A$4:$G$2306,4,FALSE)</f>
        <v>0</v>
      </c>
      <c r="G138" s="486">
        <f>VLOOKUP(C138,'Full Trial Balance'!$A$4:$G$2306,5,FALSE)</f>
        <v>0</v>
      </c>
      <c r="H138" s="486">
        <f>VLOOKUP(C138,'Full Trial Balance'!$A$4:$G$2306,6,FALSE)</f>
        <v>0</v>
      </c>
      <c r="I138" s="486">
        <f>VLOOKUP(C138,'Full Trial Balance'!$A$4:$G$2306,7,FALSE)</f>
        <v>0</v>
      </c>
      <c r="J138" s="260"/>
      <c r="K138" s="265">
        <f t="shared" si="8"/>
        <v>0</v>
      </c>
    </row>
    <row r="139" spans="1:11" x14ac:dyDescent="0.25">
      <c r="A139" s="430" t="str">
        <f t="shared" si="6"/>
        <v>03</v>
      </c>
      <c r="B139" s="430" t="str">
        <f t="shared" si="7"/>
        <v>160-500</v>
      </c>
      <c r="C139" s="429" t="s">
        <v>3452</v>
      </c>
      <c r="D139" s="509" t="s">
        <v>3455</v>
      </c>
      <c r="E139" s="486">
        <v>36540</v>
      </c>
      <c r="F139" s="486">
        <f>VLOOKUP(C139,'Full Trial Balance'!$A$4:$G$2306,4,FALSE)</f>
        <v>0</v>
      </c>
      <c r="G139" s="486">
        <f>VLOOKUP(C139,'Full Trial Balance'!$A$4:$G$2306,5,FALSE)</f>
        <v>0</v>
      </c>
      <c r="H139" s="486">
        <f>VLOOKUP(C139,'Full Trial Balance'!$A$4:$G$2306,6,FALSE)</f>
        <v>0</v>
      </c>
      <c r="I139" s="486">
        <f>VLOOKUP(C139,'Full Trial Balance'!$A$4:$G$2306,7,FALSE)</f>
        <v>0</v>
      </c>
      <c r="K139" s="265">
        <f t="shared" si="8"/>
        <v>0</v>
      </c>
    </row>
    <row r="140" spans="1:11" x14ac:dyDescent="0.25">
      <c r="A140" s="430" t="str">
        <f t="shared" si="6"/>
        <v>03</v>
      </c>
      <c r="B140" s="430" t="str">
        <f t="shared" si="7"/>
        <v>160-502</v>
      </c>
      <c r="C140" s="429" t="s">
        <v>1684</v>
      </c>
      <c r="D140" s="429" t="s">
        <v>1685</v>
      </c>
      <c r="E140" s="486">
        <f>VLOOKUP(C140,'Full Trial Balance'!$A$4:$G$2306,3,FALSE)</f>
        <v>0</v>
      </c>
      <c r="F140" s="486">
        <f>VLOOKUP(C140,'Full Trial Balance'!$A$4:$G$2306,4,FALSE)</f>
        <v>950779.59</v>
      </c>
      <c r="G140" s="486">
        <f>VLOOKUP(C140,'Full Trial Balance'!$A$4:$G$2306,5,FALSE)</f>
        <v>0</v>
      </c>
      <c r="H140" s="486">
        <f>VLOOKUP(C140,'Full Trial Balance'!$A$4:$G$2306,6,FALSE)</f>
        <v>0</v>
      </c>
      <c r="I140" s="486">
        <f>VLOOKUP(C140,'Full Trial Balance'!$A$4:$G$2306,7,FALSE)</f>
        <v>950779.59</v>
      </c>
      <c r="J140" s="260"/>
      <c r="K140" s="265">
        <f t="shared" si="8"/>
        <v>0</v>
      </c>
    </row>
    <row r="141" spans="1:11" x14ac:dyDescent="0.25">
      <c r="A141" s="430" t="str">
        <f t="shared" si="6"/>
        <v>03</v>
      </c>
      <c r="B141" s="430" t="str">
        <f t="shared" si="7"/>
        <v>160-810</v>
      </c>
      <c r="C141" s="429" t="s">
        <v>1686</v>
      </c>
      <c r="D141" s="429" t="s">
        <v>1543</v>
      </c>
      <c r="E141" s="486">
        <f>VLOOKUP(C141,'Full Trial Balance'!$A$4:$G$2306,3,FALSE)</f>
        <v>0</v>
      </c>
      <c r="F141" s="486">
        <f>VLOOKUP(C141,'Full Trial Balance'!$A$4:$G$2306,4,FALSE)</f>
        <v>0</v>
      </c>
      <c r="G141" s="486">
        <f>VLOOKUP(C141,'Full Trial Balance'!$A$4:$G$2306,5,FALSE)</f>
        <v>0</v>
      </c>
      <c r="H141" s="486">
        <f>VLOOKUP(C141,'Full Trial Balance'!$A$4:$G$2306,6,FALSE)</f>
        <v>0</v>
      </c>
      <c r="I141" s="486">
        <f>VLOOKUP(C141,'Full Trial Balance'!$A$4:$G$2306,7,FALSE)</f>
        <v>0</v>
      </c>
      <c r="J141" s="506"/>
      <c r="K141" s="265">
        <f t="shared" si="8"/>
        <v>0</v>
      </c>
    </row>
    <row r="142" spans="1:11" x14ac:dyDescent="0.25">
      <c r="A142" s="430" t="str">
        <f t="shared" si="6"/>
        <v>03</v>
      </c>
      <c r="B142" s="430" t="str">
        <f t="shared" si="7"/>
        <v>163-000</v>
      </c>
      <c r="C142" s="429" t="s">
        <v>1687</v>
      </c>
      <c r="D142" s="429" t="s">
        <v>1545</v>
      </c>
      <c r="E142" s="486">
        <f>VLOOKUP(C142,'Full Trial Balance'!$A$4:$G$2306,3,FALSE)</f>
        <v>0</v>
      </c>
      <c r="F142" s="486">
        <f>VLOOKUP(C142,'Full Trial Balance'!$A$4:$G$2306,4,FALSE)</f>
        <v>101201.87</v>
      </c>
      <c r="G142" s="486">
        <f>VLOOKUP(C142,'Full Trial Balance'!$A$4:$G$2306,5,FALSE)</f>
        <v>0</v>
      </c>
      <c r="H142" s="486">
        <f>VLOOKUP(C142,'Full Trial Balance'!$A$4:$G$2306,6,FALSE)</f>
        <v>0</v>
      </c>
      <c r="I142" s="486">
        <f>VLOOKUP(C142,'Full Trial Balance'!$A$4:$G$2306,7,FALSE)</f>
        <v>101201.87</v>
      </c>
      <c r="K142" s="265">
        <f t="shared" si="8"/>
        <v>0</v>
      </c>
    </row>
    <row r="143" spans="1:11" x14ac:dyDescent="0.25">
      <c r="A143" s="430" t="str">
        <f t="shared" si="6"/>
        <v>03</v>
      </c>
      <c r="B143" s="430" t="str">
        <f t="shared" si="7"/>
        <v>163-050</v>
      </c>
      <c r="C143" s="429" t="s">
        <v>1688</v>
      </c>
      <c r="D143" s="429" t="s">
        <v>1547</v>
      </c>
      <c r="E143" s="486">
        <f>VLOOKUP(C143,'Full Trial Balance'!$A$4:$G$2306,3,FALSE)</f>
        <v>0</v>
      </c>
      <c r="F143" s="486">
        <f>VLOOKUP(C143,'Full Trial Balance'!$A$4:$G$2306,4,FALSE)</f>
        <v>1779033.64</v>
      </c>
      <c r="G143" s="486">
        <f>VLOOKUP(C143,'Full Trial Balance'!$A$4:$G$2306,5,FALSE)</f>
        <v>2250.25</v>
      </c>
      <c r="H143" s="486">
        <f>VLOOKUP(C143,'Full Trial Balance'!$A$4:$G$2306,6,FALSE)</f>
        <v>2250.25</v>
      </c>
      <c r="I143" s="486">
        <f>VLOOKUP(C143,'Full Trial Balance'!$A$4:$G$2306,7,FALSE)</f>
        <v>1779033.64</v>
      </c>
      <c r="K143" s="265">
        <f t="shared" si="8"/>
        <v>0</v>
      </c>
    </row>
    <row r="144" spans="1:11" x14ac:dyDescent="0.25">
      <c r="A144" s="430" t="str">
        <f t="shared" si="6"/>
        <v>03</v>
      </c>
      <c r="B144" s="430" t="str">
        <f t="shared" si="7"/>
        <v>163-060</v>
      </c>
      <c r="C144" s="429" t="s">
        <v>1689</v>
      </c>
      <c r="D144" s="429" t="s">
        <v>3450</v>
      </c>
      <c r="E144" s="486">
        <v>1131200</v>
      </c>
      <c r="F144" s="486">
        <f>VLOOKUP(C144,'Full Trial Balance'!$A$4:$G$2306,4,FALSE)</f>
        <v>0</v>
      </c>
      <c r="G144" s="486">
        <f>VLOOKUP(C144,'Full Trial Balance'!$A$4:$G$2306,5,FALSE)</f>
        <v>27756.36</v>
      </c>
      <c r="H144" s="486">
        <f>VLOOKUP(C144,'Full Trial Balance'!$A$4:$G$2306,6,FALSE)</f>
        <v>0</v>
      </c>
      <c r="I144" s="486">
        <f>VLOOKUP(C144,'Full Trial Balance'!$A$4:$G$2306,7,FALSE)</f>
        <v>27756.36</v>
      </c>
      <c r="J144" s="260"/>
      <c r="K144" s="265">
        <f t="shared" si="8"/>
        <v>27756.36</v>
      </c>
    </row>
    <row r="145" spans="1:11" x14ac:dyDescent="0.25">
      <c r="A145" s="430" t="str">
        <f t="shared" si="6"/>
        <v>03</v>
      </c>
      <c r="B145" s="430" t="str">
        <f t="shared" si="7"/>
        <v>165-000</v>
      </c>
      <c r="C145" s="429" t="s">
        <v>1690</v>
      </c>
      <c r="D145" s="429" t="s">
        <v>1550</v>
      </c>
      <c r="E145" s="486">
        <f>VLOOKUP(C145,'Full Trial Balance'!$A$4:$G$2306,3,FALSE)</f>
        <v>0</v>
      </c>
      <c r="F145" s="486">
        <f>VLOOKUP(C145,'Full Trial Balance'!$A$4:$G$2306,4,FALSE)</f>
        <v>0</v>
      </c>
      <c r="G145" s="486">
        <f>VLOOKUP(C145,'Full Trial Balance'!$A$4:$G$2306,5,FALSE)</f>
        <v>0</v>
      </c>
      <c r="H145" s="486">
        <f>VLOOKUP(C145,'Full Trial Balance'!$A$4:$G$2306,6,FALSE)</f>
        <v>0</v>
      </c>
      <c r="I145" s="486">
        <f>VLOOKUP(C145,'Full Trial Balance'!$A$4:$G$2306,7,FALSE)</f>
        <v>0</v>
      </c>
      <c r="J145" s="506"/>
      <c r="K145" s="265">
        <f t="shared" si="8"/>
        <v>0</v>
      </c>
    </row>
    <row r="146" spans="1:11" x14ac:dyDescent="0.25">
      <c r="A146" s="430" t="str">
        <f t="shared" si="6"/>
        <v>03</v>
      </c>
      <c r="B146" s="430" t="str">
        <f t="shared" si="7"/>
        <v>175-000</v>
      </c>
      <c r="C146" s="429" t="s">
        <v>1691</v>
      </c>
      <c r="D146" s="429" t="s">
        <v>1552</v>
      </c>
      <c r="E146" s="486">
        <f>VLOOKUP(C146,'Full Trial Balance'!$A$4:$G$2306,3,FALSE)</f>
        <v>0</v>
      </c>
      <c r="F146" s="486">
        <f>VLOOKUP(C146,'Full Trial Balance'!$A$4:$G$2306,4,FALSE)</f>
        <v>0</v>
      </c>
      <c r="G146" s="486">
        <f>VLOOKUP(C146,'Full Trial Balance'!$A$4:$G$2306,5,FALSE)</f>
        <v>0</v>
      </c>
      <c r="H146" s="486">
        <f>VLOOKUP(C146,'Full Trial Balance'!$A$4:$G$2306,6,FALSE)</f>
        <v>0</v>
      </c>
      <c r="I146" s="486">
        <f>VLOOKUP(C146,'Full Trial Balance'!$A$4:$G$2306,7,FALSE)</f>
        <v>0</v>
      </c>
      <c r="K146" s="265">
        <f t="shared" si="8"/>
        <v>0</v>
      </c>
    </row>
    <row r="147" spans="1:11" x14ac:dyDescent="0.25">
      <c r="A147" s="430" t="str">
        <f t="shared" si="6"/>
        <v>03</v>
      </c>
      <c r="B147" s="430" t="str">
        <f t="shared" si="7"/>
        <v>181-000</v>
      </c>
      <c r="C147" s="429" t="s">
        <v>1692</v>
      </c>
      <c r="D147" s="429" t="s">
        <v>1556</v>
      </c>
      <c r="E147" s="486">
        <f>VLOOKUP(C147,'Full Trial Balance'!$A$4:$G$2306,3,FALSE)</f>
        <v>0</v>
      </c>
      <c r="F147" s="486">
        <f>VLOOKUP(C147,'Full Trial Balance'!$A$4:$G$2306,4,FALSE)</f>
        <v>0</v>
      </c>
      <c r="G147" s="486">
        <f>VLOOKUP(C147,'Full Trial Balance'!$A$4:$G$2306,5,FALSE)</f>
        <v>0</v>
      </c>
      <c r="H147" s="486">
        <f>VLOOKUP(C147,'Full Trial Balance'!$A$4:$G$2306,6,FALSE)</f>
        <v>0</v>
      </c>
      <c r="I147" s="486">
        <f>VLOOKUP(C147,'Full Trial Balance'!$A$4:$G$2306,7,FALSE)</f>
        <v>0</v>
      </c>
      <c r="K147" s="265">
        <f t="shared" si="8"/>
        <v>0</v>
      </c>
    </row>
    <row r="148" spans="1:11" x14ac:dyDescent="0.25">
      <c r="A148" s="430" t="str">
        <f t="shared" si="6"/>
        <v>03</v>
      </c>
      <c r="B148" s="430" t="str">
        <f t="shared" si="7"/>
        <v>184-000</v>
      </c>
      <c r="C148" s="429" t="s">
        <v>1693</v>
      </c>
      <c r="D148" s="429" t="s">
        <v>1694</v>
      </c>
      <c r="E148" s="486">
        <f>VLOOKUP(C148,'Full Trial Balance'!$A$4:$G$2306,3,FALSE)</f>
        <v>0</v>
      </c>
      <c r="F148" s="486">
        <f>VLOOKUP(C148,'Full Trial Balance'!$A$4:$G$2306,4,FALSE)</f>
        <v>0</v>
      </c>
      <c r="G148" s="486">
        <f>VLOOKUP(C148,'Full Trial Balance'!$A$4:$G$2306,5,FALSE)</f>
        <v>0</v>
      </c>
      <c r="H148" s="486">
        <f>VLOOKUP(C148,'Full Trial Balance'!$A$4:$G$2306,6,FALSE)</f>
        <v>0</v>
      </c>
      <c r="I148" s="486">
        <f>VLOOKUP(C148,'Full Trial Balance'!$A$4:$G$2306,7,FALSE)</f>
        <v>0</v>
      </c>
      <c r="K148" s="265">
        <f t="shared" si="8"/>
        <v>0</v>
      </c>
    </row>
    <row r="149" spans="1:11" x14ac:dyDescent="0.25">
      <c r="A149" s="430" t="str">
        <f t="shared" si="6"/>
        <v>03</v>
      </c>
      <c r="B149" s="430" t="str">
        <f t="shared" si="7"/>
        <v>185-000</v>
      </c>
      <c r="C149" s="429" t="s">
        <v>1695</v>
      </c>
      <c r="D149" s="429" t="s">
        <v>1558</v>
      </c>
      <c r="E149" s="486">
        <f>VLOOKUP(C149,'Full Trial Balance'!$A$4:$G$2306,3,FALSE)</f>
        <v>0</v>
      </c>
      <c r="F149" s="486">
        <f>VLOOKUP(C149,'Full Trial Balance'!$A$4:$G$2306,4,FALSE)</f>
        <v>0</v>
      </c>
      <c r="G149" s="486">
        <f>VLOOKUP(C149,'Full Trial Balance'!$A$4:$G$2306,5,FALSE)</f>
        <v>0</v>
      </c>
      <c r="H149" s="486">
        <f>VLOOKUP(C149,'Full Trial Balance'!$A$4:$G$2306,6,FALSE)</f>
        <v>0</v>
      </c>
      <c r="I149" s="486">
        <f>VLOOKUP(C149,'Full Trial Balance'!$A$4:$G$2306,7,FALSE)</f>
        <v>0</v>
      </c>
      <c r="K149" s="265">
        <f t="shared" si="8"/>
        <v>0</v>
      </c>
    </row>
    <row r="150" spans="1:11" x14ac:dyDescent="0.25">
      <c r="A150" s="430" t="str">
        <f t="shared" si="6"/>
        <v>03</v>
      </c>
      <c r="B150" s="430" t="str">
        <f t="shared" si="7"/>
        <v>195-000</v>
      </c>
      <c r="C150" s="429" t="s">
        <v>1696</v>
      </c>
      <c r="D150" s="429" t="s">
        <v>1560</v>
      </c>
      <c r="E150" s="486">
        <f>VLOOKUP(C150,'Full Trial Balance'!$A$4:$G$2306,3,FALSE)</f>
        <v>0</v>
      </c>
      <c r="F150" s="486">
        <f>VLOOKUP(C150,'Full Trial Balance'!$A$4:$G$2306,4,FALSE)</f>
        <v>277479.65000000002</v>
      </c>
      <c r="G150" s="486">
        <f>VLOOKUP(C150,'Full Trial Balance'!$A$4:$G$2306,5,FALSE)</f>
        <v>0</v>
      </c>
      <c r="H150" s="486">
        <f>VLOOKUP(C150,'Full Trial Balance'!$A$4:$G$2306,6,FALSE)</f>
        <v>0</v>
      </c>
      <c r="I150" s="486">
        <f>VLOOKUP(C150,'Full Trial Balance'!$A$4:$G$2306,7,FALSE)</f>
        <v>277479.65000000002</v>
      </c>
      <c r="J150" s="506"/>
      <c r="K150" s="265">
        <f t="shared" si="8"/>
        <v>0</v>
      </c>
    </row>
    <row r="151" spans="1:11" x14ac:dyDescent="0.25">
      <c r="A151" s="430" t="str">
        <f t="shared" si="6"/>
        <v>03</v>
      </c>
      <c r="B151" s="430" t="str">
        <f t="shared" si="7"/>
        <v>196-000</v>
      </c>
      <c r="C151" s="429" t="s">
        <v>1697</v>
      </c>
      <c r="D151" s="429" t="s">
        <v>104</v>
      </c>
      <c r="E151" s="486">
        <f>VLOOKUP(C151,'Full Trial Balance'!$A$4:$G$2306,3,FALSE)</f>
        <v>0</v>
      </c>
      <c r="F151" s="486">
        <f>VLOOKUP(C151,'Full Trial Balance'!$A$4:$G$2306,4,FALSE)</f>
        <v>0</v>
      </c>
      <c r="G151" s="486">
        <f>VLOOKUP(C151,'Full Trial Balance'!$A$4:$G$2306,5,FALSE)</f>
        <v>0</v>
      </c>
      <c r="H151" s="486">
        <f>VLOOKUP(C151,'Full Trial Balance'!$A$4:$G$2306,6,FALSE)</f>
        <v>0</v>
      </c>
      <c r="I151" s="486">
        <f>VLOOKUP(C151,'Full Trial Balance'!$A$4:$G$2306,7,FALSE)</f>
        <v>0</v>
      </c>
      <c r="K151" s="265">
        <f t="shared" si="8"/>
        <v>0</v>
      </c>
    </row>
    <row r="152" spans="1:11" x14ac:dyDescent="0.25">
      <c r="A152" s="430" t="str">
        <f t="shared" si="6"/>
        <v>04</v>
      </c>
      <c r="B152" s="430" t="str">
        <f t="shared" si="7"/>
        <v>140-000</v>
      </c>
      <c r="C152" s="429" t="s">
        <v>1698</v>
      </c>
      <c r="D152" s="429" t="s">
        <v>1468</v>
      </c>
      <c r="E152" s="486">
        <f>VLOOKUP(C152,'Full Trial Balance'!$A$4:$G$2306,3,FALSE)</f>
        <v>0</v>
      </c>
      <c r="F152" s="486">
        <f>VLOOKUP(C152,'Full Trial Balance'!$A$4:$G$2306,4,FALSE)</f>
        <v>0</v>
      </c>
      <c r="G152" s="486">
        <f>VLOOKUP(C152,'Full Trial Balance'!$A$4:$G$2306,5,FALSE)</f>
        <v>0</v>
      </c>
      <c r="H152" s="486">
        <f>VLOOKUP(C152,'Full Trial Balance'!$A$4:$G$2306,6,FALSE)</f>
        <v>0</v>
      </c>
      <c r="I152" s="486">
        <f>VLOOKUP(C152,'Full Trial Balance'!$A$4:$G$2306,7,FALSE)</f>
        <v>0</v>
      </c>
      <c r="K152" s="265">
        <f t="shared" si="8"/>
        <v>0</v>
      </c>
    </row>
    <row r="153" spans="1:11" x14ac:dyDescent="0.25">
      <c r="A153" s="430" t="str">
        <f t="shared" si="6"/>
        <v>04</v>
      </c>
      <c r="B153" s="430" t="str">
        <f t="shared" si="7"/>
        <v>140-005</v>
      </c>
      <c r="C153" s="429" t="s">
        <v>1699</v>
      </c>
      <c r="D153" s="429" t="s">
        <v>1470</v>
      </c>
      <c r="E153" s="486">
        <f>VLOOKUP(C153,'Full Trial Balance'!$A$4:$G$2306,3,FALSE)</f>
        <v>0</v>
      </c>
      <c r="F153" s="486">
        <f>VLOOKUP(C153,'Full Trial Balance'!$A$4:$G$2306,4,FALSE)</f>
        <v>157231.51</v>
      </c>
      <c r="G153" s="486">
        <f>VLOOKUP(C153,'Full Trial Balance'!$A$4:$G$2306,5,FALSE)</f>
        <v>0</v>
      </c>
      <c r="H153" s="486">
        <f>VLOOKUP(C153,'Full Trial Balance'!$A$4:$G$2306,6,FALSE)</f>
        <v>0</v>
      </c>
      <c r="I153" s="486">
        <f>VLOOKUP(C153,'Full Trial Balance'!$A$4:$G$2306,7,FALSE)</f>
        <v>157231.51</v>
      </c>
      <c r="J153" s="506"/>
      <c r="K153" s="265">
        <f t="shared" si="8"/>
        <v>0</v>
      </c>
    </row>
    <row r="154" spans="1:11" x14ac:dyDescent="0.25">
      <c r="A154" s="430" t="str">
        <f t="shared" si="6"/>
        <v>04</v>
      </c>
      <c r="B154" s="430" t="str">
        <f t="shared" si="7"/>
        <v>140-010</v>
      </c>
      <c r="C154" s="429" t="s">
        <v>1700</v>
      </c>
      <c r="D154" s="429" t="s">
        <v>1472</v>
      </c>
      <c r="E154" s="486">
        <f>VLOOKUP(C154,'Full Trial Balance'!$A$4:$G$2306,3,FALSE)</f>
        <v>0</v>
      </c>
      <c r="F154" s="486">
        <f>VLOOKUP(C154,'Full Trial Balance'!$A$4:$G$2306,4,FALSE)</f>
        <v>30067.46</v>
      </c>
      <c r="G154" s="486">
        <f>VLOOKUP(C154,'Full Trial Balance'!$A$4:$G$2306,5,FALSE)</f>
        <v>0</v>
      </c>
      <c r="H154" s="486">
        <f>VLOOKUP(C154,'Full Trial Balance'!$A$4:$G$2306,6,FALSE)</f>
        <v>0</v>
      </c>
      <c r="I154" s="486">
        <f>VLOOKUP(C154,'Full Trial Balance'!$A$4:$G$2306,7,FALSE)</f>
        <v>30067.46</v>
      </c>
      <c r="J154" s="506"/>
      <c r="K154" s="265">
        <f t="shared" si="8"/>
        <v>0</v>
      </c>
    </row>
    <row r="155" spans="1:11" x14ac:dyDescent="0.25">
      <c r="A155" s="430" t="str">
        <f t="shared" si="6"/>
        <v>04</v>
      </c>
      <c r="B155" s="430" t="str">
        <f t="shared" si="7"/>
        <v>142-000</v>
      </c>
      <c r="C155" s="429" t="s">
        <v>1701</v>
      </c>
      <c r="D155" s="429" t="s">
        <v>1568</v>
      </c>
      <c r="E155" s="486">
        <f>VLOOKUP(C155,'Full Trial Balance'!$A$4:$G$2306,3,FALSE)</f>
        <v>0</v>
      </c>
      <c r="F155" s="486">
        <f>VLOOKUP(C155,'Full Trial Balance'!$A$4:$G$2306,4,FALSE)</f>
        <v>15300000</v>
      </c>
      <c r="G155" s="486">
        <f>VLOOKUP(C155,'Full Trial Balance'!$A$4:$G$2306,5,FALSE)</f>
        <v>0</v>
      </c>
      <c r="H155" s="486">
        <f>VLOOKUP(C155,'Full Trial Balance'!$A$4:$G$2306,6,FALSE)</f>
        <v>0</v>
      </c>
      <c r="I155" s="486">
        <f>VLOOKUP(C155,'Full Trial Balance'!$A$4:$G$2306,7,FALSE)</f>
        <v>15300000</v>
      </c>
      <c r="J155" s="506"/>
      <c r="K155" s="265">
        <f t="shared" si="8"/>
        <v>0</v>
      </c>
    </row>
    <row r="156" spans="1:11" x14ac:dyDescent="0.25">
      <c r="A156" s="430" t="str">
        <f t="shared" si="6"/>
        <v>04</v>
      </c>
      <c r="B156" s="430" t="str">
        <f t="shared" si="7"/>
        <v>143-000</v>
      </c>
      <c r="C156" s="429" t="s">
        <v>1702</v>
      </c>
      <c r="D156" s="429" t="s">
        <v>1476</v>
      </c>
      <c r="E156" s="486">
        <f>VLOOKUP(C156,'Full Trial Balance'!$A$4:$G$2306,3,FALSE)</f>
        <v>0</v>
      </c>
      <c r="F156" s="486">
        <f>VLOOKUP(C156,'Full Trial Balance'!$A$4:$G$2306,4,FALSE)</f>
        <v>10800000</v>
      </c>
      <c r="G156" s="486">
        <f>VLOOKUP(C156,'Full Trial Balance'!$A$4:$G$2306,5,FALSE)</f>
        <v>0</v>
      </c>
      <c r="H156" s="486">
        <f>VLOOKUP(C156,'Full Trial Balance'!$A$4:$G$2306,6,FALSE)</f>
        <v>0</v>
      </c>
      <c r="I156" s="486">
        <f>VLOOKUP(C156,'Full Trial Balance'!$A$4:$G$2306,7,FALSE)</f>
        <v>10800000</v>
      </c>
      <c r="K156" s="265">
        <f t="shared" si="8"/>
        <v>0</v>
      </c>
    </row>
    <row r="157" spans="1:11" x14ac:dyDescent="0.25">
      <c r="A157" s="430" t="str">
        <f t="shared" si="6"/>
        <v>04</v>
      </c>
      <c r="B157" s="430" t="str">
        <f t="shared" si="7"/>
        <v>144-010</v>
      </c>
      <c r="C157" s="429" t="s">
        <v>1703</v>
      </c>
      <c r="D157" s="429" t="s">
        <v>1478</v>
      </c>
      <c r="E157" s="486">
        <f>VLOOKUP(C157,'Full Trial Balance'!$A$4:$G$2306,3,FALSE)</f>
        <v>0</v>
      </c>
      <c r="F157" s="486">
        <f>VLOOKUP(C157,'Full Trial Balance'!$A$4:$G$2306,4,FALSE)</f>
        <v>1029250.04</v>
      </c>
      <c r="G157" s="486">
        <f>VLOOKUP(C157,'Full Trial Balance'!$A$4:$G$2306,5,FALSE)</f>
        <v>0</v>
      </c>
      <c r="H157" s="486">
        <f>VLOOKUP(C157,'Full Trial Balance'!$A$4:$G$2306,6,FALSE)</f>
        <v>0</v>
      </c>
      <c r="I157" s="486">
        <f>VLOOKUP(C157,'Full Trial Balance'!$A$4:$G$2306,7,FALSE)</f>
        <v>1029250.04</v>
      </c>
      <c r="K157" s="265">
        <f t="shared" si="8"/>
        <v>0</v>
      </c>
    </row>
    <row r="158" spans="1:11" x14ac:dyDescent="0.25">
      <c r="A158" s="430" t="str">
        <f t="shared" si="6"/>
        <v>04</v>
      </c>
      <c r="B158" s="430" t="str">
        <f t="shared" si="7"/>
        <v>146-000</v>
      </c>
      <c r="C158" s="429" t="s">
        <v>1704</v>
      </c>
      <c r="D158" s="429" t="s">
        <v>1482</v>
      </c>
      <c r="E158" s="486">
        <f>VLOOKUP(C158,'Full Trial Balance'!$A$4:$G$2306,3,FALSE)</f>
        <v>0</v>
      </c>
      <c r="F158" s="486">
        <f>VLOOKUP(C158,'Full Trial Balance'!$A$4:$G$2306,4,FALSE)</f>
        <v>0</v>
      </c>
      <c r="G158" s="486">
        <f>VLOOKUP(C158,'Full Trial Balance'!$A$4:$G$2306,5,FALSE)</f>
        <v>0</v>
      </c>
      <c r="H158" s="486">
        <f>VLOOKUP(C158,'Full Trial Balance'!$A$4:$G$2306,6,FALSE)</f>
        <v>0</v>
      </c>
      <c r="I158" s="486">
        <f>VLOOKUP(C158,'Full Trial Balance'!$A$4:$G$2306,7,FALSE)</f>
        <v>0</v>
      </c>
      <c r="J158" s="506"/>
      <c r="K158" s="265">
        <f t="shared" si="8"/>
        <v>0</v>
      </c>
    </row>
    <row r="159" spans="1:11" x14ac:dyDescent="0.25">
      <c r="A159" s="430" t="str">
        <f t="shared" si="6"/>
        <v>04</v>
      </c>
      <c r="B159" s="430" t="str">
        <f t="shared" si="7"/>
        <v>148-001</v>
      </c>
      <c r="C159" s="429" t="s">
        <v>1705</v>
      </c>
      <c r="D159" s="429" t="s">
        <v>1484</v>
      </c>
      <c r="E159" s="486">
        <f>VLOOKUP(C159,'Full Trial Balance'!$A$4:$G$2306,3,FALSE)</f>
        <v>0</v>
      </c>
      <c r="F159" s="486">
        <f>VLOOKUP(C159,'Full Trial Balance'!$A$4:$G$2306,4,FALSE)</f>
        <v>0</v>
      </c>
      <c r="G159" s="486">
        <f>VLOOKUP(C159,'Full Trial Balance'!$A$4:$G$2306,5,FALSE)</f>
        <v>0</v>
      </c>
      <c r="H159" s="486">
        <f>VLOOKUP(C159,'Full Trial Balance'!$A$4:$G$2306,6,FALSE)</f>
        <v>0</v>
      </c>
      <c r="I159" s="486">
        <f>VLOOKUP(C159,'Full Trial Balance'!$A$4:$G$2306,7,FALSE)</f>
        <v>0</v>
      </c>
      <c r="J159" s="506"/>
      <c r="K159" s="265">
        <f t="shared" si="8"/>
        <v>0</v>
      </c>
    </row>
    <row r="160" spans="1:11" x14ac:dyDescent="0.25">
      <c r="A160" s="430" t="str">
        <f t="shared" si="6"/>
        <v>04</v>
      </c>
      <c r="B160" s="430" t="str">
        <f t="shared" si="7"/>
        <v>150-001</v>
      </c>
      <c r="C160" s="429" t="s">
        <v>1706</v>
      </c>
      <c r="D160" s="429" t="s">
        <v>1486</v>
      </c>
      <c r="E160" s="486">
        <v>7763</v>
      </c>
      <c r="F160" s="486">
        <f>VLOOKUP(C160,'Full Trial Balance'!$A$4:$G$2306,4,FALSE)</f>
        <v>27324.69</v>
      </c>
      <c r="G160" s="486">
        <f>VLOOKUP(C160,'Full Trial Balance'!$A$4:$G$2306,5,FALSE)</f>
        <v>1136.45</v>
      </c>
      <c r="H160" s="486">
        <f>VLOOKUP(C160,'Full Trial Balance'!$A$4:$G$2306,6,FALSE)</f>
        <v>0</v>
      </c>
      <c r="I160" s="486">
        <f>VLOOKUP(C160,'Full Trial Balance'!$A$4:$G$2306,7,FALSE)</f>
        <v>28461.14</v>
      </c>
      <c r="J160" s="506"/>
      <c r="K160" s="265">
        <f t="shared" si="8"/>
        <v>1136.45</v>
      </c>
    </row>
    <row r="161" spans="1:11" x14ac:dyDescent="0.25">
      <c r="A161" s="430" t="str">
        <f t="shared" si="6"/>
        <v>04</v>
      </c>
      <c r="B161" s="430" t="str">
        <f t="shared" si="7"/>
        <v>150-003</v>
      </c>
      <c r="C161" s="429" t="s">
        <v>1707</v>
      </c>
      <c r="D161" s="429" t="s">
        <v>1488</v>
      </c>
      <c r="E161" s="486">
        <f>VLOOKUP(C161,'Full Trial Balance'!$A$4:$G$2306,3,FALSE)</f>
        <v>0</v>
      </c>
      <c r="F161" s="486">
        <f>VLOOKUP(C161,'Full Trial Balance'!$A$4:$G$2306,4,FALSE)</f>
        <v>2397.31</v>
      </c>
      <c r="G161" s="486">
        <f>VLOOKUP(C161,'Full Trial Balance'!$A$4:$G$2306,5,FALSE)</f>
        <v>0</v>
      </c>
      <c r="H161" s="486">
        <f>VLOOKUP(C161,'Full Trial Balance'!$A$4:$G$2306,6,FALSE)</f>
        <v>0</v>
      </c>
      <c r="I161" s="486">
        <f>VLOOKUP(C161,'Full Trial Balance'!$A$4:$G$2306,7,FALSE)</f>
        <v>2397.31</v>
      </c>
      <c r="J161" s="506"/>
      <c r="K161" s="265">
        <f t="shared" si="8"/>
        <v>0</v>
      </c>
    </row>
    <row r="162" spans="1:11" x14ac:dyDescent="0.25">
      <c r="A162" s="430" t="str">
        <f t="shared" si="6"/>
        <v>04</v>
      </c>
      <c r="B162" s="430" t="str">
        <f t="shared" si="7"/>
        <v>155-000</v>
      </c>
      <c r="C162" s="429" t="s">
        <v>1708</v>
      </c>
      <c r="D162" s="429" t="s">
        <v>1491</v>
      </c>
      <c r="E162" s="486">
        <f>VLOOKUP(C162,'Full Trial Balance'!$A$4:$G$2306,3,FALSE)</f>
        <v>0</v>
      </c>
      <c r="F162" s="486">
        <f>VLOOKUP(C162,'Full Trial Balance'!$A$4:$G$2306,4,FALSE)</f>
        <v>1278000</v>
      </c>
      <c r="G162" s="486">
        <f>VLOOKUP(C162,'Full Trial Balance'!$A$4:$G$2306,5,FALSE)</f>
        <v>0</v>
      </c>
      <c r="H162" s="486">
        <f>VLOOKUP(C162,'Full Trial Balance'!$A$4:$G$2306,6,FALSE)</f>
        <v>0</v>
      </c>
      <c r="I162" s="486">
        <f>VLOOKUP(C162,'Full Trial Balance'!$A$4:$G$2306,7,FALSE)</f>
        <v>1278000</v>
      </c>
      <c r="J162" s="506"/>
      <c r="K162" s="265">
        <f t="shared" si="8"/>
        <v>0</v>
      </c>
    </row>
    <row r="163" spans="1:11" x14ac:dyDescent="0.25">
      <c r="A163" s="430" t="str">
        <f t="shared" si="6"/>
        <v>04</v>
      </c>
      <c r="B163" s="430" t="str">
        <f t="shared" si="7"/>
        <v>155-001</v>
      </c>
      <c r="C163" s="429" t="s">
        <v>1709</v>
      </c>
      <c r="D163" s="429" t="s">
        <v>1493</v>
      </c>
      <c r="E163" s="486">
        <v>11000</v>
      </c>
      <c r="F163" s="486">
        <f>VLOOKUP(C163,'Full Trial Balance'!$A$4:$G$2306,4,FALSE)</f>
        <v>58766.68</v>
      </c>
      <c r="G163" s="486">
        <f>VLOOKUP(C163,'Full Trial Balance'!$A$4:$G$2306,5,FALSE)</f>
        <v>2243.77</v>
      </c>
      <c r="H163" s="486">
        <f>VLOOKUP(C163,'Full Trial Balance'!$A$4:$G$2306,6,FALSE)</f>
        <v>0</v>
      </c>
      <c r="I163" s="486">
        <f>VLOOKUP(C163,'Full Trial Balance'!$A$4:$G$2306,7,FALSE)</f>
        <v>61010.45</v>
      </c>
      <c r="K163" s="265">
        <f t="shared" si="8"/>
        <v>2243.77</v>
      </c>
    </row>
    <row r="164" spans="1:11" x14ac:dyDescent="0.25">
      <c r="A164" s="430" t="str">
        <f t="shared" si="6"/>
        <v>04</v>
      </c>
      <c r="B164" s="430" t="str">
        <f t="shared" si="7"/>
        <v>156-000</v>
      </c>
      <c r="C164" s="429" t="s">
        <v>1710</v>
      </c>
      <c r="D164" s="429" t="s">
        <v>1495</v>
      </c>
      <c r="E164" s="486">
        <f>VLOOKUP(C164,'Full Trial Balance'!$A$4:$G$2306,3,FALSE)</f>
        <v>0</v>
      </c>
      <c r="F164" s="486">
        <f>VLOOKUP(C164,'Full Trial Balance'!$A$4:$G$2306,4,FALSE)</f>
        <v>0</v>
      </c>
      <c r="G164" s="486">
        <f>VLOOKUP(C164,'Full Trial Balance'!$A$4:$G$2306,5,FALSE)</f>
        <v>0</v>
      </c>
      <c r="H164" s="486">
        <f>VLOOKUP(C164,'Full Trial Balance'!$A$4:$G$2306,6,FALSE)</f>
        <v>0</v>
      </c>
      <c r="I164" s="486">
        <f>VLOOKUP(C164,'Full Trial Balance'!$A$4:$G$2306,7,FALSE)</f>
        <v>0</v>
      </c>
      <c r="K164" s="265">
        <f t="shared" si="8"/>
        <v>0</v>
      </c>
    </row>
    <row r="165" spans="1:11" x14ac:dyDescent="0.25">
      <c r="A165" s="430" t="str">
        <f t="shared" si="6"/>
        <v>04</v>
      </c>
      <c r="B165" s="430" t="str">
        <f t="shared" si="7"/>
        <v>157-000</v>
      </c>
      <c r="C165" s="429" t="s">
        <v>1711</v>
      </c>
      <c r="D165" s="429" t="s">
        <v>1497</v>
      </c>
      <c r="E165" s="486">
        <v>21450</v>
      </c>
      <c r="F165" s="486">
        <f>VLOOKUP(C165,'Full Trial Balance'!$A$4:$G$2306,4,FALSE)</f>
        <v>238505.11</v>
      </c>
      <c r="G165" s="486">
        <f>VLOOKUP(C165,'Full Trial Balance'!$A$4:$G$2306,5,FALSE)</f>
        <v>0</v>
      </c>
      <c r="H165" s="486">
        <f>VLOOKUP(C165,'Full Trial Balance'!$A$4:$G$2306,6,FALSE)</f>
        <v>0</v>
      </c>
      <c r="I165" s="486">
        <f>VLOOKUP(C165,'Full Trial Balance'!$A$4:$G$2306,7,FALSE)</f>
        <v>238505.11</v>
      </c>
      <c r="J165" s="506"/>
      <c r="K165" s="265">
        <f t="shared" si="8"/>
        <v>0</v>
      </c>
    </row>
    <row r="166" spans="1:11" x14ac:dyDescent="0.25">
      <c r="A166" s="430" t="str">
        <f t="shared" si="6"/>
        <v>04</v>
      </c>
      <c r="B166" s="430" t="str">
        <f t="shared" si="7"/>
        <v>159-000</v>
      </c>
      <c r="C166" s="429" t="s">
        <v>1712</v>
      </c>
      <c r="D166" s="429" t="s">
        <v>1499</v>
      </c>
      <c r="E166" s="486">
        <f>VLOOKUP(C166,'Full Trial Balance'!$A$4:$G$2306,3,FALSE)</f>
        <v>0</v>
      </c>
      <c r="F166" s="486">
        <f>VLOOKUP(C166,'Full Trial Balance'!$A$4:$G$2306,4,FALSE)</f>
        <v>669629.28</v>
      </c>
      <c r="G166" s="486">
        <f>VLOOKUP(C166,'Full Trial Balance'!$A$4:$G$2306,5,FALSE)</f>
        <v>0</v>
      </c>
      <c r="H166" s="486">
        <f>VLOOKUP(C166,'Full Trial Balance'!$A$4:$G$2306,6,FALSE)</f>
        <v>0</v>
      </c>
      <c r="I166" s="486">
        <f>VLOOKUP(C166,'Full Trial Balance'!$A$4:$G$2306,7,FALSE)</f>
        <v>669629.28</v>
      </c>
      <c r="J166" s="260"/>
      <c r="K166" s="265">
        <f t="shared" si="8"/>
        <v>0</v>
      </c>
    </row>
    <row r="167" spans="1:11" x14ac:dyDescent="0.25">
      <c r="A167" s="430" t="str">
        <f t="shared" si="6"/>
        <v>04</v>
      </c>
      <c r="B167" s="430" t="str">
        <f t="shared" si="7"/>
        <v>160-005</v>
      </c>
      <c r="C167" s="429" t="s">
        <v>1713</v>
      </c>
      <c r="D167" s="429" t="s">
        <v>1714</v>
      </c>
      <c r="E167" s="486">
        <f>VLOOKUP(C167,'Full Trial Balance'!$A$4:$G$2306,3,FALSE)</f>
        <v>0</v>
      </c>
      <c r="F167" s="486">
        <f>VLOOKUP(C167,'Full Trial Balance'!$A$4:$G$2306,4,FALSE)</f>
        <v>126469.55</v>
      </c>
      <c r="G167" s="486">
        <f>VLOOKUP(C167,'Full Trial Balance'!$A$4:$G$2306,5,FALSE)</f>
        <v>0</v>
      </c>
      <c r="H167" s="486">
        <f>VLOOKUP(C167,'Full Trial Balance'!$A$4:$G$2306,6,FALSE)</f>
        <v>0</v>
      </c>
      <c r="I167" s="486">
        <f>VLOOKUP(C167,'Full Trial Balance'!$A$4:$G$2306,7,FALSE)</f>
        <v>126469.55</v>
      </c>
      <c r="J167" s="506"/>
      <c r="K167" s="265">
        <f t="shared" si="8"/>
        <v>0</v>
      </c>
    </row>
    <row r="168" spans="1:11" x14ac:dyDescent="0.25">
      <c r="A168" s="430" t="str">
        <f t="shared" si="6"/>
        <v>04</v>
      </c>
      <c r="B168" s="430" t="str">
        <f t="shared" si="7"/>
        <v>160-010</v>
      </c>
      <c r="C168" s="429" t="s">
        <v>1715</v>
      </c>
      <c r="D168" s="429" t="s">
        <v>1716</v>
      </c>
      <c r="E168" s="486">
        <f>VLOOKUP(C168,'Full Trial Balance'!$A$4:$G$2306,3,FALSE)</f>
        <v>0</v>
      </c>
      <c r="F168" s="486">
        <f>VLOOKUP(C168,'Full Trial Balance'!$A$4:$G$2306,4,FALSE)</f>
        <v>590000</v>
      </c>
      <c r="G168" s="486">
        <f>VLOOKUP(C168,'Full Trial Balance'!$A$4:$G$2306,5,FALSE)</f>
        <v>0</v>
      </c>
      <c r="H168" s="486">
        <f>VLOOKUP(C168,'Full Trial Balance'!$A$4:$G$2306,6,FALSE)</f>
        <v>0</v>
      </c>
      <c r="I168" s="486">
        <f>VLOOKUP(C168,'Full Trial Balance'!$A$4:$G$2306,7,FALSE)</f>
        <v>590000</v>
      </c>
      <c r="K168" s="265">
        <f t="shared" si="8"/>
        <v>0</v>
      </c>
    </row>
    <row r="169" spans="1:11" x14ac:dyDescent="0.25">
      <c r="A169" s="430" t="str">
        <f t="shared" si="6"/>
        <v>04</v>
      </c>
      <c r="B169" s="430" t="str">
        <f t="shared" si="7"/>
        <v>160-015</v>
      </c>
      <c r="C169" s="429" t="s">
        <v>1717</v>
      </c>
      <c r="D169" s="429" t="s">
        <v>1718</v>
      </c>
      <c r="E169" s="486">
        <f>VLOOKUP(C169,'Full Trial Balance'!$A$4:$G$2306,3,FALSE)</f>
        <v>0</v>
      </c>
      <c r="F169" s="486">
        <f>VLOOKUP(C169,'Full Trial Balance'!$A$4:$G$2306,4,FALSE)</f>
        <v>1294062.26</v>
      </c>
      <c r="G169" s="486">
        <f>VLOOKUP(C169,'Full Trial Balance'!$A$4:$G$2306,5,FALSE)</f>
        <v>0</v>
      </c>
      <c r="H169" s="486">
        <f>VLOOKUP(C169,'Full Trial Balance'!$A$4:$G$2306,6,FALSE)</f>
        <v>0</v>
      </c>
      <c r="I169" s="486">
        <f>VLOOKUP(C169,'Full Trial Balance'!$A$4:$G$2306,7,FALSE)</f>
        <v>1294062.26</v>
      </c>
      <c r="K169" s="265">
        <f t="shared" si="8"/>
        <v>0</v>
      </c>
    </row>
    <row r="170" spans="1:11" x14ac:dyDescent="0.25">
      <c r="A170" s="430" t="str">
        <f t="shared" si="6"/>
        <v>04</v>
      </c>
      <c r="B170" s="430" t="str">
        <f t="shared" si="7"/>
        <v>160-020</v>
      </c>
      <c r="C170" s="429" t="s">
        <v>1719</v>
      </c>
      <c r="D170" s="429" t="s">
        <v>1720</v>
      </c>
      <c r="E170" s="486">
        <f>VLOOKUP(C170,'Full Trial Balance'!$A$4:$G$2306,3,FALSE)</f>
        <v>0</v>
      </c>
      <c r="F170" s="486">
        <f>VLOOKUP(C170,'Full Trial Balance'!$A$4:$G$2306,4,FALSE)</f>
        <v>0</v>
      </c>
      <c r="G170" s="486">
        <f>VLOOKUP(C170,'Full Trial Balance'!$A$4:$G$2306,5,FALSE)</f>
        <v>0</v>
      </c>
      <c r="H170" s="486">
        <f>VLOOKUP(C170,'Full Trial Balance'!$A$4:$G$2306,6,FALSE)</f>
        <v>0</v>
      </c>
      <c r="I170" s="486">
        <f>VLOOKUP(C170,'Full Trial Balance'!$A$4:$G$2306,7,FALSE)</f>
        <v>0</v>
      </c>
      <c r="K170" s="265">
        <f t="shared" si="8"/>
        <v>0</v>
      </c>
    </row>
    <row r="171" spans="1:11" x14ac:dyDescent="0.25">
      <c r="A171" s="430" t="str">
        <f t="shared" si="6"/>
        <v>04</v>
      </c>
      <c r="B171" s="430" t="str">
        <f t="shared" si="7"/>
        <v>160-025</v>
      </c>
      <c r="C171" s="429" t="s">
        <v>1721</v>
      </c>
      <c r="D171" s="429" t="s">
        <v>1722</v>
      </c>
      <c r="E171" s="486">
        <f>VLOOKUP(C171,'Full Trial Balance'!$A$4:$G$2306,3,FALSE)</f>
        <v>0</v>
      </c>
      <c r="F171" s="486">
        <f>VLOOKUP(C171,'Full Trial Balance'!$A$4:$G$2306,4,FALSE)</f>
        <v>0</v>
      </c>
      <c r="G171" s="486">
        <f>VLOOKUP(C171,'Full Trial Balance'!$A$4:$G$2306,5,FALSE)</f>
        <v>0</v>
      </c>
      <c r="H171" s="486">
        <f>VLOOKUP(C171,'Full Trial Balance'!$A$4:$G$2306,6,FALSE)</f>
        <v>0</v>
      </c>
      <c r="I171" s="486">
        <f>VLOOKUP(C171,'Full Trial Balance'!$A$4:$G$2306,7,FALSE)</f>
        <v>0</v>
      </c>
      <c r="J171" s="260"/>
      <c r="K171" s="265">
        <f t="shared" si="8"/>
        <v>0</v>
      </c>
    </row>
    <row r="172" spans="1:11" x14ac:dyDescent="0.25">
      <c r="A172" s="430" t="str">
        <f t="shared" si="6"/>
        <v>04</v>
      </c>
      <c r="B172" s="430" t="str">
        <f t="shared" si="7"/>
        <v>160-026</v>
      </c>
      <c r="C172" s="429" t="s">
        <v>1723</v>
      </c>
      <c r="D172" s="429" t="s">
        <v>1724</v>
      </c>
      <c r="E172" s="486">
        <f>VLOOKUP(C172,'Full Trial Balance'!$A$4:$G$2306,3,FALSE)</f>
        <v>0</v>
      </c>
      <c r="F172" s="486">
        <f>VLOOKUP(C172,'Full Trial Balance'!$A$4:$G$2306,4,FALSE)</f>
        <v>0</v>
      </c>
      <c r="G172" s="486">
        <f>VLOOKUP(C172,'Full Trial Balance'!$A$4:$G$2306,5,FALSE)</f>
        <v>0</v>
      </c>
      <c r="H172" s="486">
        <f>VLOOKUP(C172,'Full Trial Balance'!$A$4:$G$2306,6,FALSE)</f>
        <v>0</v>
      </c>
      <c r="I172" s="486">
        <f>VLOOKUP(C172,'Full Trial Balance'!$A$4:$G$2306,7,FALSE)</f>
        <v>0</v>
      </c>
      <c r="J172" s="260"/>
      <c r="K172" s="265">
        <f t="shared" si="8"/>
        <v>0</v>
      </c>
    </row>
    <row r="173" spans="1:11" x14ac:dyDescent="0.25">
      <c r="A173" s="430" t="str">
        <f t="shared" si="6"/>
        <v>04</v>
      </c>
      <c r="B173" s="430" t="str">
        <f t="shared" si="7"/>
        <v>160-027</v>
      </c>
      <c r="C173" s="429" t="s">
        <v>1725</v>
      </c>
      <c r="D173" s="429" t="s">
        <v>1726</v>
      </c>
      <c r="E173" s="486">
        <v>287902</v>
      </c>
      <c r="F173" s="486">
        <f>VLOOKUP(C173,'Full Trial Balance'!$A$4:$G$2306,4,FALSE)</f>
        <v>0</v>
      </c>
      <c r="G173" s="486">
        <f>VLOOKUP(C173,'Full Trial Balance'!$A$4:$G$2306,5,FALSE)</f>
        <v>3275.61</v>
      </c>
      <c r="H173" s="486">
        <f>VLOOKUP(C173,'Full Trial Balance'!$A$4:$G$2306,6,FALSE)</f>
        <v>0</v>
      </c>
      <c r="I173" s="486">
        <f>VLOOKUP(C173,'Full Trial Balance'!$A$4:$G$2306,7,FALSE)</f>
        <v>3275.61</v>
      </c>
      <c r="J173" s="260"/>
      <c r="K173" s="265">
        <f t="shared" si="8"/>
        <v>3275.61</v>
      </c>
    </row>
    <row r="174" spans="1:11" x14ac:dyDescent="0.25">
      <c r="A174" s="430" t="str">
        <f t="shared" si="6"/>
        <v>04</v>
      </c>
      <c r="B174" s="430" t="str">
        <f t="shared" si="7"/>
        <v>160-030</v>
      </c>
      <c r="C174" s="429" t="s">
        <v>1727</v>
      </c>
      <c r="D174" s="429" t="s">
        <v>1728</v>
      </c>
      <c r="E174" s="486">
        <f>VLOOKUP(C174,'Full Trial Balance'!$A$4:$G$2306,3,FALSE)</f>
        <v>0</v>
      </c>
      <c r="F174" s="486">
        <f>VLOOKUP(C174,'Full Trial Balance'!$A$4:$G$2306,4,FALSE)</f>
        <v>70083.13</v>
      </c>
      <c r="G174" s="486">
        <f>VLOOKUP(C174,'Full Trial Balance'!$A$4:$G$2306,5,FALSE)</f>
        <v>0</v>
      </c>
      <c r="H174" s="486">
        <f>VLOOKUP(C174,'Full Trial Balance'!$A$4:$G$2306,6,FALSE)</f>
        <v>0</v>
      </c>
      <c r="I174" s="486">
        <f>VLOOKUP(C174,'Full Trial Balance'!$A$4:$G$2306,7,FALSE)</f>
        <v>70083.13</v>
      </c>
      <c r="J174" s="260"/>
      <c r="K174" s="265">
        <f t="shared" si="8"/>
        <v>0</v>
      </c>
    </row>
    <row r="175" spans="1:11" x14ac:dyDescent="0.25">
      <c r="A175" s="430" t="str">
        <f t="shared" si="6"/>
        <v>04</v>
      </c>
      <c r="B175" s="430" t="str">
        <f t="shared" si="7"/>
        <v>160-033</v>
      </c>
      <c r="C175" s="509" t="s">
        <v>3458</v>
      </c>
      <c r="D175" s="509" t="s">
        <v>3459</v>
      </c>
      <c r="E175" s="486">
        <v>28000</v>
      </c>
      <c r="F175" s="486">
        <f>VLOOKUP(C175,'Full Trial Balance'!$A$4:$G$2306,4,FALSE)</f>
        <v>0</v>
      </c>
      <c r="G175" s="486">
        <f>VLOOKUP(C175,'Full Trial Balance'!$A$4:$G$2306,5,FALSE)</f>
        <v>0</v>
      </c>
      <c r="H175" s="486">
        <f>VLOOKUP(C175,'Full Trial Balance'!$A$4:$G$2306,6,FALSE)</f>
        <v>0</v>
      </c>
      <c r="I175" s="486">
        <f>VLOOKUP(C175,'Full Trial Balance'!$A$4:$G$2306,7,FALSE)</f>
        <v>0</v>
      </c>
      <c r="J175" s="260"/>
      <c r="K175" s="265">
        <f t="shared" si="8"/>
        <v>0</v>
      </c>
    </row>
    <row r="176" spans="1:11" x14ac:dyDescent="0.25">
      <c r="A176" s="430" t="str">
        <f t="shared" si="6"/>
        <v>04</v>
      </c>
      <c r="B176" s="430" t="str">
        <f t="shared" si="7"/>
        <v>160-045</v>
      </c>
      <c r="C176" s="429" t="s">
        <v>1729</v>
      </c>
      <c r="D176" s="429" t="s">
        <v>2845</v>
      </c>
      <c r="E176" s="486">
        <f>VLOOKUP(C176,'Full Trial Balance'!$A$4:$G$2306,3,FALSE)</f>
        <v>0</v>
      </c>
      <c r="F176" s="486">
        <f>VLOOKUP(C176,'Full Trial Balance'!$A$4:$G$2306,4,FALSE)</f>
        <v>0</v>
      </c>
      <c r="G176" s="486">
        <f>VLOOKUP(C176,'Full Trial Balance'!$A$4:$G$2306,5,FALSE)</f>
        <v>711</v>
      </c>
      <c r="H176" s="486">
        <f>VLOOKUP(C176,'Full Trial Balance'!$A$4:$G$2306,6,FALSE)</f>
        <v>0</v>
      </c>
      <c r="I176" s="486">
        <f>VLOOKUP(C176,'Full Trial Balance'!$A$4:$G$2306,7,FALSE)</f>
        <v>711</v>
      </c>
      <c r="K176" s="265">
        <f t="shared" si="8"/>
        <v>711</v>
      </c>
    </row>
    <row r="177" spans="1:11" x14ac:dyDescent="0.25">
      <c r="A177" s="430" t="str">
        <f t="shared" si="6"/>
        <v>04</v>
      </c>
      <c r="B177" s="430" t="str">
        <f t="shared" si="7"/>
        <v>160-307</v>
      </c>
      <c r="C177" s="429" t="s">
        <v>1730</v>
      </c>
      <c r="D177" s="429" t="s">
        <v>1641</v>
      </c>
      <c r="E177" s="486">
        <f>VLOOKUP(C177,'Full Trial Balance'!$A$4:$G$2306,3,FALSE)</f>
        <v>0</v>
      </c>
      <c r="F177" s="486">
        <f>VLOOKUP(C177,'Full Trial Balance'!$A$4:$G$2306,4,FALSE)</f>
        <v>207615.5</v>
      </c>
      <c r="G177" s="486">
        <f>VLOOKUP(C177,'Full Trial Balance'!$A$4:$G$2306,5,FALSE)</f>
        <v>0</v>
      </c>
      <c r="H177" s="486">
        <f>VLOOKUP(C177,'Full Trial Balance'!$A$4:$G$2306,6,FALSE)</f>
        <v>0</v>
      </c>
      <c r="I177" s="486">
        <f>VLOOKUP(C177,'Full Trial Balance'!$A$4:$G$2306,7,FALSE)</f>
        <v>207615.5</v>
      </c>
      <c r="K177" s="265">
        <f t="shared" si="8"/>
        <v>0</v>
      </c>
    </row>
    <row r="178" spans="1:11" x14ac:dyDescent="0.25">
      <c r="A178" s="430" t="str">
        <f t="shared" si="6"/>
        <v>04</v>
      </c>
      <c r="B178" s="430" t="str">
        <f t="shared" si="7"/>
        <v>160-309</v>
      </c>
      <c r="C178" s="429" t="s">
        <v>1731</v>
      </c>
      <c r="D178" s="429" t="s">
        <v>1643</v>
      </c>
      <c r="E178" s="486">
        <f>VLOOKUP(C178,'Full Trial Balance'!$A$4:$G$2306,3,FALSE)</f>
        <v>0</v>
      </c>
      <c r="F178" s="486">
        <f>VLOOKUP(C178,'Full Trial Balance'!$A$4:$G$2306,4,FALSE)</f>
        <v>0</v>
      </c>
      <c r="G178" s="486">
        <f>VLOOKUP(C178,'Full Trial Balance'!$A$4:$G$2306,5,FALSE)</f>
        <v>0</v>
      </c>
      <c r="H178" s="486">
        <f>VLOOKUP(C178,'Full Trial Balance'!$A$4:$G$2306,6,FALSE)</f>
        <v>0</v>
      </c>
      <c r="I178" s="486">
        <f>VLOOKUP(C178,'Full Trial Balance'!$A$4:$G$2306,7,FALSE)</f>
        <v>0</v>
      </c>
      <c r="K178" s="265">
        <f t="shared" si="8"/>
        <v>0</v>
      </c>
    </row>
    <row r="179" spans="1:11" x14ac:dyDescent="0.25">
      <c r="A179" s="430" t="str">
        <f t="shared" si="6"/>
        <v>04</v>
      </c>
      <c r="B179" s="430" t="str">
        <f t="shared" si="7"/>
        <v>160-401</v>
      </c>
      <c r="C179" s="429" t="s">
        <v>1732</v>
      </c>
      <c r="D179" s="429" t="s">
        <v>1733</v>
      </c>
      <c r="E179" s="486">
        <f>VLOOKUP(C179,'Full Trial Balance'!$A$4:$G$2306,3,FALSE)</f>
        <v>0</v>
      </c>
      <c r="F179" s="486">
        <f>VLOOKUP(C179,'Full Trial Balance'!$A$4:$G$2306,4,FALSE)</f>
        <v>0</v>
      </c>
      <c r="G179" s="486">
        <f>VLOOKUP(C179,'Full Trial Balance'!$A$4:$G$2306,5,FALSE)</f>
        <v>0</v>
      </c>
      <c r="H179" s="486">
        <f>VLOOKUP(C179,'Full Trial Balance'!$A$4:$G$2306,6,FALSE)</f>
        <v>0</v>
      </c>
      <c r="I179" s="486">
        <f>VLOOKUP(C179,'Full Trial Balance'!$A$4:$G$2306,7,FALSE)</f>
        <v>0</v>
      </c>
      <c r="K179" s="265">
        <f t="shared" si="8"/>
        <v>0</v>
      </c>
    </row>
    <row r="180" spans="1:11" x14ac:dyDescent="0.25">
      <c r="A180" s="430" t="str">
        <f t="shared" si="6"/>
        <v>04</v>
      </c>
      <c r="B180" s="430" t="str">
        <f t="shared" si="7"/>
        <v>160-402</v>
      </c>
      <c r="C180" s="429" t="s">
        <v>1734</v>
      </c>
      <c r="D180" s="429" t="s">
        <v>1531</v>
      </c>
      <c r="E180" s="486">
        <v>11550</v>
      </c>
      <c r="F180" s="486">
        <f>VLOOKUP(C180,'Full Trial Balance'!$A$4:$G$2306,4,FALSE)</f>
        <v>222854.39</v>
      </c>
      <c r="G180" s="486">
        <f>VLOOKUP(C180,'Full Trial Balance'!$A$4:$G$2306,5,FALSE)</f>
        <v>0</v>
      </c>
      <c r="H180" s="486">
        <f>VLOOKUP(C180,'Full Trial Balance'!$A$4:$G$2306,6,FALSE)</f>
        <v>0</v>
      </c>
      <c r="I180" s="486">
        <f>VLOOKUP(C180,'Full Trial Balance'!$A$4:$G$2306,7,FALSE)</f>
        <v>222854.39</v>
      </c>
      <c r="J180" s="260"/>
      <c r="K180" s="265">
        <f t="shared" si="8"/>
        <v>0</v>
      </c>
    </row>
    <row r="181" spans="1:11" x14ac:dyDescent="0.25">
      <c r="A181" s="430" t="str">
        <f t="shared" si="6"/>
        <v>04</v>
      </c>
      <c r="B181" s="430" t="str">
        <f t="shared" si="7"/>
        <v>160-403</v>
      </c>
      <c r="C181" s="429" t="s">
        <v>1735</v>
      </c>
      <c r="D181" s="429" t="s">
        <v>1736</v>
      </c>
      <c r="E181" s="486">
        <f>VLOOKUP(C181,'Full Trial Balance'!$A$4:$G$2306,3,FALSE)</f>
        <v>0</v>
      </c>
      <c r="F181" s="486">
        <f>VLOOKUP(C181,'Full Trial Balance'!$A$4:$G$2306,4,FALSE)</f>
        <v>2310593.77</v>
      </c>
      <c r="G181" s="486">
        <f>VLOOKUP(C181,'Full Trial Balance'!$A$4:$G$2306,5,FALSE)</f>
        <v>0</v>
      </c>
      <c r="H181" s="486">
        <f>VLOOKUP(C181,'Full Trial Balance'!$A$4:$G$2306,6,FALSE)</f>
        <v>0</v>
      </c>
      <c r="I181" s="486">
        <f>VLOOKUP(C181,'Full Trial Balance'!$A$4:$G$2306,7,FALSE)</f>
        <v>2310593.77</v>
      </c>
      <c r="K181" s="265">
        <f t="shared" si="8"/>
        <v>0</v>
      </c>
    </row>
    <row r="182" spans="1:11" x14ac:dyDescent="0.25">
      <c r="A182" s="430" t="str">
        <f t="shared" si="6"/>
        <v>04</v>
      </c>
      <c r="B182" s="430" t="str">
        <f t="shared" si="7"/>
        <v>160-410</v>
      </c>
      <c r="C182" s="429" t="s">
        <v>1737</v>
      </c>
      <c r="D182" s="429" t="s">
        <v>1537</v>
      </c>
      <c r="E182" s="486">
        <f>VLOOKUP(C182,'Full Trial Balance'!$A$4:$G$2306,3,FALSE)</f>
        <v>0</v>
      </c>
      <c r="F182" s="486">
        <f>VLOOKUP(C182,'Full Trial Balance'!$A$4:$G$2306,4,FALSE)</f>
        <v>38675.440000000002</v>
      </c>
      <c r="G182" s="486">
        <f>VLOOKUP(C182,'Full Trial Balance'!$A$4:$G$2306,5,FALSE)</f>
        <v>0</v>
      </c>
      <c r="H182" s="486">
        <f>VLOOKUP(C182,'Full Trial Balance'!$A$4:$G$2306,6,FALSE)</f>
        <v>0</v>
      </c>
      <c r="I182" s="486">
        <f>VLOOKUP(C182,'Full Trial Balance'!$A$4:$G$2306,7,FALSE)</f>
        <v>38675.440000000002</v>
      </c>
      <c r="K182" s="265">
        <f t="shared" si="8"/>
        <v>0</v>
      </c>
    </row>
    <row r="183" spans="1:11" x14ac:dyDescent="0.25">
      <c r="A183" s="430" t="str">
        <f t="shared" si="6"/>
        <v>04</v>
      </c>
      <c r="B183" s="430" t="str">
        <f t="shared" si="7"/>
        <v>160-415</v>
      </c>
      <c r="C183" s="429" t="s">
        <v>1738</v>
      </c>
      <c r="D183" s="429" t="s">
        <v>1539</v>
      </c>
      <c r="E183" s="486">
        <v>2255</v>
      </c>
      <c r="F183" s="486">
        <f>VLOOKUP(C183,'Full Trial Balance'!$A$4:$G$2306,4,FALSE)</f>
        <v>0</v>
      </c>
      <c r="G183" s="486">
        <f>VLOOKUP(C183,'Full Trial Balance'!$A$4:$G$2306,5,FALSE)</f>
        <v>0</v>
      </c>
      <c r="H183" s="486">
        <f>VLOOKUP(C183,'Full Trial Balance'!$A$4:$G$2306,6,FALSE)</f>
        <v>0</v>
      </c>
      <c r="I183" s="486">
        <f>VLOOKUP(C183,'Full Trial Balance'!$A$4:$G$2306,7,FALSE)</f>
        <v>0</v>
      </c>
      <c r="J183" s="260"/>
      <c r="K183" s="265">
        <f t="shared" si="8"/>
        <v>0</v>
      </c>
    </row>
    <row r="184" spans="1:11" x14ac:dyDescent="0.25">
      <c r="A184" s="430" t="str">
        <f t="shared" si="6"/>
        <v>04</v>
      </c>
      <c r="B184" s="430" t="str">
        <f t="shared" si="7"/>
        <v>160-810</v>
      </c>
      <c r="C184" s="429" t="s">
        <v>1739</v>
      </c>
      <c r="D184" s="429" t="s">
        <v>1543</v>
      </c>
      <c r="E184" s="486">
        <f>VLOOKUP(C184,'Full Trial Balance'!$A$4:$G$2306,3,FALSE)</f>
        <v>0</v>
      </c>
      <c r="F184" s="486">
        <f>VLOOKUP(C184,'Full Trial Balance'!$A$4:$G$2306,4,FALSE)</f>
        <v>0</v>
      </c>
      <c r="G184" s="486">
        <f>VLOOKUP(C184,'Full Trial Balance'!$A$4:$G$2306,5,FALSE)</f>
        <v>0</v>
      </c>
      <c r="H184" s="486">
        <f>VLOOKUP(C184,'Full Trial Balance'!$A$4:$G$2306,6,FALSE)</f>
        <v>0</v>
      </c>
      <c r="I184" s="486">
        <f>VLOOKUP(C184,'Full Trial Balance'!$A$4:$G$2306,7,FALSE)</f>
        <v>0</v>
      </c>
      <c r="K184" s="265">
        <f t="shared" si="8"/>
        <v>0</v>
      </c>
    </row>
    <row r="185" spans="1:11" x14ac:dyDescent="0.25">
      <c r="A185" s="430" t="str">
        <f t="shared" si="6"/>
        <v>04</v>
      </c>
      <c r="B185" s="430" t="str">
        <f t="shared" si="7"/>
        <v>163-000</v>
      </c>
      <c r="C185" s="429" t="s">
        <v>1740</v>
      </c>
      <c r="D185" s="429" t="s">
        <v>1545</v>
      </c>
      <c r="E185" s="486">
        <f>VLOOKUP(C185,'Full Trial Balance'!$A$4:$G$2306,3,FALSE)</f>
        <v>0</v>
      </c>
      <c r="F185" s="486">
        <f>VLOOKUP(C185,'Full Trial Balance'!$A$4:$G$2306,4,FALSE)</f>
        <v>49613.2</v>
      </c>
      <c r="G185" s="486">
        <f>VLOOKUP(C185,'Full Trial Balance'!$A$4:$G$2306,5,FALSE)</f>
        <v>0</v>
      </c>
      <c r="H185" s="486">
        <f>VLOOKUP(C185,'Full Trial Balance'!$A$4:$G$2306,6,FALSE)</f>
        <v>0</v>
      </c>
      <c r="I185" s="486">
        <f>VLOOKUP(C185,'Full Trial Balance'!$A$4:$G$2306,7,FALSE)</f>
        <v>49613.2</v>
      </c>
      <c r="K185" s="265">
        <f t="shared" si="8"/>
        <v>0</v>
      </c>
    </row>
    <row r="186" spans="1:11" x14ac:dyDescent="0.25">
      <c r="A186" s="430" t="str">
        <f t="shared" si="6"/>
        <v>04</v>
      </c>
      <c r="B186" s="430" t="str">
        <f t="shared" si="7"/>
        <v>163-050</v>
      </c>
      <c r="C186" s="429" t="s">
        <v>1741</v>
      </c>
      <c r="D186" s="429" t="s">
        <v>1547</v>
      </c>
      <c r="E186" s="486">
        <f>VLOOKUP(C186,'Full Trial Balance'!$A$4:$G$2306,3,FALSE)</f>
        <v>0</v>
      </c>
      <c r="F186" s="486">
        <f>VLOOKUP(C186,'Full Trial Balance'!$A$4:$G$2306,4,FALSE)</f>
        <v>420860.89</v>
      </c>
      <c r="G186" s="486">
        <f>VLOOKUP(C186,'Full Trial Balance'!$A$4:$G$2306,5,FALSE)</f>
        <v>630.07000000000005</v>
      </c>
      <c r="H186" s="486">
        <f>VLOOKUP(C186,'Full Trial Balance'!$A$4:$G$2306,6,FALSE)</f>
        <v>630.07000000000005</v>
      </c>
      <c r="I186" s="486">
        <f>VLOOKUP(C186,'Full Trial Balance'!$A$4:$G$2306,7,FALSE)</f>
        <v>420860.89</v>
      </c>
      <c r="K186" s="265">
        <f t="shared" si="8"/>
        <v>0</v>
      </c>
    </row>
    <row r="187" spans="1:11" x14ac:dyDescent="0.25">
      <c r="A187" s="430" t="str">
        <f t="shared" si="6"/>
        <v>04</v>
      </c>
      <c r="B187" s="430" t="str">
        <f t="shared" si="7"/>
        <v>163-060</v>
      </c>
      <c r="C187" s="429" t="s">
        <v>1742</v>
      </c>
      <c r="D187" s="429" t="s">
        <v>3450</v>
      </c>
      <c r="E187" s="486">
        <v>316736</v>
      </c>
      <c r="F187" s="486">
        <f>VLOOKUP(C187,'Full Trial Balance'!$A$4:$G$2306,4,FALSE)</f>
        <v>0</v>
      </c>
      <c r="G187" s="486">
        <f>VLOOKUP(C187,'Full Trial Balance'!$A$4:$G$2306,5,FALSE)</f>
        <v>6843.42</v>
      </c>
      <c r="H187" s="486">
        <f>VLOOKUP(C187,'Full Trial Balance'!$A$4:$G$2306,6,FALSE)</f>
        <v>0</v>
      </c>
      <c r="I187" s="486">
        <f>VLOOKUP(C187,'Full Trial Balance'!$A$4:$G$2306,7,FALSE)</f>
        <v>6843.42</v>
      </c>
      <c r="J187" s="260"/>
      <c r="K187" s="265">
        <f t="shared" si="8"/>
        <v>6843.42</v>
      </c>
    </row>
    <row r="188" spans="1:11" x14ac:dyDescent="0.25">
      <c r="A188" s="430" t="str">
        <f t="shared" si="6"/>
        <v>04</v>
      </c>
      <c r="B188" s="430" t="str">
        <f t="shared" si="7"/>
        <v>170-000</v>
      </c>
      <c r="C188" s="429" t="s">
        <v>1743</v>
      </c>
      <c r="D188" s="429" t="s">
        <v>1606</v>
      </c>
      <c r="E188" s="486">
        <f>VLOOKUP(C188,'Full Trial Balance'!$A$4:$G$2306,3,FALSE)</f>
        <v>0</v>
      </c>
      <c r="F188" s="486">
        <f>VLOOKUP(C188,'Full Trial Balance'!$A$4:$G$2306,4,FALSE)</f>
        <v>0</v>
      </c>
      <c r="G188" s="486">
        <f>VLOOKUP(C188,'Full Trial Balance'!$A$4:$G$2306,5,FALSE)</f>
        <v>0</v>
      </c>
      <c r="H188" s="486">
        <f>VLOOKUP(C188,'Full Trial Balance'!$A$4:$G$2306,6,FALSE)</f>
        <v>0</v>
      </c>
      <c r="I188" s="486">
        <f>VLOOKUP(C188,'Full Trial Balance'!$A$4:$G$2306,7,FALSE)</f>
        <v>0</v>
      </c>
      <c r="K188" s="265">
        <f t="shared" si="8"/>
        <v>0</v>
      </c>
    </row>
    <row r="189" spans="1:11" x14ac:dyDescent="0.25">
      <c r="A189" s="430" t="str">
        <f t="shared" si="6"/>
        <v>04</v>
      </c>
      <c r="B189" s="430" t="str">
        <f t="shared" si="7"/>
        <v>191-000</v>
      </c>
      <c r="C189" s="429" t="s">
        <v>1744</v>
      </c>
      <c r="D189" s="429" t="s">
        <v>1611</v>
      </c>
      <c r="E189" s="486">
        <f>VLOOKUP(C189,'Full Trial Balance'!$A$4:$G$2306,3,FALSE)</f>
        <v>0</v>
      </c>
      <c r="F189" s="486">
        <f>VLOOKUP(C189,'Full Trial Balance'!$A$4:$G$2306,4,FALSE)</f>
        <v>330122.75</v>
      </c>
      <c r="G189" s="486">
        <f>VLOOKUP(C189,'Full Trial Balance'!$A$4:$G$2306,5,FALSE)</f>
        <v>0</v>
      </c>
      <c r="H189" s="486">
        <f>VLOOKUP(C189,'Full Trial Balance'!$A$4:$G$2306,6,FALSE)</f>
        <v>0</v>
      </c>
      <c r="I189" s="486">
        <f>VLOOKUP(C189,'Full Trial Balance'!$A$4:$G$2306,7,FALSE)</f>
        <v>330122.75</v>
      </c>
      <c r="K189" s="265">
        <f t="shared" si="8"/>
        <v>0</v>
      </c>
    </row>
    <row r="190" spans="1:11" x14ac:dyDescent="0.25">
      <c r="A190" s="430" t="str">
        <f t="shared" si="6"/>
        <v>04</v>
      </c>
      <c r="B190" s="430" t="str">
        <f t="shared" si="7"/>
        <v>195-000</v>
      </c>
      <c r="C190" s="429" t="s">
        <v>1745</v>
      </c>
      <c r="D190" s="429" t="s">
        <v>1560</v>
      </c>
      <c r="E190" s="486">
        <f>VLOOKUP(C190,'Full Trial Balance'!$A$4:$G$2306,3,FALSE)</f>
        <v>0</v>
      </c>
      <c r="F190" s="486">
        <f>VLOOKUP(C190,'Full Trial Balance'!$A$4:$G$2306,4,FALSE)</f>
        <v>0</v>
      </c>
      <c r="G190" s="486">
        <f>VLOOKUP(C190,'Full Trial Balance'!$A$4:$G$2306,5,FALSE)</f>
        <v>0</v>
      </c>
      <c r="H190" s="486">
        <f>VLOOKUP(C190,'Full Trial Balance'!$A$4:$G$2306,6,FALSE)</f>
        <v>0</v>
      </c>
      <c r="I190" s="486">
        <f>VLOOKUP(C190,'Full Trial Balance'!$A$4:$G$2306,7,FALSE)</f>
        <v>0</v>
      </c>
      <c r="K190" s="265">
        <f t="shared" si="8"/>
        <v>0</v>
      </c>
    </row>
    <row r="191" spans="1:11" x14ac:dyDescent="0.25">
      <c r="A191" s="430" t="str">
        <f t="shared" si="6"/>
        <v>04</v>
      </c>
      <c r="B191" s="430" t="str">
        <f t="shared" si="7"/>
        <v>196-000</v>
      </c>
      <c r="C191" s="429" t="s">
        <v>1746</v>
      </c>
      <c r="D191" s="429" t="s">
        <v>104</v>
      </c>
      <c r="E191" s="486">
        <f>VLOOKUP(C191,'Full Trial Balance'!$A$4:$G$2306,3,FALSE)</f>
        <v>0</v>
      </c>
      <c r="F191" s="486">
        <f>VLOOKUP(C191,'Full Trial Balance'!$A$4:$G$2306,4,FALSE)</f>
        <v>0</v>
      </c>
      <c r="G191" s="486">
        <f>VLOOKUP(C191,'Full Trial Balance'!$A$4:$G$2306,5,FALSE)</f>
        <v>0</v>
      </c>
      <c r="H191" s="486">
        <f>VLOOKUP(C191,'Full Trial Balance'!$A$4:$G$2306,6,FALSE)</f>
        <v>0</v>
      </c>
      <c r="I191" s="486">
        <f>VLOOKUP(C191,'Full Trial Balance'!$A$4:$G$2306,7,FALSE)</f>
        <v>0</v>
      </c>
      <c r="K191" s="265">
        <f t="shared" si="8"/>
        <v>0</v>
      </c>
    </row>
    <row r="192" spans="1:11" x14ac:dyDescent="0.25">
      <c r="A192" s="430" t="str">
        <f t="shared" si="6"/>
        <v>05</v>
      </c>
      <c r="B192" s="430" t="str">
        <f t="shared" si="7"/>
        <v>155-001</v>
      </c>
      <c r="C192" s="429" t="s">
        <v>1747</v>
      </c>
      <c r="D192" s="429" t="s">
        <v>1493</v>
      </c>
      <c r="E192" s="486">
        <f>VLOOKUP(C192,'Full Trial Balance'!$A$4:$G$2306,3,FALSE)</f>
        <v>0</v>
      </c>
      <c r="F192" s="486">
        <f>VLOOKUP(C192,'Full Trial Balance'!$A$4:$G$2306,4,FALSE)</f>
        <v>0</v>
      </c>
      <c r="G192" s="486">
        <f>VLOOKUP(C192,'Full Trial Balance'!$A$4:$G$2306,5,FALSE)</f>
        <v>0</v>
      </c>
      <c r="H192" s="486">
        <f>VLOOKUP(C192,'Full Trial Balance'!$A$4:$G$2306,6,FALSE)</f>
        <v>0</v>
      </c>
      <c r="I192" s="486">
        <f>VLOOKUP(C192,'Full Trial Balance'!$A$4:$G$2306,7,FALSE)</f>
        <v>0</v>
      </c>
      <c r="K192" s="265">
        <f t="shared" si="8"/>
        <v>0</v>
      </c>
    </row>
    <row r="193" spans="1:11" x14ac:dyDescent="0.25">
      <c r="A193" s="430" t="str">
        <f t="shared" si="6"/>
        <v>05</v>
      </c>
      <c r="B193" s="430" t="str">
        <f t="shared" si="7"/>
        <v>159-000</v>
      </c>
      <c r="C193" s="429" t="s">
        <v>1748</v>
      </c>
      <c r="D193" s="429" t="s">
        <v>1499</v>
      </c>
      <c r="E193" s="486">
        <f>VLOOKUP(C193,'Full Trial Balance'!$A$4:$G$2306,3,FALSE)</f>
        <v>0</v>
      </c>
      <c r="F193" s="486">
        <f>VLOOKUP(C193,'Full Trial Balance'!$A$4:$G$2306,4,FALSE)</f>
        <v>2068934.7</v>
      </c>
      <c r="G193" s="486">
        <f>VLOOKUP(C193,'Full Trial Balance'!$A$4:$G$2306,5,FALSE)</f>
        <v>0</v>
      </c>
      <c r="H193" s="486">
        <f>VLOOKUP(C193,'Full Trial Balance'!$A$4:$G$2306,6,FALSE)</f>
        <v>0</v>
      </c>
      <c r="I193" s="486">
        <f>VLOOKUP(C193,'Full Trial Balance'!$A$4:$G$2306,7,FALSE)</f>
        <v>2068934.7</v>
      </c>
      <c r="J193" s="260"/>
      <c r="K193" s="265">
        <f t="shared" si="8"/>
        <v>0</v>
      </c>
    </row>
    <row r="194" spans="1:11" x14ac:dyDescent="0.25">
      <c r="A194" s="430" t="str">
        <f t="shared" ref="A194:A207" si="9">LEFT(C194,2)</f>
        <v>05</v>
      </c>
      <c r="B194" s="430" t="str">
        <f t="shared" ref="B194:B207" si="10">RIGHT(C194,7)</f>
        <v>160-501</v>
      </c>
      <c r="C194" s="429" t="s">
        <v>1749</v>
      </c>
      <c r="D194" s="429" t="s">
        <v>1750</v>
      </c>
      <c r="E194" s="486">
        <f>VLOOKUP(C194,'Full Trial Balance'!$A$4:$G$2306,3,FALSE)</f>
        <v>0</v>
      </c>
      <c r="F194" s="486">
        <f>VLOOKUP(C194,'Full Trial Balance'!$A$4:$G$2306,4,FALSE)</f>
        <v>390248.66</v>
      </c>
      <c r="G194" s="486">
        <f>VLOOKUP(C194,'Full Trial Balance'!$A$4:$G$2306,5,FALSE)</f>
        <v>0</v>
      </c>
      <c r="H194" s="486">
        <f>VLOOKUP(C194,'Full Trial Balance'!$A$4:$G$2306,6,FALSE)</f>
        <v>0</v>
      </c>
      <c r="I194" s="486">
        <f>VLOOKUP(C194,'Full Trial Balance'!$A$4:$G$2306,7,FALSE)</f>
        <v>390248.66</v>
      </c>
      <c r="K194" s="265">
        <f t="shared" ref="K194:K207" si="11">G194-H194+J194</f>
        <v>0</v>
      </c>
    </row>
    <row r="195" spans="1:11" x14ac:dyDescent="0.25">
      <c r="A195" s="430" t="str">
        <f t="shared" si="9"/>
        <v>05</v>
      </c>
      <c r="B195" s="430" t="str">
        <f t="shared" si="10"/>
        <v>160-502</v>
      </c>
      <c r="C195" s="429" t="s">
        <v>1751</v>
      </c>
      <c r="D195" s="429" t="s">
        <v>1752</v>
      </c>
      <c r="E195" s="486">
        <f>VLOOKUP(C195,'Full Trial Balance'!$A$4:$G$2306,3,FALSE)</f>
        <v>0</v>
      </c>
      <c r="F195" s="486">
        <f>VLOOKUP(C195,'Full Trial Balance'!$A$4:$G$2306,4,FALSE)</f>
        <v>5453917.8899999997</v>
      </c>
      <c r="G195" s="486">
        <f>VLOOKUP(C195,'Full Trial Balance'!$A$4:$G$2306,5,FALSE)</f>
        <v>0</v>
      </c>
      <c r="H195" s="486">
        <f>VLOOKUP(C195,'Full Trial Balance'!$A$4:$G$2306,6,FALSE)</f>
        <v>0</v>
      </c>
      <c r="I195" s="486">
        <f>VLOOKUP(C195,'Full Trial Balance'!$A$4:$G$2306,7,FALSE)</f>
        <v>5453917.8899999997</v>
      </c>
      <c r="J195" s="260"/>
      <c r="K195" s="265">
        <f t="shared" si="11"/>
        <v>0</v>
      </c>
    </row>
    <row r="196" spans="1:11" x14ac:dyDescent="0.25">
      <c r="A196" s="430" t="str">
        <f t="shared" si="9"/>
        <v>05</v>
      </c>
      <c r="B196" s="430" t="str">
        <f t="shared" si="10"/>
        <v>160-505</v>
      </c>
      <c r="C196" s="429" t="s">
        <v>1753</v>
      </c>
      <c r="D196" s="429" t="s">
        <v>1541</v>
      </c>
      <c r="E196" s="486">
        <f>VLOOKUP(C196,'Full Trial Balance'!$A$4:$G$2306,3,FALSE)</f>
        <v>0</v>
      </c>
      <c r="F196" s="486">
        <f>VLOOKUP(C196,'Full Trial Balance'!$A$4:$G$2306,4,FALSE)</f>
        <v>0</v>
      </c>
      <c r="G196" s="486">
        <f>VLOOKUP(C196,'Full Trial Balance'!$A$4:$G$2306,5,FALSE)</f>
        <v>0</v>
      </c>
      <c r="H196" s="486">
        <f>VLOOKUP(C196,'Full Trial Balance'!$A$4:$G$2306,6,FALSE)</f>
        <v>0</v>
      </c>
      <c r="I196" s="486">
        <f>VLOOKUP(C196,'Full Trial Balance'!$A$4:$G$2306,7,FALSE)</f>
        <v>0</v>
      </c>
      <c r="J196" s="260"/>
      <c r="K196" s="265">
        <f t="shared" si="11"/>
        <v>0</v>
      </c>
    </row>
    <row r="197" spans="1:11" x14ac:dyDescent="0.25">
      <c r="A197" s="430" t="str">
        <f t="shared" si="9"/>
        <v>05</v>
      </c>
      <c r="B197" s="430" t="str">
        <f t="shared" si="10"/>
        <v>160-510</v>
      </c>
      <c r="C197" s="429" t="s">
        <v>1754</v>
      </c>
      <c r="D197" s="429" t="s">
        <v>1755</v>
      </c>
      <c r="E197" s="486">
        <f>VLOOKUP(C197,'Full Trial Balance'!$A$4:$G$2306,3,FALSE)</f>
        <v>0</v>
      </c>
      <c r="F197" s="486">
        <f>VLOOKUP(C197,'Full Trial Balance'!$A$4:$G$2306,4,FALSE)</f>
        <v>2483968.46</v>
      </c>
      <c r="G197" s="486">
        <f>VLOOKUP(C197,'Full Trial Balance'!$A$4:$G$2306,5,FALSE)</f>
        <v>0</v>
      </c>
      <c r="H197" s="486">
        <f>VLOOKUP(C197,'Full Trial Balance'!$A$4:$G$2306,6,FALSE)</f>
        <v>0</v>
      </c>
      <c r="I197" s="486">
        <f>VLOOKUP(C197,'Full Trial Balance'!$A$4:$G$2306,7,FALSE)</f>
        <v>2483968.46</v>
      </c>
      <c r="J197" s="260"/>
      <c r="K197" s="265">
        <f t="shared" si="11"/>
        <v>0</v>
      </c>
    </row>
    <row r="198" spans="1:11" x14ac:dyDescent="0.25">
      <c r="A198" s="430" t="str">
        <f t="shared" si="9"/>
        <v>05</v>
      </c>
      <c r="B198" s="430" t="str">
        <f t="shared" si="10"/>
        <v>160-515</v>
      </c>
      <c r="C198" s="429" t="s">
        <v>1756</v>
      </c>
      <c r="D198" s="429" t="s">
        <v>1757</v>
      </c>
      <c r="E198" s="486">
        <f>VLOOKUP(C198,'Full Trial Balance'!$A$4:$G$2306,3,FALSE)</f>
        <v>0</v>
      </c>
      <c r="F198" s="486">
        <f>VLOOKUP(C198,'Full Trial Balance'!$A$4:$G$2306,4,FALSE)</f>
        <v>0</v>
      </c>
      <c r="G198" s="486">
        <f>VLOOKUP(C198,'Full Trial Balance'!$A$4:$G$2306,5,FALSE)</f>
        <v>0</v>
      </c>
      <c r="H198" s="486">
        <f>VLOOKUP(C198,'Full Trial Balance'!$A$4:$G$2306,6,FALSE)</f>
        <v>0</v>
      </c>
      <c r="I198" s="486">
        <f>VLOOKUP(C198,'Full Trial Balance'!$A$4:$G$2306,7,FALSE)</f>
        <v>0</v>
      </c>
      <c r="J198" s="260"/>
      <c r="K198" s="265">
        <f t="shared" si="11"/>
        <v>0</v>
      </c>
    </row>
    <row r="199" spans="1:11" x14ac:dyDescent="0.25">
      <c r="A199" s="430" t="str">
        <f t="shared" si="9"/>
        <v>05</v>
      </c>
      <c r="B199" s="430" t="str">
        <f t="shared" si="10"/>
        <v>160-520</v>
      </c>
      <c r="C199" s="429" t="s">
        <v>1758</v>
      </c>
      <c r="D199" s="429" t="s">
        <v>1759</v>
      </c>
      <c r="E199" s="486">
        <f>VLOOKUP(C199,'Full Trial Balance'!$A$4:$G$2306,3,FALSE)</f>
        <v>0</v>
      </c>
      <c r="F199" s="486">
        <f>VLOOKUP(C199,'Full Trial Balance'!$A$4:$G$2306,4,FALSE)</f>
        <v>0</v>
      </c>
      <c r="G199" s="486">
        <f>VLOOKUP(C199,'Full Trial Balance'!$A$4:$G$2306,5,FALSE)</f>
        <v>0</v>
      </c>
      <c r="H199" s="486">
        <f>VLOOKUP(C199,'Full Trial Balance'!$A$4:$G$2306,6,FALSE)</f>
        <v>0</v>
      </c>
      <c r="I199" s="486">
        <f>VLOOKUP(C199,'Full Trial Balance'!$A$4:$G$2306,7,FALSE)</f>
        <v>0</v>
      </c>
      <c r="K199" s="265">
        <f t="shared" si="11"/>
        <v>0</v>
      </c>
    </row>
    <row r="200" spans="1:11" x14ac:dyDescent="0.25">
      <c r="A200" s="430" t="str">
        <f t="shared" si="9"/>
        <v>05</v>
      </c>
      <c r="B200" s="430" t="str">
        <f t="shared" si="10"/>
        <v>160-530</v>
      </c>
      <c r="C200" s="429" t="s">
        <v>1760</v>
      </c>
      <c r="D200" s="429" t="s">
        <v>1761</v>
      </c>
      <c r="E200" s="486">
        <f>VLOOKUP(C200,'Full Trial Balance'!$A$4:$G$2306,3,FALSE)</f>
        <v>0</v>
      </c>
      <c r="F200" s="486">
        <f>VLOOKUP(C200,'Full Trial Balance'!$A$4:$G$2306,4,FALSE)</f>
        <v>0</v>
      </c>
      <c r="G200" s="486">
        <f>VLOOKUP(C200,'Full Trial Balance'!$A$4:$G$2306,5,FALSE)</f>
        <v>0</v>
      </c>
      <c r="H200" s="486">
        <f>VLOOKUP(C200,'Full Trial Balance'!$A$4:$G$2306,6,FALSE)</f>
        <v>0</v>
      </c>
      <c r="I200" s="486">
        <f>VLOOKUP(C200,'Full Trial Balance'!$A$4:$G$2306,7,FALSE)</f>
        <v>0</v>
      </c>
      <c r="J200" s="260"/>
      <c r="K200" s="265">
        <f t="shared" si="11"/>
        <v>0</v>
      </c>
    </row>
    <row r="201" spans="1:11" x14ac:dyDescent="0.25">
      <c r="A201" s="430" t="str">
        <f t="shared" si="9"/>
        <v>06</v>
      </c>
      <c r="B201" s="430" t="str">
        <f t="shared" si="10"/>
        <v>159-000</v>
      </c>
      <c r="C201" s="429" t="s">
        <v>1762</v>
      </c>
      <c r="D201" s="429" t="s">
        <v>1499</v>
      </c>
      <c r="E201" s="486">
        <f>VLOOKUP(C201,'Full Trial Balance'!$A$4:$G$2306,3,FALSE)</f>
        <v>0</v>
      </c>
      <c r="F201" s="486">
        <f>VLOOKUP(C201,'Full Trial Balance'!$A$4:$G$2306,4,FALSE)</f>
        <v>13123018.369999999</v>
      </c>
      <c r="G201" s="486">
        <f>VLOOKUP(C201,'Full Trial Balance'!$A$4:$G$2306,5,FALSE)</f>
        <v>0</v>
      </c>
      <c r="H201" s="486">
        <f>VLOOKUP(C201,'Full Trial Balance'!$A$4:$G$2306,6,FALSE)</f>
        <v>0</v>
      </c>
      <c r="I201" s="486">
        <f>VLOOKUP(C201,'Full Trial Balance'!$A$4:$G$2306,7,FALSE)</f>
        <v>13123018.369999999</v>
      </c>
      <c r="J201" s="260"/>
      <c r="K201" s="265">
        <f t="shared" si="11"/>
        <v>0</v>
      </c>
    </row>
    <row r="202" spans="1:11" x14ac:dyDescent="0.25">
      <c r="A202" s="430" t="str">
        <f t="shared" si="9"/>
        <v>06</v>
      </c>
      <c r="B202" s="430" t="str">
        <f t="shared" si="10"/>
        <v>160-505</v>
      </c>
      <c r="C202" s="429" t="s">
        <v>1763</v>
      </c>
      <c r="D202" s="429" t="s">
        <v>1541</v>
      </c>
      <c r="E202" s="486">
        <f>VLOOKUP(C202,'Full Trial Balance'!$A$4:$G$2306,3,FALSE)</f>
        <v>0</v>
      </c>
      <c r="F202" s="486">
        <f>VLOOKUP(C202,'Full Trial Balance'!$A$4:$G$2306,4,FALSE)</f>
        <v>0</v>
      </c>
      <c r="G202" s="486">
        <f>VLOOKUP(C202,'Full Trial Balance'!$A$4:$G$2306,5,FALSE)</f>
        <v>0</v>
      </c>
      <c r="H202" s="486">
        <f>VLOOKUP(C202,'Full Trial Balance'!$A$4:$G$2306,6,FALSE)</f>
        <v>0</v>
      </c>
      <c r="I202" s="486">
        <f>VLOOKUP(C202,'Full Trial Balance'!$A$4:$G$2306,7,FALSE)</f>
        <v>0</v>
      </c>
      <c r="J202" s="260"/>
      <c r="K202" s="265">
        <f t="shared" si="11"/>
        <v>0</v>
      </c>
    </row>
    <row r="203" spans="1:11" x14ac:dyDescent="0.25">
      <c r="A203" s="430" t="str">
        <f t="shared" si="9"/>
        <v>06</v>
      </c>
      <c r="B203" s="430" t="str">
        <f t="shared" si="10"/>
        <v>160-515</v>
      </c>
      <c r="C203" s="429" t="s">
        <v>1764</v>
      </c>
      <c r="D203" s="429" t="s">
        <v>1757</v>
      </c>
      <c r="E203" s="486">
        <v>500000</v>
      </c>
      <c r="F203" s="486">
        <f>VLOOKUP(C203,'Full Trial Balance'!$A$4:$G$2306,4,FALSE)</f>
        <v>0</v>
      </c>
      <c r="G203" s="486">
        <f>VLOOKUP(C203,'Full Trial Balance'!$A$4:$G$2306,5,FALSE)</f>
        <v>485776.36</v>
      </c>
      <c r="H203" s="486">
        <f>VLOOKUP(C203,'Full Trial Balance'!$A$4:$G$2306,6,FALSE)</f>
        <v>7944.75</v>
      </c>
      <c r="I203" s="486">
        <f>VLOOKUP(C203,'Full Trial Balance'!$A$4:$G$2306,7,FALSE)</f>
        <v>477831.61</v>
      </c>
      <c r="J203" s="260"/>
      <c r="K203" s="265">
        <f t="shared" si="11"/>
        <v>477831.61</v>
      </c>
    </row>
    <row r="204" spans="1:11" x14ac:dyDescent="0.25">
      <c r="A204" s="430" t="str">
        <f t="shared" si="9"/>
        <v>06</v>
      </c>
      <c r="B204" s="430" t="str">
        <f t="shared" si="10"/>
        <v>160-520</v>
      </c>
      <c r="C204" s="429" t="s">
        <v>1765</v>
      </c>
      <c r="D204" s="429" t="s">
        <v>1759</v>
      </c>
      <c r="E204" s="486">
        <f>VLOOKUP(C204,'Full Trial Balance'!$A$4:$G$2306,3,FALSE)</f>
        <v>0</v>
      </c>
      <c r="F204" s="486">
        <f>VLOOKUP(C204,'Full Trial Balance'!$A$4:$G$2306,4,FALSE)</f>
        <v>0</v>
      </c>
      <c r="G204" s="486">
        <f>VLOOKUP(C204,'Full Trial Balance'!$A$4:$G$2306,5,FALSE)</f>
        <v>0</v>
      </c>
      <c r="H204" s="486">
        <f>VLOOKUP(C204,'Full Trial Balance'!$A$4:$G$2306,6,FALSE)</f>
        <v>0</v>
      </c>
      <c r="I204" s="486">
        <f>VLOOKUP(C204,'Full Trial Balance'!$A$4:$G$2306,7,FALSE)</f>
        <v>0</v>
      </c>
      <c r="J204" s="260"/>
      <c r="K204" s="265">
        <f t="shared" si="11"/>
        <v>0</v>
      </c>
    </row>
    <row r="205" spans="1:11" x14ac:dyDescent="0.25">
      <c r="A205" s="430" t="str">
        <f t="shared" si="9"/>
        <v>06</v>
      </c>
      <c r="B205" s="430" t="str">
        <f t="shared" si="10"/>
        <v>160-525</v>
      </c>
      <c r="C205" s="429" t="s">
        <v>1766</v>
      </c>
      <c r="D205" s="429" t="s">
        <v>1767</v>
      </c>
      <c r="E205" s="486">
        <v>500000</v>
      </c>
      <c r="F205" s="486">
        <f>VLOOKUP(C205,'Full Trial Balance'!$A$4:$G$2306,4,FALSE)</f>
        <v>0</v>
      </c>
      <c r="G205" s="486">
        <f>VLOOKUP(C205,'Full Trial Balance'!$A$4:$G$2306,5,FALSE)</f>
        <v>467802.19</v>
      </c>
      <c r="H205" s="486">
        <f>VLOOKUP(C205,'Full Trial Balance'!$A$4:$G$2306,6,FALSE)</f>
        <v>0</v>
      </c>
      <c r="I205" s="486">
        <f>VLOOKUP(C205,'Full Trial Balance'!$A$4:$G$2306,7,FALSE)</f>
        <v>467802.19</v>
      </c>
      <c r="J205" s="260"/>
      <c r="K205" s="265">
        <f t="shared" si="11"/>
        <v>467802.19</v>
      </c>
    </row>
    <row r="206" spans="1:11" x14ac:dyDescent="0.25">
      <c r="A206" s="430" t="str">
        <f t="shared" si="9"/>
        <v>06</v>
      </c>
      <c r="B206" s="430" t="str">
        <f t="shared" si="10"/>
        <v>160-530</v>
      </c>
      <c r="C206" s="429" t="s">
        <v>3265</v>
      </c>
      <c r="D206" s="429" t="s">
        <v>3266</v>
      </c>
      <c r="E206" s="486">
        <f>VLOOKUP(C206,'Full Trial Balance'!$A$4:$G$2306,3,FALSE)</f>
        <v>0</v>
      </c>
      <c r="F206" s="486">
        <f>VLOOKUP(C206,'Full Trial Balance'!$A$4:$G$2306,4,FALSE)</f>
        <v>14500.99</v>
      </c>
      <c r="G206" s="486">
        <f>VLOOKUP(C206,'Full Trial Balance'!$A$4:$G$2306,5,FALSE)</f>
        <v>0</v>
      </c>
      <c r="H206" s="486">
        <f>VLOOKUP(C206,'Full Trial Balance'!$A$4:$G$2306,6,FALSE)</f>
        <v>0</v>
      </c>
      <c r="I206" s="486">
        <f>VLOOKUP(C206,'Full Trial Balance'!$A$4:$G$2306,7,FALSE)</f>
        <v>14500.99</v>
      </c>
      <c r="J206" s="506"/>
      <c r="K206" s="265">
        <f t="shared" si="11"/>
        <v>0</v>
      </c>
    </row>
    <row r="207" spans="1:11" x14ac:dyDescent="0.25">
      <c r="A207" s="430" t="str">
        <f t="shared" si="9"/>
        <v>06</v>
      </c>
      <c r="B207" s="430" t="str">
        <f t="shared" si="10"/>
        <v>160-535</v>
      </c>
      <c r="C207" s="429" t="s">
        <v>3267</v>
      </c>
      <c r="D207" s="429" t="s">
        <v>3268</v>
      </c>
      <c r="E207" s="486">
        <f>VLOOKUP(C207,'Full Trial Balance'!$A$4:$G$2306,3,FALSE)</f>
        <v>0</v>
      </c>
      <c r="F207" s="486">
        <f>VLOOKUP(C207,'Full Trial Balance'!$A$4:$G$2306,4,FALSE)</f>
        <v>240</v>
      </c>
      <c r="G207" s="486">
        <f>VLOOKUP(C207,'Full Trial Balance'!$A$4:$G$2306,5,FALSE)</f>
        <v>0</v>
      </c>
      <c r="H207" s="486">
        <f>VLOOKUP(C207,'Full Trial Balance'!$A$4:$G$2306,6,FALSE)</f>
        <v>0</v>
      </c>
      <c r="I207" s="486">
        <f>VLOOKUP(C207,'Full Trial Balance'!$A$4:$G$2306,7,FALSE)</f>
        <v>240</v>
      </c>
      <c r="J207" s="506"/>
      <c r="K207" s="265">
        <f t="shared" si="11"/>
        <v>0</v>
      </c>
    </row>
    <row r="208" spans="1:11" x14ac:dyDescent="0.25">
      <c r="A208" s="430"/>
      <c r="B208" s="430"/>
      <c r="C208" s="72" t="s">
        <v>979</v>
      </c>
      <c r="D208" s="111" t="s">
        <v>1058</v>
      </c>
      <c r="E208" s="122">
        <v>0</v>
      </c>
      <c r="F208" s="122">
        <v>0</v>
      </c>
      <c r="G208" s="122">
        <v>0</v>
      </c>
      <c r="H208" s="122">
        <v>0</v>
      </c>
      <c r="I208" s="122">
        <v>0</v>
      </c>
      <c r="J208" s="122">
        <v>0</v>
      </c>
      <c r="K208" s="266">
        <v>0</v>
      </c>
    </row>
    <row r="211" spans="3:11" x14ac:dyDescent="0.25">
      <c r="C211" s="482" t="s">
        <v>1142</v>
      </c>
      <c r="D211" s="111"/>
      <c r="K211" s="429"/>
    </row>
    <row r="212" spans="3:11" x14ac:dyDescent="0.25">
      <c r="C212" s="72"/>
      <c r="D212" s="111"/>
      <c r="K212" s="429"/>
    </row>
    <row r="213" spans="3:11" x14ac:dyDescent="0.25">
      <c r="C213" s="72" t="s">
        <v>1143</v>
      </c>
      <c r="D213" s="111"/>
      <c r="E213" s="481">
        <f t="shared" ref="E213:K213" si="12">SUMIF($A$2:$A$208,"01",E$2:E$209)</f>
        <v>881286</v>
      </c>
      <c r="F213" s="481">
        <f t="shared" si="12"/>
        <v>25659730.560000002</v>
      </c>
      <c r="G213" s="481">
        <f t="shared" si="12"/>
        <v>29406.48</v>
      </c>
      <c r="H213" s="481">
        <f t="shared" si="12"/>
        <v>1260.1400000000001</v>
      </c>
      <c r="I213" s="481">
        <f t="shared" si="12"/>
        <v>25687876.899999999</v>
      </c>
      <c r="J213" s="481">
        <f t="shared" si="12"/>
        <v>0</v>
      </c>
      <c r="K213" s="481">
        <f t="shared" si="12"/>
        <v>28146.34</v>
      </c>
    </row>
    <row r="214" spans="3:11" x14ac:dyDescent="0.25">
      <c r="C214" s="72" t="s">
        <v>1144</v>
      </c>
      <c r="D214" s="111"/>
      <c r="E214" s="481">
        <f t="shared" ref="E214:K214" si="13">SUMIF($A$2:$A$208,"02",E$2:E$209)</f>
        <v>1086172</v>
      </c>
      <c r="F214" s="481">
        <f t="shared" si="13"/>
        <v>8721399.7699999977</v>
      </c>
      <c r="G214" s="481">
        <f t="shared" si="13"/>
        <v>12172.689999999999</v>
      </c>
      <c r="H214" s="481">
        <f t="shared" si="13"/>
        <v>360.04</v>
      </c>
      <c r="I214" s="481">
        <f t="shared" si="13"/>
        <v>8733212.4199999999</v>
      </c>
      <c r="J214" s="481">
        <f t="shared" si="13"/>
        <v>0</v>
      </c>
      <c r="K214" s="481">
        <f t="shared" si="13"/>
        <v>11812.65</v>
      </c>
    </row>
    <row r="215" spans="3:11" x14ac:dyDescent="0.25">
      <c r="C215" s="72" t="s">
        <v>1145</v>
      </c>
      <c r="D215" s="111"/>
      <c r="E215" s="481">
        <f t="shared" ref="E215:K215" si="14">SUMIF($A$2:$A$208,"03",E$2:E$209)</f>
        <v>1769471</v>
      </c>
      <c r="F215" s="481">
        <f t="shared" si="14"/>
        <v>108089180.89000003</v>
      </c>
      <c r="G215" s="481">
        <f t="shared" si="14"/>
        <v>1016616.4099999999</v>
      </c>
      <c r="H215" s="481">
        <f t="shared" si="14"/>
        <v>2250.25</v>
      </c>
      <c r="I215" s="481">
        <f t="shared" si="14"/>
        <v>109103547.05000001</v>
      </c>
      <c r="J215" s="481">
        <f t="shared" si="14"/>
        <v>0</v>
      </c>
      <c r="K215" s="481">
        <f t="shared" si="14"/>
        <v>1014366.1599999999</v>
      </c>
    </row>
    <row r="216" spans="3:11" x14ac:dyDescent="0.25">
      <c r="C216" s="72" t="s">
        <v>1146</v>
      </c>
      <c r="D216" s="111"/>
      <c r="E216" s="481">
        <f t="shared" ref="E216:K216" si="15">SUMIF($A$2:$A$208,"04",E$2:E$209)</f>
        <v>686656</v>
      </c>
      <c r="F216" s="481">
        <f t="shared" si="15"/>
        <v>35252122.960000001</v>
      </c>
      <c r="G216" s="481">
        <f t="shared" si="15"/>
        <v>14840.32</v>
      </c>
      <c r="H216" s="481">
        <f t="shared" si="15"/>
        <v>630.07000000000005</v>
      </c>
      <c r="I216" s="481">
        <f t="shared" si="15"/>
        <v>35266333.210000001</v>
      </c>
      <c r="J216" s="481">
        <f t="shared" si="15"/>
        <v>0</v>
      </c>
      <c r="K216" s="481">
        <f t="shared" si="15"/>
        <v>14210.25</v>
      </c>
    </row>
    <row r="217" spans="3:11" x14ac:dyDescent="0.25">
      <c r="C217" s="72" t="s">
        <v>1147</v>
      </c>
      <c r="D217" s="111"/>
      <c r="E217" s="481">
        <f t="shared" ref="E217:K217" si="16">SUMIF($A$2:$A$208,"05",E$2:E$209)</f>
        <v>0</v>
      </c>
      <c r="F217" s="481">
        <f t="shared" si="16"/>
        <v>10397069.710000001</v>
      </c>
      <c r="G217" s="481">
        <f t="shared" si="16"/>
        <v>0</v>
      </c>
      <c r="H217" s="481">
        <f t="shared" si="16"/>
        <v>0</v>
      </c>
      <c r="I217" s="481">
        <f t="shared" si="16"/>
        <v>10397069.710000001</v>
      </c>
      <c r="J217" s="481">
        <f t="shared" si="16"/>
        <v>0</v>
      </c>
      <c r="K217" s="481">
        <f t="shared" si="16"/>
        <v>0</v>
      </c>
    </row>
    <row r="218" spans="3:11" x14ac:dyDescent="0.25">
      <c r="C218" s="72" t="s">
        <v>1148</v>
      </c>
      <c r="D218" s="111"/>
      <c r="E218" s="481">
        <f ca="1">SUMIF($A$2:$A$208,"06",E$2:E$207)</f>
        <v>1000000</v>
      </c>
      <c r="F218" s="481">
        <f t="shared" ref="F218:K218" si="17">SUMIF($A$2:$A$208,"06",F$2:F$209)</f>
        <v>13137759.359999999</v>
      </c>
      <c r="G218" s="481">
        <f t="shared" si="17"/>
        <v>953578.55</v>
      </c>
      <c r="H218" s="481">
        <f t="shared" si="17"/>
        <v>7944.75</v>
      </c>
      <c r="I218" s="481">
        <f t="shared" si="17"/>
        <v>14083393.159999998</v>
      </c>
      <c r="J218" s="481">
        <f t="shared" si="17"/>
        <v>0</v>
      </c>
      <c r="K218" s="481">
        <f t="shared" si="17"/>
        <v>945633.8</v>
      </c>
    </row>
    <row r="219" spans="3:11" x14ac:dyDescent="0.25">
      <c r="E219" s="267">
        <f ca="1">SUM(E213:E218)</f>
        <v>5423585</v>
      </c>
      <c r="F219" s="267">
        <f t="shared" ref="F219:K219" si="18">SUM(F213:F218)</f>
        <v>201257263.25000006</v>
      </c>
      <c r="G219" s="267">
        <f t="shared" si="18"/>
        <v>2026614.45</v>
      </c>
      <c r="H219" s="267">
        <f t="shared" si="18"/>
        <v>12445.25</v>
      </c>
      <c r="I219" s="267">
        <f t="shared" si="18"/>
        <v>203271432.45000002</v>
      </c>
      <c r="J219" s="267">
        <f t="shared" si="18"/>
        <v>0</v>
      </c>
      <c r="K219" s="267">
        <f t="shared" si="18"/>
        <v>2014169.2</v>
      </c>
    </row>
    <row r="221" spans="3:11" ht="15.75" thickBot="1" x14ac:dyDescent="0.3">
      <c r="D221" s="491" t="s">
        <v>3430</v>
      </c>
      <c r="E221" s="492">
        <f t="shared" ref="E221:K221" si="19">SUM(E2:E207)</f>
        <v>5423585</v>
      </c>
      <c r="F221" s="492">
        <f t="shared" si="19"/>
        <v>201257263.24999997</v>
      </c>
      <c r="G221" s="492">
        <f t="shared" si="19"/>
        <v>2026614.4500000002</v>
      </c>
      <c r="H221" s="492">
        <f t="shared" si="19"/>
        <v>12445.25</v>
      </c>
      <c r="I221" s="492">
        <f t="shared" si="19"/>
        <v>203271432.44999993</v>
      </c>
      <c r="J221" s="492">
        <f t="shared" si="19"/>
        <v>0</v>
      </c>
      <c r="K221" s="492">
        <f t="shared" si="19"/>
        <v>2014169.1999999997</v>
      </c>
    </row>
    <row r="222" spans="3:11" ht="15.75" thickTop="1" x14ac:dyDescent="0.25">
      <c r="E222" s="480">
        <f t="shared" ref="E222:K222" ca="1" si="20">E221-E219</f>
        <v>0</v>
      </c>
      <c r="F222" s="480">
        <f t="shared" si="20"/>
        <v>0</v>
      </c>
      <c r="G222" s="480">
        <f t="shared" si="20"/>
        <v>0</v>
      </c>
      <c r="H222" s="480">
        <f t="shared" si="20"/>
        <v>0</v>
      </c>
      <c r="I222" s="480">
        <f t="shared" si="20"/>
        <v>0</v>
      </c>
      <c r="J222" s="480">
        <f t="shared" si="20"/>
        <v>0</v>
      </c>
      <c r="K222" s="480">
        <f t="shared" si="20"/>
        <v>0</v>
      </c>
    </row>
  </sheetData>
  <sheetProtection password="CFD3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3"/>
  <sheetViews>
    <sheetView workbookViewId="0">
      <pane ySplit="1" topLeftCell="A3" activePane="bottomLeft" state="frozen"/>
      <selection pane="bottomLeft" activeCell="F844" sqref="F844"/>
    </sheetView>
  </sheetViews>
  <sheetFormatPr defaultColWidth="9.140625" defaultRowHeight="15" x14ac:dyDescent="0.25"/>
  <cols>
    <col min="1" max="1" width="16" style="489" bestFit="1" customWidth="1"/>
    <col min="2" max="2" width="35.85546875" style="489" bestFit="1" customWidth="1"/>
    <col min="3" max="3" width="16.42578125" style="489" bestFit="1" customWidth="1"/>
    <col min="4" max="4" width="18.85546875" style="489" bestFit="1" customWidth="1"/>
    <col min="5" max="5" width="17.85546875" style="489" bestFit="1" customWidth="1"/>
    <col min="6" max="6" width="18.42578125" style="489" bestFit="1" customWidth="1"/>
    <col min="7" max="7" width="15.85546875" style="489" bestFit="1" customWidth="1"/>
    <col min="8" max="8" width="35.85546875" style="489" bestFit="1" customWidth="1"/>
    <col min="9" max="16384" width="9.140625" style="489"/>
  </cols>
  <sheetData>
    <row r="1" spans="1:8" x14ac:dyDescent="0.25">
      <c r="A1" s="479" t="s">
        <v>1149</v>
      </c>
      <c r="B1" s="479" t="s">
        <v>1150</v>
      </c>
      <c r="C1" s="484" t="s">
        <v>1115</v>
      </c>
      <c r="D1" s="484" t="s">
        <v>1116</v>
      </c>
      <c r="E1" s="484" t="s">
        <v>1117</v>
      </c>
      <c r="F1" s="484" t="s">
        <v>1118</v>
      </c>
      <c r="G1" s="484" t="s">
        <v>1119</v>
      </c>
      <c r="H1" s="495" t="s">
        <v>3431</v>
      </c>
    </row>
    <row r="2" spans="1:8" x14ac:dyDescent="0.25">
      <c r="A2" s="470" t="s">
        <v>1467</v>
      </c>
      <c r="B2" s="470" t="s">
        <v>1468</v>
      </c>
      <c r="C2" s="494">
        <v>0</v>
      </c>
      <c r="D2" s="494">
        <v>145666.84</v>
      </c>
      <c r="E2" s="494">
        <v>0</v>
      </c>
      <c r="F2" s="494">
        <v>0</v>
      </c>
      <c r="G2" s="494">
        <v>145666.84</v>
      </c>
      <c r="H2" s="489" t="str">
        <f>VLOOKUP(A2,'TB - Fixed Assets and CIP'!$C$2:$D$207,2,FALSE)</f>
        <v>LAND</v>
      </c>
    </row>
    <row r="3" spans="1:8" x14ac:dyDescent="0.25">
      <c r="A3" s="489" t="s">
        <v>1469</v>
      </c>
      <c r="B3" s="489" t="s">
        <v>1470</v>
      </c>
      <c r="C3" s="490">
        <v>0</v>
      </c>
      <c r="D3" s="490">
        <v>314463.02</v>
      </c>
      <c r="E3" s="490">
        <v>0</v>
      </c>
      <c r="F3" s="490">
        <v>0</v>
      </c>
      <c r="G3" s="490">
        <v>314463.02</v>
      </c>
      <c r="H3" s="489" t="str">
        <f>VLOOKUP(A3,'TB - Fixed Assets and CIP'!$C$2:$D$207,2,FALSE)</f>
        <v>LAND 12TH STREET (FORA)</v>
      </c>
    </row>
    <row r="4" spans="1:8" x14ac:dyDescent="0.25">
      <c r="A4" s="489" t="s">
        <v>1471</v>
      </c>
      <c r="B4" s="489" t="s">
        <v>1472</v>
      </c>
      <c r="C4" s="490">
        <v>0</v>
      </c>
      <c r="D4" s="490">
        <v>60134.93</v>
      </c>
      <c r="E4" s="490">
        <v>0</v>
      </c>
      <c r="F4" s="490">
        <v>0</v>
      </c>
      <c r="G4" s="490">
        <v>60134.93</v>
      </c>
      <c r="H4" s="489" t="str">
        <f>VLOOKUP(A4,'TB - Fixed Assets and CIP'!$C$2:$D$207,2,FALSE)</f>
        <v>LAND 12TH STREET (AMBAG)</v>
      </c>
    </row>
    <row r="5" spans="1:8" x14ac:dyDescent="0.25">
      <c r="A5" s="489" t="s">
        <v>1473</v>
      </c>
      <c r="B5" s="489" t="s">
        <v>1474</v>
      </c>
      <c r="C5" s="490">
        <v>0</v>
      </c>
      <c r="D5" s="490">
        <v>2379410</v>
      </c>
      <c r="E5" s="490">
        <v>0</v>
      </c>
      <c r="F5" s="490">
        <v>0</v>
      </c>
      <c r="G5" s="490">
        <v>2379410</v>
      </c>
      <c r="H5" s="489" t="str">
        <f>VLOOKUP(A5,'TB - Fixed Assets and CIP'!$C$2:$D$207,2,FALSE)</f>
        <v>WATER RIGHTS</v>
      </c>
    </row>
    <row r="6" spans="1:8" x14ac:dyDescent="0.25">
      <c r="A6" s="489" t="s">
        <v>1477</v>
      </c>
      <c r="B6" s="489" t="s">
        <v>1478</v>
      </c>
      <c r="C6" s="490">
        <v>0</v>
      </c>
      <c r="D6" s="490">
        <v>2643500.08</v>
      </c>
      <c r="E6" s="490">
        <v>0</v>
      </c>
      <c r="F6" s="490">
        <v>0</v>
      </c>
      <c r="G6" s="490">
        <v>2643500.08</v>
      </c>
      <c r="H6" s="489" t="str">
        <f>VLOOKUP(A6,'TB - Fixed Assets and CIP'!$C$2:$D$207,2,FALSE)</f>
        <v>LAND - ARMSTRONG RANCH</v>
      </c>
    </row>
    <row r="7" spans="1:8" x14ac:dyDescent="0.25">
      <c r="A7" s="489" t="s">
        <v>1479</v>
      </c>
      <c r="B7" s="489" t="s">
        <v>1480</v>
      </c>
      <c r="C7" s="490">
        <v>0</v>
      </c>
      <c r="D7" s="490">
        <v>4901324.45</v>
      </c>
      <c r="E7" s="490">
        <v>0</v>
      </c>
      <c r="F7" s="490">
        <v>0</v>
      </c>
      <c r="G7" s="490">
        <v>4901324.45</v>
      </c>
      <c r="H7" s="489" t="str">
        <f>VLOOKUP(A7,'TB - Fixed Assets and CIP'!$C$2:$D$207,2,FALSE)</f>
        <v>SOURCE OF SUPPLY</v>
      </c>
    </row>
    <row r="8" spans="1:8" x14ac:dyDescent="0.25">
      <c r="A8" s="489" t="s">
        <v>1483</v>
      </c>
      <c r="B8" s="489" t="s">
        <v>1484</v>
      </c>
      <c r="C8" s="490">
        <v>2592</v>
      </c>
      <c r="D8" s="490">
        <v>19798.72</v>
      </c>
      <c r="E8" s="490">
        <v>0</v>
      </c>
      <c r="F8" s="490">
        <v>0</v>
      </c>
      <c r="G8" s="490">
        <v>19798.72</v>
      </c>
      <c r="H8" s="489" t="str">
        <f>VLOOKUP(A8,'TB - Fixed Assets and CIP'!$C$2:$D$207,2,FALSE)</f>
        <v>LABORATORY EQUIPMENT</v>
      </c>
    </row>
    <row r="9" spans="1:8" x14ac:dyDescent="0.25">
      <c r="A9" s="489" t="s">
        <v>1485</v>
      </c>
      <c r="B9" s="489" t="s">
        <v>1486</v>
      </c>
      <c r="C9" s="490">
        <v>20467</v>
      </c>
      <c r="D9" s="490">
        <v>60198.22</v>
      </c>
      <c r="E9" s="490">
        <v>2996.1</v>
      </c>
      <c r="F9" s="490">
        <v>0</v>
      </c>
      <c r="G9" s="490">
        <v>63194.32</v>
      </c>
      <c r="H9" s="489" t="str">
        <f>VLOOKUP(A9,'TB - Fixed Assets and CIP'!$C$2:$D$207,2,FALSE)</f>
        <v>NETWORK COMPUTER SYSTEM</v>
      </c>
    </row>
    <row r="10" spans="1:8" x14ac:dyDescent="0.25">
      <c r="A10" s="489" t="s">
        <v>1487</v>
      </c>
      <c r="B10" s="489" t="s">
        <v>1488</v>
      </c>
      <c r="C10" s="490">
        <v>0</v>
      </c>
      <c r="D10" s="490">
        <v>5381.81</v>
      </c>
      <c r="E10" s="490">
        <v>0</v>
      </c>
      <c r="F10" s="490">
        <v>0</v>
      </c>
      <c r="G10" s="490">
        <v>5381.81</v>
      </c>
      <c r="H10" s="489" t="str">
        <f>VLOOKUP(A10,'TB - Fixed Assets and CIP'!$C$2:$D$207,2,FALSE)</f>
        <v>OFFICE EQUIPMENT</v>
      </c>
    </row>
    <row r="11" spans="1:8" x14ac:dyDescent="0.25">
      <c r="A11" s="489" t="s">
        <v>1489</v>
      </c>
      <c r="B11" s="489" t="s">
        <v>84</v>
      </c>
      <c r="C11" s="490">
        <v>0</v>
      </c>
      <c r="D11" s="490">
        <v>600647.19999999995</v>
      </c>
      <c r="E11" s="490">
        <v>0</v>
      </c>
      <c r="F11" s="490">
        <v>0</v>
      </c>
      <c r="G11" s="490">
        <v>600647.19999999995</v>
      </c>
      <c r="H11" s="489" t="str">
        <f>VLOOKUP(A11,'TB - Fixed Assets and CIP'!$C$2:$D$207,2,FALSE)</f>
        <v>METERS</v>
      </c>
    </row>
    <row r="12" spans="1:8" x14ac:dyDescent="0.25">
      <c r="A12" s="489" t="s">
        <v>1490</v>
      </c>
      <c r="B12" s="489" t="s">
        <v>1491</v>
      </c>
      <c r="C12" s="490">
        <v>0</v>
      </c>
      <c r="D12" s="490">
        <v>1754349.41</v>
      </c>
      <c r="E12" s="490">
        <v>0</v>
      </c>
      <c r="F12" s="490">
        <v>0</v>
      </c>
      <c r="G12" s="490">
        <v>1754349.41</v>
      </c>
      <c r="H12" s="489" t="str">
        <f>VLOOKUP(A12,'TB - Fixed Assets and CIP'!$C$2:$D$207,2,FALSE)</f>
        <v>GENERAL PLANT</v>
      </c>
    </row>
    <row r="13" spans="1:8" x14ac:dyDescent="0.25">
      <c r="A13" s="489" t="s">
        <v>1492</v>
      </c>
      <c r="B13" s="489" t="s">
        <v>1493</v>
      </c>
      <c r="C13" s="490">
        <v>29000</v>
      </c>
      <c r="D13" s="490">
        <v>215193.71</v>
      </c>
      <c r="E13" s="490">
        <v>5915.4</v>
      </c>
      <c r="F13" s="490">
        <v>0</v>
      </c>
      <c r="G13" s="490">
        <v>221109.11</v>
      </c>
      <c r="H13" s="489" t="str">
        <f>VLOOKUP(A13,'TB - Fixed Assets and CIP'!$C$2:$D$207,2,FALSE)</f>
        <v>VEHICLES</v>
      </c>
    </row>
    <row r="14" spans="1:8" x14ac:dyDescent="0.25">
      <c r="A14" s="489" t="s">
        <v>1494</v>
      </c>
      <c r="B14" s="489" t="s">
        <v>1495</v>
      </c>
      <c r="C14" s="490">
        <v>0</v>
      </c>
      <c r="D14" s="490">
        <v>302866</v>
      </c>
      <c r="E14" s="490">
        <v>0</v>
      </c>
      <c r="F14" s="490">
        <v>0</v>
      </c>
      <c r="G14" s="490">
        <v>302866</v>
      </c>
      <c r="H14" s="489" t="str">
        <f>VLOOKUP(A14,'TB - Fixed Assets and CIP'!$C$2:$D$207,2,FALSE)</f>
        <v>PUMPING PLANT</v>
      </c>
    </row>
    <row r="15" spans="1:8" x14ac:dyDescent="0.25">
      <c r="A15" s="489" t="s">
        <v>1496</v>
      </c>
      <c r="B15" s="489" t="s">
        <v>1497</v>
      </c>
      <c r="C15" s="490">
        <v>56550</v>
      </c>
      <c r="D15" s="490">
        <v>99740.07</v>
      </c>
      <c r="E15" s="490">
        <v>0</v>
      </c>
      <c r="F15" s="490">
        <v>0</v>
      </c>
      <c r="G15" s="490">
        <v>99740.07</v>
      </c>
      <c r="H15" s="489" t="str">
        <f>VLOOKUP(A15,'TB - Fixed Assets and CIP'!$C$2:$D$207,2,FALSE)</f>
        <v>O&amp;M EQUIPMENT</v>
      </c>
    </row>
    <row r="16" spans="1:8" x14ac:dyDescent="0.25">
      <c r="A16" s="489" t="s">
        <v>1498</v>
      </c>
      <c r="B16" s="489" t="s">
        <v>1499</v>
      </c>
      <c r="C16" s="490">
        <v>0</v>
      </c>
      <c r="D16" s="490">
        <v>622908.55000000005</v>
      </c>
      <c r="E16" s="490">
        <v>0</v>
      </c>
      <c r="F16" s="490">
        <v>0</v>
      </c>
      <c r="G16" s="490">
        <v>622908.55000000005</v>
      </c>
      <c r="H16" s="489" t="str">
        <f>VLOOKUP(A16,'TB - Fixed Assets and CIP'!$C$2:$D$207,2,FALSE)</f>
        <v>CAPITAL - CONST IN PROGRESS</v>
      </c>
    </row>
    <row r="17" spans="1:8" x14ac:dyDescent="0.25">
      <c r="A17" s="489" t="s">
        <v>1500</v>
      </c>
      <c r="B17" s="489" t="s">
        <v>1501</v>
      </c>
      <c r="C17" s="490">
        <v>0</v>
      </c>
      <c r="D17" s="490">
        <v>255322.88</v>
      </c>
      <c r="E17" s="490">
        <v>0</v>
      </c>
      <c r="F17" s="490">
        <v>0</v>
      </c>
      <c r="G17" s="490">
        <v>255322.88</v>
      </c>
      <c r="H17" s="489" t="str">
        <f>VLOOKUP(A17,'TB - Fixed Assets and CIP'!$C$2:$D$207,2,FALSE)</f>
        <v>DEEP AQUIFER STUDY</v>
      </c>
    </row>
    <row r="18" spans="1:8" x14ac:dyDescent="0.25">
      <c r="A18" s="489" t="s">
        <v>1502</v>
      </c>
      <c r="B18" s="489" t="s">
        <v>1503</v>
      </c>
      <c r="C18" s="490">
        <v>0</v>
      </c>
      <c r="D18" s="490">
        <v>1241417.24</v>
      </c>
      <c r="E18" s="490">
        <v>0</v>
      </c>
      <c r="F18" s="490">
        <v>0</v>
      </c>
      <c r="G18" s="490">
        <v>1241417.24</v>
      </c>
      <c r="H18" s="489" t="str">
        <f>VLOOKUP(A18,'TB - Fixed Assets and CIP'!$C$2:$D$207,2,FALSE)</f>
        <v>RESERVATION RD PIPELINE</v>
      </c>
    </row>
    <row r="19" spans="1:8" x14ac:dyDescent="0.25">
      <c r="A19" s="489" t="s">
        <v>1510</v>
      </c>
      <c r="B19" s="489" t="s">
        <v>1511</v>
      </c>
      <c r="C19" s="490">
        <v>0</v>
      </c>
      <c r="D19" s="490">
        <v>524.95000000000005</v>
      </c>
      <c r="E19" s="490">
        <v>0</v>
      </c>
      <c r="F19" s="490">
        <v>0</v>
      </c>
      <c r="G19" s="490">
        <v>524.95000000000005</v>
      </c>
      <c r="H19" s="489" t="str">
        <f>VLOOKUP(A19,'TB - Fixed Assets and CIP'!$C$2:$D$207,2,FALSE)</f>
        <v>MW - 0114 BAYER TANK</v>
      </c>
    </row>
    <row r="20" spans="1:8" x14ac:dyDescent="0.25">
      <c r="A20" s="489" t="s">
        <v>1518</v>
      </c>
      <c r="B20" s="489" t="s">
        <v>1519</v>
      </c>
      <c r="C20" s="490">
        <v>0</v>
      </c>
      <c r="D20" s="490">
        <v>267221.94</v>
      </c>
      <c r="E20" s="490">
        <v>0</v>
      </c>
      <c r="F20" s="490">
        <v>0</v>
      </c>
      <c r="G20" s="490">
        <v>267221.94</v>
      </c>
      <c r="H20" s="489" t="str">
        <f>VLOOKUP(A20,'TB - Fixed Assets and CIP'!$C$2:$D$207,2,FALSE)</f>
        <v>MW - 0160 WELL 10 REHAB</v>
      </c>
    </row>
    <row r="21" spans="1:8" x14ac:dyDescent="0.25">
      <c r="A21" s="489" t="s">
        <v>1522</v>
      </c>
      <c r="B21" s="489" t="s">
        <v>1523</v>
      </c>
      <c r="C21" s="490">
        <v>0</v>
      </c>
      <c r="D21" s="490">
        <v>75055.28</v>
      </c>
      <c r="E21" s="490">
        <v>0</v>
      </c>
      <c r="F21" s="490">
        <v>0</v>
      </c>
      <c r="G21" s="490">
        <v>75055.28</v>
      </c>
      <c r="H21" s="489" t="str">
        <f>VLOOKUP(A21,'TB - Fixed Assets and CIP'!$C$2:$D$207,2,FALSE)</f>
        <v>CA ST EXTENTION INTERTIE</v>
      </c>
    </row>
    <row r="22" spans="1:8" x14ac:dyDescent="0.25">
      <c r="A22" s="489" t="s">
        <v>1526</v>
      </c>
      <c r="B22" s="489" t="s">
        <v>1527</v>
      </c>
      <c r="C22" s="486">
        <v>103050</v>
      </c>
      <c r="D22" s="490">
        <v>0</v>
      </c>
      <c r="E22" s="490">
        <v>3682.98</v>
      </c>
      <c r="F22" s="490">
        <v>0</v>
      </c>
      <c r="G22" s="490">
        <v>3682.98</v>
      </c>
      <c r="H22" s="489" t="str">
        <f>VLOOKUP(A22,'TB - Fixed Assets and CIP'!$C$2:$D$207,2,FALSE)</f>
        <v>GW - 0112 A1/A2 TANK  B/C BSTR</v>
      </c>
    </row>
    <row r="23" spans="1:8" x14ac:dyDescent="0.25">
      <c r="A23" s="489" t="s">
        <v>1530</v>
      </c>
      <c r="B23" s="489" t="s">
        <v>1531</v>
      </c>
      <c r="C23" s="486">
        <v>8750</v>
      </c>
      <c r="D23" s="490">
        <v>107124.32</v>
      </c>
      <c r="E23" s="490">
        <v>0</v>
      </c>
      <c r="F23" s="490">
        <v>0</v>
      </c>
      <c r="G23" s="490">
        <v>107124.32</v>
      </c>
      <c r="H23" s="489" t="str">
        <f>VLOOKUP(A23,'TB - Fixed Assets and CIP'!$C$2:$D$207,2,FALSE)</f>
        <v>WD - 0115 SCADA SYSTEM</v>
      </c>
    </row>
    <row r="24" spans="1:8" x14ac:dyDescent="0.25">
      <c r="A24" s="489" t="s">
        <v>1532</v>
      </c>
      <c r="B24" s="489" t="s">
        <v>1533</v>
      </c>
      <c r="C24" s="490">
        <v>0</v>
      </c>
      <c r="D24" s="490">
        <v>1933341.71</v>
      </c>
      <c r="E24" s="490">
        <v>0</v>
      </c>
      <c r="F24" s="490">
        <v>0</v>
      </c>
      <c r="G24" s="490">
        <v>1933341.71</v>
      </c>
      <c r="H24" s="489" t="str">
        <f>VLOOKUP(A24,'TB - Fixed Assets and CIP'!$C$2:$D$207,2,FALSE)</f>
        <v>MW SYSTEM IMPROVEMENTS</v>
      </c>
    </row>
    <row r="25" spans="1:8" x14ac:dyDescent="0.25">
      <c r="A25" s="509" t="s">
        <v>1536</v>
      </c>
      <c r="B25" s="509" t="s">
        <v>1537</v>
      </c>
      <c r="C25" s="490">
        <v>0</v>
      </c>
      <c r="D25" s="490">
        <v>97878.77</v>
      </c>
      <c r="E25" s="490">
        <v>0</v>
      </c>
      <c r="F25" s="490">
        <v>0</v>
      </c>
      <c r="G25" s="490">
        <v>97878.77</v>
      </c>
      <c r="H25" s="489" t="str">
        <f>VLOOKUP(A25,'TB - Fixed Assets and CIP'!$C$2:$D$207,2,FALSE)</f>
        <v>WD - 0110 ASSET MGMT PROGRAM</v>
      </c>
    </row>
    <row r="26" spans="1:8" x14ac:dyDescent="0.25">
      <c r="A26" s="506" t="s">
        <v>1538</v>
      </c>
      <c r="B26" s="506" t="s">
        <v>1539</v>
      </c>
      <c r="C26" s="486">
        <v>5945</v>
      </c>
      <c r="D26" s="490">
        <v>0</v>
      </c>
      <c r="E26" s="490">
        <v>0</v>
      </c>
      <c r="F26" s="490">
        <v>0</v>
      </c>
      <c r="G26" s="490">
        <v>0</v>
      </c>
      <c r="H26" s="489" t="str">
        <f>VLOOKUP(A26,'TB - Fixed Assets and CIP'!$C$2:$D$207,2,FALSE)</f>
        <v>WD - 0203 ORD OFFICE LANDSCAPE</v>
      </c>
    </row>
    <row r="27" spans="1:8" x14ac:dyDescent="0.25">
      <c r="A27" s="506" t="s">
        <v>3451</v>
      </c>
      <c r="B27" s="489" t="s">
        <v>3455</v>
      </c>
      <c r="C27" s="486">
        <v>21460</v>
      </c>
      <c r="D27" s="490">
        <v>0</v>
      </c>
      <c r="E27" s="490">
        <v>0</v>
      </c>
      <c r="F27" s="490">
        <v>0</v>
      </c>
      <c r="G27" s="490">
        <v>0</v>
      </c>
      <c r="H27" s="489" t="str">
        <f>VLOOKUP(A27,'TB - Fixed Assets and CIP'!$C$2:$D$207,2,FALSE)</f>
        <v>GW - 0212 WTR TANK COMPLIANCE</v>
      </c>
    </row>
    <row r="28" spans="1:8" x14ac:dyDescent="0.25">
      <c r="A28" s="489" t="s">
        <v>1542</v>
      </c>
      <c r="B28" s="489" t="s">
        <v>1543</v>
      </c>
      <c r="C28" s="490">
        <v>0</v>
      </c>
      <c r="D28" s="490">
        <v>38121</v>
      </c>
      <c r="E28" s="490">
        <v>0</v>
      </c>
      <c r="F28" s="490">
        <v>0</v>
      </c>
      <c r="G28" s="490">
        <v>38121</v>
      </c>
      <c r="H28" s="489" t="str">
        <f>VLOOKUP(A28,'TB - Fixed Assets and CIP'!$C$2:$D$207,2,FALSE)</f>
        <v>WD - 0161 FENCE REPAIR &amp; REHAB</v>
      </c>
    </row>
    <row r="29" spans="1:8" x14ac:dyDescent="0.25">
      <c r="A29" s="489" t="s">
        <v>1544</v>
      </c>
      <c r="B29" s="489" t="s">
        <v>1545</v>
      </c>
      <c r="C29" s="490">
        <v>0</v>
      </c>
      <c r="D29" s="490">
        <v>218265.06</v>
      </c>
      <c r="E29" s="490">
        <v>0</v>
      </c>
      <c r="F29" s="490">
        <v>0</v>
      </c>
      <c r="G29" s="490">
        <v>218265.06</v>
      </c>
      <c r="H29" s="489" t="str">
        <f>VLOOKUP(A29,'TB - Fixed Assets and CIP'!$C$2:$D$207,2,FALSE)</f>
        <v>CORPORATION YARD</v>
      </c>
    </row>
    <row r="30" spans="1:8" x14ac:dyDescent="0.25">
      <c r="A30" s="489" t="s">
        <v>1546</v>
      </c>
      <c r="B30" s="489" t="s">
        <v>1547</v>
      </c>
      <c r="C30" s="490">
        <v>0</v>
      </c>
      <c r="D30" s="490">
        <v>1012001.71</v>
      </c>
      <c r="E30" s="490">
        <v>1260.1400000000001</v>
      </c>
      <c r="F30" s="490">
        <v>1260.1400000000001</v>
      </c>
      <c r="G30" s="490">
        <v>1012001.71</v>
      </c>
      <c r="H30" s="489" t="str">
        <f>VLOOKUP(A30,'TB - Fixed Assets and CIP'!$C$2:$D$207,2,FALSE)</f>
        <v>BUILDINGS - 920 2ND AVE, STE A</v>
      </c>
    </row>
    <row r="31" spans="1:8" x14ac:dyDescent="0.25">
      <c r="A31" s="489" t="s">
        <v>1548</v>
      </c>
      <c r="B31" s="489" t="s">
        <v>2060</v>
      </c>
      <c r="C31" s="486">
        <v>633472</v>
      </c>
      <c r="D31" s="490">
        <v>0</v>
      </c>
      <c r="E31" s="490">
        <v>15551.86</v>
      </c>
      <c r="F31" s="490">
        <v>0</v>
      </c>
      <c r="G31" s="490">
        <v>15551.86</v>
      </c>
      <c r="H31" s="489" t="str">
        <f>VLOOKUP(A31,'TB - Fixed Assets and CIP'!$C$2:$D$207,2,FALSE)</f>
        <v>WD - 0202 BUILDINGS - 940 2ND AVENUE</v>
      </c>
    </row>
    <row r="32" spans="1:8" x14ac:dyDescent="0.25">
      <c r="A32" s="489" t="s">
        <v>1551</v>
      </c>
      <c r="B32" s="489" t="s">
        <v>1552</v>
      </c>
      <c r="C32" s="490">
        <v>0</v>
      </c>
      <c r="D32" s="490">
        <v>636134.81000000006</v>
      </c>
      <c r="E32" s="490">
        <v>0</v>
      </c>
      <c r="F32" s="490">
        <v>0</v>
      </c>
      <c r="G32" s="490">
        <v>636134.81000000006</v>
      </c>
      <c r="H32" s="489" t="str">
        <f>VLOOKUP(A32,'TB - Fixed Assets and CIP'!$C$2:$D$207,2,FALSE)</f>
        <v>STORAGE BOOSTER</v>
      </c>
    </row>
    <row r="33" spans="1:8" x14ac:dyDescent="0.25">
      <c r="A33" s="489" t="s">
        <v>1553</v>
      </c>
      <c r="B33" s="489" t="s">
        <v>1554</v>
      </c>
      <c r="C33" s="490">
        <v>0</v>
      </c>
      <c r="D33" s="490">
        <v>2922366.67</v>
      </c>
      <c r="E33" s="490">
        <v>0</v>
      </c>
      <c r="F33" s="490">
        <v>0</v>
      </c>
      <c r="G33" s="490">
        <v>2922366.67</v>
      </c>
      <c r="H33" s="489" t="str">
        <f>VLOOKUP(A33,'TB - Fixed Assets and CIP'!$C$2:$D$207,2,FALSE)</f>
        <v>DESALINATION</v>
      </c>
    </row>
    <row r="34" spans="1:8" x14ac:dyDescent="0.25">
      <c r="A34" s="489" t="s">
        <v>1555</v>
      </c>
      <c r="B34" s="489" t="s">
        <v>1556</v>
      </c>
      <c r="C34" s="490">
        <v>0</v>
      </c>
      <c r="D34" s="490">
        <v>9721.5</v>
      </c>
      <c r="E34" s="490">
        <v>0</v>
      </c>
      <c r="F34" s="490">
        <v>0</v>
      </c>
      <c r="G34" s="490">
        <v>9721.5</v>
      </c>
      <c r="H34" s="489" t="str">
        <f>VLOOKUP(A34,'TB - Fixed Assets and CIP'!$C$2:$D$207,2,FALSE)</f>
        <v>RECLAMATION PROJECT</v>
      </c>
    </row>
    <row r="35" spans="1:8" x14ac:dyDescent="0.25">
      <c r="A35" s="489" t="s">
        <v>1557</v>
      </c>
      <c r="B35" s="489" t="s">
        <v>1558</v>
      </c>
      <c r="C35" s="490">
        <v>0</v>
      </c>
      <c r="D35" s="490">
        <v>540032.43999999994</v>
      </c>
      <c r="E35" s="490">
        <v>0</v>
      </c>
      <c r="F35" s="490">
        <v>0</v>
      </c>
      <c r="G35" s="490">
        <v>540032.43999999994</v>
      </c>
      <c r="H35" s="489" t="str">
        <f>VLOOKUP(A35,'TB - Fixed Assets and CIP'!$C$2:$D$207,2,FALSE)</f>
        <v>SALT WATER INTRUSION PRJ</v>
      </c>
    </row>
    <row r="36" spans="1:8" x14ac:dyDescent="0.25">
      <c r="A36" s="489" t="s">
        <v>1559</v>
      </c>
      <c r="B36" s="489" t="s">
        <v>1560</v>
      </c>
      <c r="C36" s="490">
        <v>0</v>
      </c>
      <c r="D36" s="490">
        <v>2179617.27</v>
      </c>
      <c r="E36" s="490">
        <v>0</v>
      </c>
      <c r="F36" s="490">
        <v>0</v>
      </c>
      <c r="G36" s="490">
        <v>2179617.27</v>
      </c>
      <c r="H36" s="489" t="str">
        <f>VLOOKUP(A36,'TB - Fixed Assets and CIP'!$C$2:$D$207,2,FALSE)</f>
        <v>TRANS/DISTRIBUTION PLANT</v>
      </c>
    </row>
    <row r="37" spans="1:8" x14ac:dyDescent="0.25">
      <c r="A37" s="489" t="s">
        <v>847</v>
      </c>
      <c r="B37" s="489" t="s">
        <v>1120</v>
      </c>
      <c r="C37" s="490">
        <v>2335889</v>
      </c>
      <c r="D37" s="490">
        <v>0</v>
      </c>
      <c r="E37" s="490">
        <v>2411.17</v>
      </c>
      <c r="F37" s="490">
        <v>927357.77</v>
      </c>
      <c r="G37" s="490">
        <v>-924946.6</v>
      </c>
      <c r="H37" s="489" t="str">
        <f>VLOOKUP(A37,'TB - Revenue Data'!$B$5:C100,2,FALSE)</f>
        <v>WATER SALES - RESIDENTIAL</v>
      </c>
    </row>
    <row r="38" spans="1:8" x14ac:dyDescent="0.25">
      <c r="A38" s="489" t="s">
        <v>848</v>
      </c>
      <c r="B38" s="489" t="s">
        <v>1121</v>
      </c>
      <c r="C38" s="490">
        <v>594141</v>
      </c>
      <c r="D38" s="490">
        <v>0</v>
      </c>
      <c r="E38" s="490">
        <v>0</v>
      </c>
      <c r="F38" s="490">
        <v>394568.54</v>
      </c>
      <c r="G38" s="490">
        <v>-394568.54</v>
      </c>
      <c r="H38" s="489" t="str">
        <f>VLOOKUP(A38,'TB - Revenue Data'!$B$5:C101,2,FALSE)</f>
        <v>WATER SALES - BUSINESS</v>
      </c>
    </row>
    <row r="39" spans="1:8" x14ac:dyDescent="0.25">
      <c r="A39" s="489" t="s">
        <v>850</v>
      </c>
      <c r="B39" s="489" t="s">
        <v>1123</v>
      </c>
      <c r="C39" s="490">
        <v>1042548</v>
      </c>
      <c r="D39" s="490">
        <v>0</v>
      </c>
      <c r="E39" s="490">
        <v>1045</v>
      </c>
      <c r="F39" s="490">
        <v>553138.09</v>
      </c>
      <c r="G39" s="490">
        <v>-552093.09</v>
      </c>
      <c r="H39" s="489" t="str">
        <f>VLOOKUP(A39,'TB - Revenue Data'!$B$5:C102,2,FALSE)</f>
        <v>WATER SALES - MULTIPLES</v>
      </c>
    </row>
    <row r="40" spans="1:8" x14ac:dyDescent="0.25">
      <c r="A40" s="489" t="s">
        <v>851</v>
      </c>
      <c r="B40" s="489" t="s">
        <v>1124</v>
      </c>
      <c r="C40" s="490">
        <v>33122</v>
      </c>
      <c r="D40" s="490">
        <v>0</v>
      </c>
      <c r="E40" s="490">
        <v>0</v>
      </c>
      <c r="F40" s="490">
        <v>24719.05</v>
      </c>
      <c r="G40" s="490">
        <v>-24719.05</v>
      </c>
      <c r="H40" s="489" t="str">
        <f>VLOOKUP(A40,'TB - Revenue Data'!$B$5:C103,2,FALSE)</f>
        <v>WATER SALES - GOVERNMENT</v>
      </c>
    </row>
    <row r="41" spans="1:8" x14ac:dyDescent="0.25">
      <c r="A41" s="489" t="s">
        <v>853</v>
      </c>
      <c r="B41" s="489" t="s">
        <v>6</v>
      </c>
      <c r="C41" s="490">
        <v>87171</v>
      </c>
      <c r="D41" s="490">
        <v>0</v>
      </c>
      <c r="E41" s="490">
        <v>5213.28</v>
      </c>
      <c r="F41" s="490">
        <v>49070.64</v>
      </c>
      <c r="G41" s="490">
        <v>-43857.36</v>
      </c>
      <c r="H41" s="489" t="str">
        <f>VLOOKUP(A41,'TB - Revenue Data'!$B$5:C104,2,FALSE)</f>
        <v>FIRE SYSTEM CHARGE</v>
      </c>
    </row>
    <row r="42" spans="1:8" x14ac:dyDescent="0.25">
      <c r="A42" s="489" t="s">
        <v>859</v>
      </c>
      <c r="B42" s="489" t="s">
        <v>1126</v>
      </c>
      <c r="C42" s="490">
        <v>25000</v>
      </c>
      <c r="D42" s="490">
        <v>0</v>
      </c>
      <c r="E42" s="490">
        <v>2053.86</v>
      </c>
      <c r="F42" s="490">
        <v>12912.45</v>
      </c>
      <c r="G42" s="490">
        <v>-10858.59</v>
      </c>
      <c r="H42" s="489" t="str">
        <f>VLOOKUP(A42,'TB - Revenue Data'!$B$5:C105,2,FALSE)</f>
        <v>LATE CHARGE/PENALTY FEES</v>
      </c>
    </row>
    <row r="43" spans="1:8" x14ac:dyDescent="0.25">
      <c r="A43" s="489" t="s">
        <v>856</v>
      </c>
      <c r="B43" s="489" t="s">
        <v>8</v>
      </c>
      <c r="C43" s="490">
        <v>16605</v>
      </c>
      <c r="D43" s="490">
        <v>0</v>
      </c>
      <c r="E43" s="490">
        <v>0</v>
      </c>
      <c r="F43" s="490">
        <v>0</v>
      </c>
      <c r="G43" s="490">
        <v>0</v>
      </c>
      <c r="H43" s="489" t="str">
        <f>VLOOKUP(A43,'TB - Revenue Data'!$B$5:C106,2,FALSE)</f>
        <v>BACKFLOW REVENUE</v>
      </c>
    </row>
    <row r="44" spans="1:8" x14ac:dyDescent="0.25">
      <c r="A44" s="489" t="s">
        <v>857</v>
      </c>
      <c r="B44" s="489" t="s">
        <v>10</v>
      </c>
      <c r="C44" s="490">
        <v>21117</v>
      </c>
      <c r="D44" s="490">
        <v>0</v>
      </c>
      <c r="E44" s="490">
        <v>0</v>
      </c>
      <c r="F44" s="490">
        <v>11810.55</v>
      </c>
      <c r="G44" s="490">
        <v>-11810.55</v>
      </c>
      <c r="H44" s="489" t="str">
        <f>VLOOKUP(A44,'TB - Revenue Data'!$B$5:C107,2,FALSE)</f>
        <v>RECLAIMED WATER SALES</v>
      </c>
    </row>
    <row r="45" spans="1:8" x14ac:dyDescent="0.25">
      <c r="A45" s="489" t="s">
        <v>870</v>
      </c>
      <c r="B45" s="489" t="s">
        <v>13</v>
      </c>
      <c r="C45" s="490">
        <v>13000</v>
      </c>
      <c r="D45" s="490">
        <v>0</v>
      </c>
      <c r="E45" s="490">
        <v>0</v>
      </c>
      <c r="F45" s="490">
        <v>6063.34</v>
      </c>
      <c r="G45" s="490">
        <v>-6063.34</v>
      </c>
      <c r="H45" s="489" t="str">
        <f>VLOOKUP(A45,'TB - Revenue Data'!$B$5:C108,2,FALSE)</f>
        <v>INTEREST INCOME</v>
      </c>
    </row>
    <row r="46" spans="1:8" x14ac:dyDescent="0.25">
      <c r="A46" s="489" t="s">
        <v>871</v>
      </c>
      <c r="B46" s="489" t="s">
        <v>1127</v>
      </c>
      <c r="C46" s="490">
        <v>4000</v>
      </c>
      <c r="D46" s="490">
        <v>0</v>
      </c>
      <c r="E46" s="490">
        <v>0</v>
      </c>
      <c r="F46" s="490">
        <v>135.96</v>
      </c>
      <c r="G46" s="490">
        <v>-135.96</v>
      </c>
      <c r="H46" s="489" t="str">
        <f>VLOOKUP(A46,'TB - Revenue Data'!$B$5:C109,2,FALSE)</f>
        <v>INTEREST INCOME- INTERNAL LOAN</v>
      </c>
    </row>
    <row r="47" spans="1:8" x14ac:dyDescent="0.25">
      <c r="A47" s="489" t="s">
        <v>872</v>
      </c>
      <c r="B47" s="489" t="s">
        <v>15</v>
      </c>
      <c r="C47" s="490">
        <v>19500</v>
      </c>
      <c r="D47" s="490">
        <v>0</v>
      </c>
      <c r="E47" s="490">
        <v>1693</v>
      </c>
      <c r="F47" s="490">
        <v>11303.46</v>
      </c>
      <c r="G47" s="490">
        <v>-9610.4599999999991</v>
      </c>
      <c r="H47" s="489" t="str">
        <f>VLOOKUP(A47,'TB - Revenue Data'!$B$5:C110,2,FALSE)</f>
        <v>INTEREST INCOME - 2006 BOND</v>
      </c>
    </row>
    <row r="48" spans="1:8" x14ac:dyDescent="0.25">
      <c r="A48" s="489" t="s">
        <v>944</v>
      </c>
      <c r="B48" s="489" t="s">
        <v>843</v>
      </c>
      <c r="C48" s="490">
        <v>40</v>
      </c>
      <c r="D48" s="490">
        <v>0</v>
      </c>
      <c r="E48" s="490">
        <v>0</v>
      </c>
      <c r="F48" s="490">
        <v>17.32</v>
      </c>
      <c r="G48" s="490">
        <v>-17.32</v>
      </c>
      <c r="H48" s="489" t="str">
        <f>VLOOKUP(A48,'TB - Revenue Data'!$B$5:C111,2,FALSE)</f>
        <v>INTEREST INCOME - 2010 BOND</v>
      </c>
    </row>
    <row r="49" spans="1:8" x14ac:dyDescent="0.25">
      <c r="A49" s="489" t="s">
        <v>860</v>
      </c>
      <c r="B49" s="489" t="s">
        <v>16</v>
      </c>
      <c r="C49" s="490">
        <v>3000</v>
      </c>
      <c r="D49" s="490">
        <v>0</v>
      </c>
      <c r="E49" s="490">
        <v>0</v>
      </c>
      <c r="F49" s="490">
        <v>1320</v>
      </c>
      <c r="G49" s="490">
        <v>-1320</v>
      </c>
      <c r="H49" s="489" t="str">
        <f>VLOOKUP(A49,'TB - Revenue Data'!$B$5:C112,2,FALSE)</f>
        <v>PLAN CHECK/PERMIT FEES</v>
      </c>
    </row>
    <row r="50" spans="1:8" x14ac:dyDescent="0.25">
      <c r="A50" s="489" t="s">
        <v>861</v>
      </c>
      <c r="B50" s="489" t="s">
        <v>17</v>
      </c>
      <c r="C50" s="490">
        <v>12325</v>
      </c>
      <c r="D50" s="490">
        <v>0</v>
      </c>
      <c r="E50" s="490">
        <v>0</v>
      </c>
      <c r="F50" s="490">
        <v>10786.57</v>
      </c>
      <c r="G50" s="490">
        <v>-10786.57</v>
      </c>
      <c r="H50" s="489" t="str">
        <f>VLOOKUP(A50,'TB - Revenue Data'!$B$5:C113,2,FALSE)</f>
        <v>OTHER INCOME</v>
      </c>
    </row>
    <row r="51" spans="1:8" x14ac:dyDescent="0.25">
      <c r="A51" s="489" t="s">
        <v>863</v>
      </c>
      <c r="B51" s="489" t="s">
        <v>1128</v>
      </c>
      <c r="C51" s="490">
        <v>3425</v>
      </c>
      <c r="D51" s="490">
        <v>0</v>
      </c>
      <c r="E51" s="490">
        <v>0</v>
      </c>
      <c r="F51" s="490">
        <v>0</v>
      </c>
      <c r="G51" s="490">
        <v>0</v>
      </c>
      <c r="H51" s="489" t="str">
        <f>VLOOKUP(A51,'TB - Revenue Data'!$B$5:C114,2,FALSE)</f>
        <v>DEFERRED REVENUE - 2006 BOND</v>
      </c>
    </row>
    <row r="52" spans="1:8" x14ac:dyDescent="0.25">
      <c r="A52" s="489" t="s">
        <v>948</v>
      </c>
      <c r="B52" s="489" t="s">
        <v>1129</v>
      </c>
      <c r="C52" s="490">
        <v>3125</v>
      </c>
      <c r="D52" s="490">
        <v>0</v>
      </c>
      <c r="E52" s="490">
        <v>0</v>
      </c>
      <c r="F52" s="490">
        <v>0</v>
      </c>
      <c r="G52" s="490">
        <v>0</v>
      </c>
      <c r="H52" s="489" t="str">
        <f>VLOOKUP(A52,'TB - Revenue Data'!$B$5:C115,2,FALSE)</f>
        <v>DEFERRED REVENUE - 2010 BOND</v>
      </c>
    </row>
    <row r="53" spans="1:8" x14ac:dyDescent="0.25">
      <c r="A53" s="489" t="s">
        <v>1130</v>
      </c>
      <c r="B53" s="489" t="s">
        <v>1131</v>
      </c>
      <c r="C53" s="490">
        <v>52037.14</v>
      </c>
      <c r="D53" s="490">
        <v>0</v>
      </c>
      <c r="E53" s="490">
        <v>0</v>
      </c>
      <c r="F53" s="490">
        <v>26915.759999999998</v>
      </c>
      <c r="G53" s="490">
        <v>-26915.759999999998</v>
      </c>
      <c r="H53" s="489" t="str">
        <f>VLOOKUP(A53,'TB - Revenue Data'!$B$5:C116,2,FALSE)</f>
        <v>RENTAL REVENUE</v>
      </c>
    </row>
    <row r="54" spans="1:8" x14ac:dyDescent="0.25">
      <c r="A54" s="489" t="s">
        <v>666</v>
      </c>
      <c r="B54" s="489" t="s">
        <v>665</v>
      </c>
      <c r="C54" s="490">
        <v>302296</v>
      </c>
      <c r="D54" s="490">
        <v>0</v>
      </c>
      <c r="E54" s="490">
        <v>142466.4</v>
      </c>
      <c r="F54" s="490">
        <v>11240.76</v>
      </c>
      <c r="G54" s="490">
        <v>131225.64000000001</v>
      </c>
      <c r="H54" s="489" t="str">
        <f>VLOOKUP(A54,'TB - Expense Data'!$H$3:$I$757,2,FALSE)</f>
        <v>WAGES - ADM</v>
      </c>
    </row>
    <row r="55" spans="1:8" x14ac:dyDescent="0.25">
      <c r="A55" s="489" t="s">
        <v>652</v>
      </c>
      <c r="B55" s="489" t="s">
        <v>37</v>
      </c>
      <c r="C55" s="490">
        <v>5329.04</v>
      </c>
      <c r="D55" s="490">
        <v>0</v>
      </c>
      <c r="E55" s="490">
        <v>3499.14</v>
      </c>
      <c r="F55" s="490">
        <v>102.78</v>
      </c>
      <c r="G55" s="490">
        <v>3396.36</v>
      </c>
      <c r="H55" s="489" t="str">
        <f>VLOOKUP(A55,'TB - Expense Data'!$H$3:$I$757,2,FALSE)</f>
        <v>OVERTIME</v>
      </c>
    </row>
    <row r="56" spans="1:8" x14ac:dyDescent="0.25">
      <c r="A56" s="489" t="s">
        <v>635</v>
      </c>
      <c r="B56" s="489" t="s">
        <v>153</v>
      </c>
      <c r="C56" s="490">
        <v>17480</v>
      </c>
      <c r="D56" s="490">
        <v>0</v>
      </c>
      <c r="E56" s="490">
        <v>7437.18</v>
      </c>
      <c r="F56" s="490">
        <v>669.85</v>
      </c>
      <c r="G56" s="490">
        <v>6767.33</v>
      </c>
      <c r="H56" s="489" t="str">
        <f>VLOOKUP(A56,'TB - Expense Data'!$H$3:$I$757,2,FALSE)</f>
        <v>FICA EXPENSE</v>
      </c>
    </row>
    <row r="57" spans="1:8" x14ac:dyDescent="0.25">
      <c r="A57" s="489" t="s">
        <v>646</v>
      </c>
      <c r="B57" s="489" t="s">
        <v>154</v>
      </c>
      <c r="C57" s="490">
        <v>4460</v>
      </c>
      <c r="D57" s="490">
        <v>0</v>
      </c>
      <c r="E57" s="490">
        <v>2068.5700000000002</v>
      </c>
      <c r="F57" s="490">
        <v>156.62</v>
      </c>
      <c r="G57" s="490">
        <v>1911.95</v>
      </c>
      <c r="H57" s="489" t="str">
        <f>VLOOKUP(A57,'TB - Expense Data'!$H$3:$I$757,2,FALSE)</f>
        <v>MEDI EXPENSE</v>
      </c>
    </row>
    <row r="58" spans="1:8" x14ac:dyDescent="0.25">
      <c r="A58" s="489" t="s">
        <v>647</v>
      </c>
      <c r="B58" s="489" t="s">
        <v>38</v>
      </c>
      <c r="C58" s="490">
        <v>57555</v>
      </c>
      <c r="D58" s="490">
        <v>0</v>
      </c>
      <c r="E58" s="490">
        <v>24852.42</v>
      </c>
      <c r="F58" s="490">
        <v>16354.42</v>
      </c>
      <c r="G58" s="490">
        <v>8498</v>
      </c>
      <c r="H58" s="489" t="str">
        <f>VLOOKUP(A58,'TB - Expense Data'!$H$3:$I$757,2,FALSE)</f>
        <v>MEDICAL INSURANCE</v>
      </c>
    </row>
    <row r="59" spans="1:8" x14ac:dyDescent="0.25">
      <c r="A59" s="489" t="s">
        <v>631</v>
      </c>
      <c r="B59" s="489" t="s">
        <v>77</v>
      </c>
      <c r="C59" s="490">
        <v>3548</v>
      </c>
      <c r="D59" s="490">
        <v>0</v>
      </c>
      <c r="E59" s="490">
        <v>1281.97</v>
      </c>
      <c r="F59" s="490">
        <v>28.34</v>
      </c>
      <c r="G59" s="490">
        <v>1253.6300000000001</v>
      </c>
      <c r="H59" s="489" t="str">
        <f>VLOOKUP(A59,'TB - Expense Data'!$H$3:$I$757,2,FALSE)</f>
        <v>DENTAL INSURANCE</v>
      </c>
    </row>
    <row r="60" spans="1:8" x14ac:dyDescent="0.25">
      <c r="A60" s="489" t="s">
        <v>664</v>
      </c>
      <c r="B60" s="489" t="s">
        <v>78</v>
      </c>
      <c r="C60" s="490">
        <v>659</v>
      </c>
      <c r="D60" s="490">
        <v>0</v>
      </c>
      <c r="E60" s="490">
        <v>349.54</v>
      </c>
      <c r="F60" s="490">
        <v>0</v>
      </c>
      <c r="G60" s="490">
        <v>349.54</v>
      </c>
      <c r="H60" s="489" t="str">
        <f>VLOOKUP(A60,'TB - Expense Data'!$H$3:$I$757,2,FALSE)</f>
        <v>VISION INSURANCE</v>
      </c>
    </row>
    <row r="61" spans="1:8" x14ac:dyDescent="0.25">
      <c r="A61" s="489" t="s">
        <v>669</v>
      </c>
      <c r="B61" s="489" t="s">
        <v>893</v>
      </c>
      <c r="C61" s="490">
        <v>3167</v>
      </c>
      <c r="D61" s="490">
        <v>0</v>
      </c>
      <c r="E61" s="490">
        <v>1205.1199999999999</v>
      </c>
      <c r="F61" s="490">
        <v>71.540000000000006</v>
      </c>
      <c r="G61" s="490">
        <v>1133.58</v>
      </c>
      <c r="H61" s="489" t="str">
        <f>VLOOKUP(A61,'TB - Expense Data'!$H$3:$I$757,2,FALSE)</f>
        <v>WORKERS COMP INSURANCE</v>
      </c>
    </row>
    <row r="62" spans="1:8" x14ac:dyDescent="0.25">
      <c r="A62" s="489" t="s">
        <v>644</v>
      </c>
      <c r="B62" s="489" t="s">
        <v>2249</v>
      </c>
      <c r="C62" s="490">
        <v>1121</v>
      </c>
      <c r="D62" s="490">
        <v>0</v>
      </c>
      <c r="E62" s="490">
        <v>668.66</v>
      </c>
      <c r="F62" s="490">
        <v>188.59</v>
      </c>
      <c r="G62" s="490">
        <v>480.07</v>
      </c>
      <c r="H62" s="489" t="str">
        <f>VLOOKUP(A62,'TB - Expense Data'!$H$3:$I$757,2,FALSE)</f>
        <v>LIFE INSURANCE EXPENSE</v>
      </c>
    </row>
    <row r="63" spans="1:8" x14ac:dyDescent="0.25">
      <c r="A63" s="489" t="s">
        <v>661</v>
      </c>
      <c r="B63" s="489" t="s">
        <v>40</v>
      </c>
      <c r="C63" s="490">
        <v>1096</v>
      </c>
      <c r="D63" s="490">
        <v>0</v>
      </c>
      <c r="E63" s="490">
        <v>44.86</v>
      </c>
      <c r="F63" s="490">
        <v>25.47</v>
      </c>
      <c r="G63" s="490">
        <v>19.39</v>
      </c>
      <c r="H63" s="489" t="str">
        <f>VLOOKUP(A63,'TB - Expense Data'!$H$3:$I$757,2,FALSE)</f>
        <v>SUI EXPENSE</v>
      </c>
    </row>
    <row r="64" spans="1:8" x14ac:dyDescent="0.25">
      <c r="A64" s="489" t="s">
        <v>634</v>
      </c>
      <c r="B64" s="489" t="s">
        <v>41</v>
      </c>
      <c r="C64" s="490">
        <v>24</v>
      </c>
      <c r="D64" s="490">
        <v>0</v>
      </c>
      <c r="E64" s="490">
        <v>0.86</v>
      </c>
      <c r="F64" s="490">
        <v>0.6</v>
      </c>
      <c r="G64" s="490">
        <v>0.26</v>
      </c>
      <c r="H64" s="489" t="str">
        <f>VLOOKUP(A64,'TB - Expense Data'!$H$3:$I$757,2,FALSE)</f>
        <v>ETT EXPENSE</v>
      </c>
    </row>
    <row r="65" spans="1:8" x14ac:dyDescent="0.25">
      <c r="A65" s="489" t="s">
        <v>626</v>
      </c>
      <c r="B65" s="489" t="s">
        <v>155</v>
      </c>
      <c r="C65" s="490">
        <v>2088</v>
      </c>
      <c r="D65" s="490">
        <v>0</v>
      </c>
      <c r="E65" s="490">
        <v>875</v>
      </c>
      <c r="F65" s="490">
        <v>150</v>
      </c>
      <c r="G65" s="490">
        <v>725</v>
      </c>
      <c r="H65" s="489" t="str">
        <f>VLOOKUP(A65,'TB - Expense Data'!$H$3:$I$757,2,FALSE)</f>
        <v>CAR ALLOWANCE EXPENSE</v>
      </c>
    </row>
    <row r="66" spans="1:8" x14ac:dyDescent="0.25">
      <c r="A66" s="489" t="s">
        <v>632</v>
      </c>
      <c r="B66" s="489" t="s">
        <v>42</v>
      </c>
      <c r="C66" s="490">
        <v>917</v>
      </c>
      <c r="D66" s="490">
        <v>0</v>
      </c>
      <c r="E66" s="490">
        <v>354.85</v>
      </c>
      <c r="F66" s="490">
        <v>19.11</v>
      </c>
      <c r="G66" s="490">
        <v>335.74</v>
      </c>
      <c r="H66" s="489" t="str">
        <f>VLOOKUP(A66,'TB - Expense Data'!$H$3:$I$757,2,FALSE)</f>
        <v>DISABILITY PLAN</v>
      </c>
    </row>
    <row r="67" spans="1:8" x14ac:dyDescent="0.25">
      <c r="A67" s="489" t="s">
        <v>624</v>
      </c>
      <c r="B67" s="489" t="s">
        <v>2252</v>
      </c>
      <c r="C67" s="490">
        <v>26725</v>
      </c>
      <c r="D67" s="490">
        <v>0</v>
      </c>
      <c r="E67" s="490">
        <v>11091.22</v>
      </c>
      <c r="F67" s="490">
        <v>897.2</v>
      </c>
      <c r="G67" s="490">
        <v>10194.02</v>
      </c>
      <c r="H67" s="489" t="str">
        <f>VLOOKUP(A67,'TB - Expense Data'!$H$3:$I$757,2,FALSE)</f>
        <v>CALPERS RETIREMENT</v>
      </c>
    </row>
    <row r="68" spans="1:8" x14ac:dyDescent="0.25">
      <c r="A68" s="489" t="s">
        <v>625</v>
      </c>
      <c r="B68" s="489" t="s">
        <v>44</v>
      </c>
      <c r="C68" s="490">
        <v>22077</v>
      </c>
      <c r="D68" s="490">
        <v>0</v>
      </c>
      <c r="E68" s="490">
        <v>9200.81</v>
      </c>
      <c r="F68" s="490">
        <v>740.46</v>
      </c>
      <c r="G68" s="490">
        <v>8460.35</v>
      </c>
      <c r="H68" s="489" t="str">
        <f>VLOOKUP(A68,'TB - Expense Data'!$H$3:$I$757,2,FALSE)</f>
        <v>CALPERS RETIREMENT (EE)</v>
      </c>
    </row>
    <row r="69" spans="1:8" x14ac:dyDescent="0.25">
      <c r="A69" s="489" t="s">
        <v>651</v>
      </c>
      <c r="B69" s="489" t="s">
        <v>183</v>
      </c>
      <c r="C69" s="490">
        <v>15370</v>
      </c>
      <c r="D69" s="490">
        <v>0</v>
      </c>
      <c r="E69" s="490">
        <v>0</v>
      </c>
      <c r="F69" s="490">
        <v>0</v>
      </c>
      <c r="G69" s="490">
        <v>0</v>
      </c>
      <c r="H69" s="489" t="str">
        <f>VLOOKUP(A69,'TB - Expense Data'!$H$3:$I$757,2,FALSE)</f>
        <v>OPEB EXPENSE</v>
      </c>
    </row>
    <row r="70" spans="1:8" x14ac:dyDescent="0.25">
      <c r="A70" s="489" t="s">
        <v>2253</v>
      </c>
      <c r="B70" s="489" t="s">
        <v>2254</v>
      </c>
      <c r="C70" s="490">
        <v>0</v>
      </c>
      <c r="D70" s="490">
        <v>0</v>
      </c>
      <c r="E70" s="490">
        <v>369.67</v>
      </c>
      <c r="F70" s="490">
        <v>28.81</v>
      </c>
      <c r="G70" s="490">
        <v>340.86</v>
      </c>
      <c r="H70" s="489" t="str">
        <f>VLOOKUP(A70,'TB - Expense Data'!$H$3:$I$757,2,FALSE)</f>
        <v>CALPERS-62 RETIREMENT (ER)</v>
      </c>
    </row>
    <row r="71" spans="1:8" x14ac:dyDescent="0.25">
      <c r="A71" s="489" t="s">
        <v>2255</v>
      </c>
      <c r="B71" s="489" t="s">
        <v>2256</v>
      </c>
      <c r="C71" s="490">
        <v>0</v>
      </c>
      <c r="D71" s="490">
        <v>0</v>
      </c>
      <c r="E71" s="490">
        <v>470.6</v>
      </c>
      <c r="F71" s="490">
        <v>36.67</v>
      </c>
      <c r="G71" s="490">
        <v>433.93</v>
      </c>
      <c r="H71" s="489" t="str">
        <f>VLOOKUP(A71,'TB - Expense Data'!$H$3:$I$757,2,FALSE)</f>
        <v>CALPERS-62 RETIREMENT (EE)</v>
      </c>
    </row>
    <row r="72" spans="1:8" x14ac:dyDescent="0.25">
      <c r="A72" s="489" t="s">
        <v>1078</v>
      </c>
      <c r="B72" s="489" t="s">
        <v>1079</v>
      </c>
      <c r="C72" s="490">
        <v>38228.959999999999</v>
      </c>
      <c r="D72" s="490">
        <v>0</v>
      </c>
      <c r="E72" s="490">
        <v>37434.589999999997</v>
      </c>
      <c r="F72" s="490">
        <v>0</v>
      </c>
      <c r="G72" s="490">
        <v>37434.589999999997</v>
      </c>
      <c r="H72" s="489" t="str">
        <f>VLOOKUP(A72,'TB - Expense Data'!$H$3:$I$757,2,FALSE)</f>
        <v>PARS RETIREMENT</v>
      </c>
    </row>
    <row r="73" spans="1:8" x14ac:dyDescent="0.25">
      <c r="A73" s="489" t="s">
        <v>643</v>
      </c>
      <c r="B73" s="489" t="s">
        <v>156</v>
      </c>
      <c r="C73" s="490">
        <v>27550</v>
      </c>
      <c r="D73" s="490">
        <v>0</v>
      </c>
      <c r="E73" s="490">
        <v>14947.67</v>
      </c>
      <c r="F73" s="490">
        <v>0</v>
      </c>
      <c r="G73" s="490">
        <v>14947.67</v>
      </c>
      <c r="H73" s="489" t="str">
        <f>VLOOKUP(A73,'TB - Expense Data'!$H$3:$I$757,2,FALSE)</f>
        <v>LIABILITY INSURANCE</v>
      </c>
    </row>
    <row r="74" spans="1:8" x14ac:dyDescent="0.25">
      <c r="A74" s="489" t="s">
        <v>657</v>
      </c>
      <c r="B74" s="489" t="s">
        <v>157</v>
      </c>
      <c r="C74" s="490">
        <v>7250</v>
      </c>
      <c r="D74" s="490">
        <v>0</v>
      </c>
      <c r="E74" s="490">
        <v>2460.6</v>
      </c>
      <c r="F74" s="490">
        <v>0</v>
      </c>
      <c r="G74" s="490">
        <v>2460.6</v>
      </c>
      <c r="H74" s="489" t="str">
        <f>VLOOKUP(A74,'TB - Expense Data'!$H$3:$I$757,2,FALSE)</f>
        <v>PROPERTY INSURANCE</v>
      </c>
    </row>
    <row r="75" spans="1:8" x14ac:dyDescent="0.25">
      <c r="A75" s="489" t="s">
        <v>617</v>
      </c>
      <c r="B75" s="489" t="s">
        <v>158</v>
      </c>
      <c r="C75" s="490">
        <v>1740</v>
      </c>
      <c r="D75" s="490">
        <v>0</v>
      </c>
      <c r="E75" s="490">
        <v>869.7</v>
      </c>
      <c r="F75" s="490">
        <v>0</v>
      </c>
      <c r="G75" s="490">
        <v>869.7</v>
      </c>
      <c r="H75" s="489" t="str">
        <f>VLOOKUP(A75,'TB - Expense Data'!$H$3:$I$757,2,FALSE)</f>
        <v>AUTO INSURANCE</v>
      </c>
    </row>
    <row r="76" spans="1:8" x14ac:dyDescent="0.25">
      <c r="A76" s="489" t="s">
        <v>649</v>
      </c>
      <c r="B76" s="489" t="s">
        <v>159</v>
      </c>
      <c r="C76" s="490">
        <v>4350</v>
      </c>
      <c r="D76" s="490">
        <v>0</v>
      </c>
      <c r="E76" s="490">
        <v>1902.47</v>
      </c>
      <c r="F76" s="490">
        <v>0</v>
      </c>
      <c r="G76" s="490">
        <v>1902.47</v>
      </c>
      <c r="H76" s="489" t="str">
        <f>VLOOKUP(A76,'TB - Expense Data'!$H$3:$I$757,2,FALSE)</f>
        <v>OFFICE POWER/GAS</v>
      </c>
    </row>
    <row r="77" spans="1:8" x14ac:dyDescent="0.25">
      <c r="A77" s="489" t="s">
        <v>623</v>
      </c>
      <c r="B77" s="489" t="s">
        <v>160</v>
      </c>
      <c r="C77" s="490">
        <v>1305</v>
      </c>
      <c r="D77" s="490">
        <v>0</v>
      </c>
      <c r="E77" s="490">
        <v>4697.3999999999996</v>
      </c>
      <c r="F77" s="490">
        <v>0</v>
      </c>
      <c r="G77" s="490">
        <v>4697.3999999999996</v>
      </c>
      <c r="H77" s="489" t="str">
        <f>VLOOKUP(A77,'TB - Expense Data'!$H$3:$I$757,2,FALSE)</f>
        <v>BUILDING SECURITY</v>
      </c>
    </row>
    <row r="78" spans="1:8" x14ac:dyDescent="0.25">
      <c r="A78" s="489" t="s">
        <v>662</v>
      </c>
      <c r="B78" s="489" t="s">
        <v>161</v>
      </c>
      <c r="C78" s="490">
        <v>1856</v>
      </c>
      <c r="D78" s="490">
        <v>0</v>
      </c>
      <c r="E78" s="490">
        <v>922.67</v>
      </c>
      <c r="F78" s="490">
        <v>0</v>
      </c>
      <c r="G78" s="490">
        <v>922.67</v>
      </c>
      <c r="H78" s="489" t="str">
        <f>VLOOKUP(A78,'TB - Expense Data'!$H$3:$I$757,2,FALSE)</f>
        <v>TRASH SERVICES</v>
      </c>
    </row>
    <row r="79" spans="1:8" x14ac:dyDescent="0.25">
      <c r="A79" s="489" t="s">
        <v>616</v>
      </c>
      <c r="B79" s="489" t="s">
        <v>162</v>
      </c>
      <c r="C79" s="490">
        <v>725</v>
      </c>
      <c r="D79" s="490">
        <v>0</v>
      </c>
      <c r="E79" s="490">
        <v>342.02</v>
      </c>
      <c r="F79" s="490">
        <v>44.76</v>
      </c>
      <c r="G79" s="490">
        <v>297.26</v>
      </c>
      <c r="H79" s="489" t="str">
        <f>VLOOKUP(A79,'TB - Expense Data'!$H$3:$I$757,2,FALSE)</f>
        <v>ANSWERING SERVICE</v>
      </c>
    </row>
    <row r="80" spans="1:8" x14ac:dyDescent="0.25">
      <c r="A80" s="489" t="s">
        <v>654</v>
      </c>
      <c r="B80" s="489" t="s">
        <v>83</v>
      </c>
      <c r="C80" s="490">
        <v>13050</v>
      </c>
      <c r="D80" s="490">
        <v>0</v>
      </c>
      <c r="E80" s="490">
        <v>6018.81</v>
      </c>
      <c r="F80" s="490">
        <v>65.22</v>
      </c>
      <c r="G80" s="490">
        <v>5953.59</v>
      </c>
      <c r="H80" s="489" t="str">
        <f>VLOOKUP(A80,'TB - Expense Data'!$H$3:$I$757,2,FALSE)</f>
        <v>PHONE</v>
      </c>
    </row>
    <row r="81" spans="1:8" x14ac:dyDescent="0.25">
      <c r="A81" s="489" t="s">
        <v>658</v>
      </c>
      <c r="B81" s="489" t="s">
        <v>163</v>
      </c>
      <c r="C81" s="490">
        <v>7540</v>
      </c>
      <c r="D81" s="490">
        <v>0</v>
      </c>
      <c r="E81" s="490">
        <v>3909.83</v>
      </c>
      <c r="F81" s="490">
        <v>0</v>
      </c>
      <c r="G81" s="490">
        <v>3909.83</v>
      </c>
      <c r="H81" s="489" t="str">
        <f>VLOOKUP(A81,'TB - Expense Data'!$H$3:$I$757,2,FALSE)</f>
        <v>RENT/LEASE EQUIPMENT</v>
      </c>
    </row>
    <row r="82" spans="1:8" x14ac:dyDescent="0.25">
      <c r="A82" s="489" t="s">
        <v>655</v>
      </c>
      <c r="B82" s="489" t="s">
        <v>70</v>
      </c>
      <c r="C82" s="490">
        <v>16820</v>
      </c>
      <c r="D82" s="490">
        <v>0</v>
      </c>
      <c r="E82" s="490">
        <v>7048.44</v>
      </c>
      <c r="F82" s="490">
        <v>20.65</v>
      </c>
      <c r="G82" s="490">
        <v>7027.79</v>
      </c>
      <c r="H82" s="489" t="str">
        <f>VLOOKUP(A82,'TB - Expense Data'!$H$3:$I$757,2,FALSE)</f>
        <v>POSTAGE</v>
      </c>
    </row>
    <row r="83" spans="1:8" x14ac:dyDescent="0.25">
      <c r="A83" s="489" t="s">
        <v>656</v>
      </c>
      <c r="B83" s="489" t="s">
        <v>47</v>
      </c>
      <c r="C83" s="490">
        <v>1450</v>
      </c>
      <c r="D83" s="490">
        <v>0</v>
      </c>
      <c r="E83" s="490">
        <v>1593.65</v>
      </c>
      <c r="F83" s="490">
        <v>170</v>
      </c>
      <c r="G83" s="490">
        <v>1423.65</v>
      </c>
      <c r="H83" s="489" t="str">
        <f>VLOOKUP(A83,'TB - Expense Data'!$H$3:$I$757,2,FALSE)</f>
        <v>PRINTING</v>
      </c>
    </row>
    <row r="84" spans="1:8" x14ac:dyDescent="0.25">
      <c r="A84" s="489" t="s">
        <v>650</v>
      </c>
      <c r="B84" s="489" t="s">
        <v>48</v>
      </c>
      <c r="C84" s="490">
        <v>2175</v>
      </c>
      <c r="D84" s="490">
        <v>0</v>
      </c>
      <c r="E84" s="490">
        <v>805.93</v>
      </c>
      <c r="F84" s="490">
        <v>546.5</v>
      </c>
      <c r="G84" s="490">
        <v>259.43</v>
      </c>
      <c r="H84" s="489" t="str">
        <f>VLOOKUP(A84,'TB - Expense Data'!$H$3:$I$757,2,FALSE)</f>
        <v>OFFICE SUPPLY</v>
      </c>
    </row>
    <row r="85" spans="1:8" x14ac:dyDescent="0.25">
      <c r="A85" s="489" t="s">
        <v>636</v>
      </c>
      <c r="B85" s="489" t="s">
        <v>49</v>
      </c>
      <c r="C85" s="490">
        <v>5800</v>
      </c>
      <c r="D85" s="490">
        <v>0</v>
      </c>
      <c r="E85" s="490">
        <v>1424.84</v>
      </c>
      <c r="F85" s="490">
        <v>0</v>
      </c>
      <c r="G85" s="490">
        <v>1424.84</v>
      </c>
      <c r="H85" s="489" t="str">
        <f>VLOOKUP(A85,'TB - Expense Data'!$H$3:$I$757,2,FALSE)</f>
        <v>GENERAL SUPPLY</v>
      </c>
    </row>
    <row r="86" spans="1:8" x14ac:dyDescent="0.25">
      <c r="A86" s="489" t="s">
        <v>627</v>
      </c>
      <c r="B86" s="489" t="s">
        <v>50</v>
      </c>
      <c r="C86" s="490">
        <v>8120</v>
      </c>
      <c r="D86" s="490">
        <v>0</v>
      </c>
      <c r="E86" s="490">
        <v>2508.6999999999998</v>
      </c>
      <c r="F86" s="490">
        <v>0</v>
      </c>
      <c r="G86" s="490">
        <v>2508.6999999999998</v>
      </c>
      <c r="H86" s="489" t="str">
        <f>VLOOKUP(A86,'TB - Expense Data'!$H$3:$I$757,2,FALSE)</f>
        <v>COMPUTERS/DATA PROCESSING</v>
      </c>
    </row>
    <row r="87" spans="1:8" x14ac:dyDescent="0.25">
      <c r="A87" s="489" t="s">
        <v>1060</v>
      </c>
      <c r="B87" s="489" t="s">
        <v>1061</v>
      </c>
      <c r="C87" s="490">
        <v>8700</v>
      </c>
      <c r="D87" s="490">
        <v>0</v>
      </c>
      <c r="E87" s="490">
        <v>4206.49</v>
      </c>
      <c r="F87" s="490">
        <v>0</v>
      </c>
      <c r="G87" s="490">
        <v>4206.49</v>
      </c>
      <c r="H87" s="489" t="str">
        <f>VLOOKUP(A87,'TB - Expense Data'!$H$3:$I$757,2,FALSE)</f>
        <v>SOFTWARE AND LICENSING</v>
      </c>
    </row>
    <row r="88" spans="1:8" x14ac:dyDescent="0.25">
      <c r="A88" s="489" t="s">
        <v>615</v>
      </c>
      <c r="B88" s="489" t="s">
        <v>51</v>
      </c>
      <c r="C88" s="490">
        <v>3480</v>
      </c>
      <c r="D88" s="490">
        <v>0</v>
      </c>
      <c r="E88" s="490">
        <v>1095.3</v>
      </c>
      <c r="F88" s="490">
        <v>0</v>
      </c>
      <c r="G88" s="490">
        <v>1095.3</v>
      </c>
      <c r="H88" s="489" t="str">
        <f>VLOOKUP(A88,'TB - Expense Data'!$H$3:$I$757,2,FALSE)</f>
        <v>ADVERTISEMENT</v>
      </c>
    </row>
    <row r="89" spans="1:8" x14ac:dyDescent="0.25">
      <c r="A89" s="489" t="s">
        <v>645</v>
      </c>
      <c r="B89" s="489" t="s">
        <v>164</v>
      </c>
      <c r="C89" s="490">
        <v>17400</v>
      </c>
      <c r="D89" s="490">
        <v>0</v>
      </c>
      <c r="E89" s="490">
        <v>10374.75</v>
      </c>
      <c r="F89" s="490">
        <v>0</v>
      </c>
      <c r="G89" s="490">
        <v>10374.75</v>
      </c>
      <c r="H89" s="489" t="str">
        <f>VLOOKUP(A89,'TB - Expense Data'!$H$3:$I$757,2,FALSE)</f>
        <v>MAINTENANCE AGREEMENTS</v>
      </c>
    </row>
    <row r="90" spans="1:8" x14ac:dyDescent="0.25">
      <c r="A90" s="489" t="s">
        <v>637</v>
      </c>
      <c r="B90" s="489" t="s">
        <v>165</v>
      </c>
      <c r="C90" s="490">
        <v>1740</v>
      </c>
      <c r="D90" s="490">
        <v>0</v>
      </c>
      <c r="E90" s="490">
        <v>546.71</v>
      </c>
      <c r="F90" s="490">
        <v>24.22</v>
      </c>
      <c r="G90" s="490">
        <v>522.49</v>
      </c>
      <c r="H90" s="489" t="str">
        <f>VLOOKUP(A90,'TB - Expense Data'!$H$3:$I$757,2,FALSE)</f>
        <v>HOSPITALITY &amp; AWARDS</v>
      </c>
    </row>
    <row r="91" spans="1:8" x14ac:dyDescent="0.25">
      <c r="A91" s="489" t="s">
        <v>1062</v>
      </c>
      <c r="B91" s="489" t="s">
        <v>1063</v>
      </c>
      <c r="C91" s="490">
        <v>2755</v>
      </c>
      <c r="D91" s="490">
        <v>0</v>
      </c>
      <c r="E91" s="490">
        <v>1041.0999999999999</v>
      </c>
      <c r="F91" s="490">
        <v>0</v>
      </c>
      <c r="G91" s="490">
        <v>1041.0999999999999</v>
      </c>
      <c r="H91" s="489" t="str">
        <f>VLOOKUP(A91,'TB - Expense Data'!$H$3:$I$757,2,FALSE)</f>
        <v>BOARD MEETING VIDEO RECORDING</v>
      </c>
    </row>
    <row r="92" spans="1:8" x14ac:dyDescent="0.25">
      <c r="A92" s="489" t="s">
        <v>614</v>
      </c>
      <c r="B92" s="489" t="s">
        <v>166</v>
      </c>
      <c r="C92" s="490">
        <v>10150</v>
      </c>
      <c r="D92" s="490">
        <v>0</v>
      </c>
      <c r="E92" s="490">
        <v>7329.08</v>
      </c>
      <c r="F92" s="490">
        <v>0</v>
      </c>
      <c r="G92" s="490">
        <v>7329.08</v>
      </c>
      <c r="H92" s="489" t="str">
        <f>VLOOKUP(A92,'TB - Expense Data'!$H$3:$I$757,2,FALSE)</f>
        <v>ACCOUNTING SERVICES</v>
      </c>
    </row>
    <row r="93" spans="1:8" x14ac:dyDescent="0.25">
      <c r="A93" s="489" t="s">
        <v>630</v>
      </c>
      <c r="B93" s="489" t="s">
        <v>52</v>
      </c>
      <c r="C93" s="490">
        <v>49360</v>
      </c>
      <c r="D93" s="490">
        <v>0</v>
      </c>
      <c r="E93" s="490">
        <v>16357.83</v>
      </c>
      <c r="F93" s="490">
        <v>1109.25</v>
      </c>
      <c r="G93" s="490">
        <v>15248.58</v>
      </c>
      <c r="H93" s="489" t="str">
        <f>VLOOKUP(A93,'TB - Expense Data'!$H$3:$I$757,2,FALSE)</f>
        <v>CONSULTING SERVICES</v>
      </c>
    </row>
    <row r="94" spans="1:8" x14ac:dyDescent="0.25">
      <c r="A94" s="489" t="s">
        <v>642</v>
      </c>
      <c r="B94" s="489" t="s">
        <v>167</v>
      </c>
      <c r="C94" s="490">
        <v>61120</v>
      </c>
      <c r="D94" s="490">
        <v>0</v>
      </c>
      <c r="E94" s="490">
        <v>37809.050000000003</v>
      </c>
      <c r="F94" s="490">
        <v>4000.49</v>
      </c>
      <c r="G94" s="490">
        <v>33808.559999999998</v>
      </c>
      <c r="H94" s="489" t="str">
        <f>VLOOKUP(A94,'TB - Expense Data'!$H$3:$I$757,2,FALSE)</f>
        <v>LEGAL FEES</v>
      </c>
    </row>
    <row r="95" spans="1:8" x14ac:dyDescent="0.25">
      <c r="A95" s="489" t="s">
        <v>2266</v>
      </c>
      <c r="B95" s="489" t="s">
        <v>2267</v>
      </c>
      <c r="C95" s="490">
        <v>9000</v>
      </c>
      <c r="D95" s="490">
        <v>0</v>
      </c>
      <c r="E95" s="490">
        <v>0</v>
      </c>
      <c r="F95" s="490">
        <v>0</v>
      </c>
      <c r="G95" s="490">
        <v>0</v>
      </c>
      <c r="H95" s="489" t="str">
        <f>VLOOKUP(A95,'TB - Expense Data'!$H$3:$I$757,2,FALSE)</f>
        <v>WATER AUGMENTATION EXPENSE</v>
      </c>
    </row>
    <row r="96" spans="1:8" x14ac:dyDescent="0.25">
      <c r="A96" s="489" t="s">
        <v>629</v>
      </c>
      <c r="B96" s="489" t="s">
        <v>1151</v>
      </c>
      <c r="C96" s="490">
        <v>2800</v>
      </c>
      <c r="D96" s="490">
        <v>0</v>
      </c>
      <c r="E96" s="490">
        <v>642.6</v>
      </c>
      <c r="F96" s="490">
        <v>0</v>
      </c>
      <c r="G96" s="490">
        <v>642.6</v>
      </c>
      <c r="H96" s="489" t="str">
        <f>VLOOKUP(A96,'TB - Expense Data'!$H$3:$I$757,2,FALSE)</f>
        <v>CONFERENCES</v>
      </c>
    </row>
    <row r="97" spans="1:8" x14ac:dyDescent="0.25">
      <c r="A97" s="489" t="s">
        <v>628</v>
      </c>
      <c r="B97" s="489" t="s">
        <v>180</v>
      </c>
      <c r="C97" s="490">
        <v>870</v>
      </c>
      <c r="D97" s="490">
        <v>0</v>
      </c>
      <c r="E97" s="490">
        <v>366.4</v>
      </c>
      <c r="F97" s="490">
        <v>0</v>
      </c>
      <c r="G97" s="490">
        <v>366.4</v>
      </c>
      <c r="H97" s="489" t="str">
        <f>VLOOKUP(A97,'TB - Expense Data'!$H$3:$I$757,2,FALSE)</f>
        <v>CONFERENCE (BOD)</v>
      </c>
    </row>
    <row r="98" spans="1:8" x14ac:dyDescent="0.25">
      <c r="A98" s="489" t="s">
        <v>633</v>
      </c>
      <c r="B98" s="489" t="s">
        <v>1152</v>
      </c>
      <c r="C98" s="490">
        <v>15525</v>
      </c>
      <c r="D98" s="490">
        <v>0</v>
      </c>
      <c r="E98" s="490">
        <v>2113.16</v>
      </c>
      <c r="F98" s="490">
        <v>0</v>
      </c>
      <c r="G98" s="490">
        <v>2113.16</v>
      </c>
      <c r="H98" s="489" t="str">
        <f>VLOOKUP(A98,'TB - Expense Data'!$H$3:$I$757,2,FALSE)</f>
        <v>EDUCATION/ TRAINING</v>
      </c>
    </row>
    <row r="99" spans="1:8" x14ac:dyDescent="0.25">
      <c r="A99" s="489" t="s">
        <v>663</v>
      </c>
      <c r="B99" s="489" t="s">
        <v>53</v>
      </c>
      <c r="C99" s="490">
        <v>3500</v>
      </c>
      <c r="D99" s="490">
        <v>0</v>
      </c>
      <c r="E99" s="490">
        <v>1519.49</v>
      </c>
      <c r="F99" s="490">
        <v>227.19</v>
      </c>
      <c r="G99" s="490">
        <v>1292.3</v>
      </c>
      <c r="H99" s="489" t="str">
        <f>VLOOKUP(A99,'TB - Expense Data'!$H$3:$I$757,2,FALSE)</f>
        <v>TRAVEL</v>
      </c>
    </row>
    <row r="100" spans="1:8" x14ac:dyDescent="0.25">
      <c r="A100" s="489" t="s">
        <v>659</v>
      </c>
      <c r="B100" s="489" t="s">
        <v>71</v>
      </c>
      <c r="C100" s="490">
        <v>1450</v>
      </c>
      <c r="D100" s="490">
        <v>0</v>
      </c>
      <c r="E100" s="490">
        <v>370</v>
      </c>
      <c r="F100" s="490">
        <v>0</v>
      </c>
      <c r="G100" s="490">
        <v>370</v>
      </c>
      <c r="H100" s="489" t="str">
        <f>VLOOKUP(A100,'TB - Expense Data'!$H$3:$I$757,2,FALSE)</f>
        <v>SAFETY</v>
      </c>
    </row>
    <row r="101" spans="1:8" x14ac:dyDescent="0.25">
      <c r="A101" s="489" t="s">
        <v>648</v>
      </c>
      <c r="B101" s="489" t="s">
        <v>54</v>
      </c>
      <c r="C101" s="490">
        <v>8400</v>
      </c>
      <c r="D101" s="490">
        <v>0</v>
      </c>
      <c r="E101" s="490">
        <v>692.83</v>
      </c>
      <c r="F101" s="490">
        <v>0</v>
      </c>
      <c r="G101" s="490">
        <v>692.83</v>
      </c>
      <c r="H101" s="489" t="str">
        <f>VLOOKUP(A101,'TB - Expense Data'!$H$3:$I$757,2,FALSE)</f>
        <v>MEMBERSHIPS &amp; DUES</v>
      </c>
    </row>
    <row r="102" spans="1:8" x14ac:dyDescent="0.25">
      <c r="A102" s="489" t="s">
        <v>653</v>
      </c>
      <c r="B102" s="489" t="s">
        <v>170</v>
      </c>
      <c r="C102" s="490">
        <v>16240</v>
      </c>
      <c r="D102" s="490">
        <v>0</v>
      </c>
      <c r="E102" s="490">
        <v>8089.56</v>
      </c>
      <c r="F102" s="490">
        <v>0</v>
      </c>
      <c r="G102" s="490">
        <v>8089.56</v>
      </c>
      <c r="H102" s="489" t="str">
        <f>VLOOKUP(A102,'TB - Expense Data'!$H$3:$I$757,2,FALSE)</f>
        <v>PERMITS</v>
      </c>
    </row>
    <row r="103" spans="1:8" x14ac:dyDescent="0.25">
      <c r="A103" s="489" t="s">
        <v>619</v>
      </c>
      <c r="B103" s="489" t="s">
        <v>171</v>
      </c>
      <c r="C103" s="490">
        <v>15950</v>
      </c>
      <c r="D103" s="490">
        <v>0</v>
      </c>
      <c r="E103" s="490">
        <v>9486.2000000000007</v>
      </c>
      <c r="F103" s="490">
        <v>60.44</v>
      </c>
      <c r="G103" s="490">
        <v>9425.76</v>
      </c>
      <c r="H103" s="489" t="str">
        <f>VLOOKUP(A103,'TB - Expense Data'!$H$3:$I$757,2,FALSE)</f>
        <v>BANK &amp; ADMINISTRATION FEE</v>
      </c>
    </row>
    <row r="104" spans="1:8" x14ac:dyDescent="0.25">
      <c r="A104" s="489" t="s">
        <v>620</v>
      </c>
      <c r="B104" s="489" t="s">
        <v>172</v>
      </c>
      <c r="C104" s="490">
        <v>348</v>
      </c>
      <c r="D104" s="490">
        <v>0</v>
      </c>
      <c r="E104" s="490">
        <v>0</v>
      </c>
      <c r="F104" s="490">
        <v>0</v>
      </c>
      <c r="G104" s="490">
        <v>0</v>
      </c>
      <c r="H104" s="489" t="str">
        <f>VLOOKUP(A104,'TB - Expense Data'!$H$3:$I$757,2,FALSE)</f>
        <v>BANK FEE -  2006 BOND</v>
      </c>
    </row>
    <row r="105" spans="1:8" x14ac:dyDescent="0.25">
      <c r="A105" s="489" t="s">
        <v>622</v>
      </c>
      <c r="B105" s="489" t="s">
        <v>621</v>
      </c>
      <c r="C105" s="490">
        <v>348</v>
      </c>
      <c r="D105" s="490">
        <v>0</v>
      </c>
      <c r="E105" s="490">
        <v>0</v>
      </c>
      <c r="F105" s="490">
        <v>0</v>
      </c>
      <c r="G105" s="490">
        <v>0</v>
      </c>
      <c r="H105" s="489" t="str">
        <f>VLOOKUP(A105,'TB - Expense Data'!$H$3:$I$757,2,FALSE)</f>
        <v>BANK FEE - 2010 BOND</v>
      </c>
    </row>
    <row r="106" spans="1:8" x14ac:dyDescent="0.25">
      <c r="A106" s="489" t="s">
        <v>638</v>
      </c>
      <c r="B106" s="489" t="s">
        <v>2272</v>
      </c>
      <c r="C106" s="490">
        <v>290</v>
      </c>
      <c r="D106" s="490">
        <v>0</v>
      </c>
      <c r="E106" s="490">
        <v>34.33</v>
      </c>
      <c r="F106" s="490">
        <v>0</v>
      </c>
      <c r="G106" s="490">
        <v>34.33</v>
      </c>
      <c r="H106" s="489" t="str">
        <f>VLOOKUP(A106,'TB - Expense Data'!$H$3:$I$757,2,FALSE)</f>
        <v>INTEREST EXPENSE</v>
      </c>
    </row>
    <row r="107" spans="1:8" x14ac:dyDescent="0.25">
      <c r="A107" s="489" t="s">
        <v>613</v>
      </c>
      <c r="B107" s="489" t="s">
        <v>612</v>
      </c>
      <c r="C107" s="490">
        <v>73038</v>
      </c>
      <c r="D107" s="490">
        <v>0</v>
      </c>
      <c r="E107" s="490">
        <v>36519</v>
      </c>
      <c r="F107" s="490">
        <v>6086.64</v>
      </c>
      <c r="G107" s="490">
        <v>30432.36</v>
      </c>
      <c r="H107" s="489" t="str">
        <f>VLOOKUP(A107,'TB - Expense Data'!$H$3:$I$757,2,FALSE)</f>
        <v>2010 BOND INTEREST EXPENSE</v>
      </c>
    </row>
    <row r="108" spans="1:8" x14ac:dyDescent="0.25">
      <c r="A108" s="489" t="s">
        <v>611</v>
      </c>
      <c r="B108" s="489" t="s">
        <v>1075</v>
      </c>
      <c r="C108" s="490">
        <v>138200</v>
      </c>
      <c r="D108" s="490">
        <v>0</v>
      </c>
      <c r="E108" s="490">
        <v>69100</v>
      </c>
      <c r="F108" s="490">
        <v>12867</v>
      </c>
      <c r="G108" s="490">
        <v>56233</v>
      </c>
      <c r="H108" s="489" t="str">
        <f>VLOOKUP(A108,'TB - Expense Data'!$H$3:$I$757,2,FALSE)</f>
        <v>2006 BOND INTEREST EXPENSE</v>
      </c>
    </row>
    <row r="109" spans="1:8" x14ac:dyDescent="0.25">
      <c r="A109" s="489" t="s">
        <v>640</v>
      </c>
      <c r="B109" s="489" t="s">
        <v>185</v>
      </c>
      <c r="C109" s="490">
        <v>13000</v>
      </c>
      <c r="D109" s="490">
        <v>0</v>
      </c>
      <c r="E109" s="490">
        <v>6274.47</v>
      </c>
      <c r="F109" s="490">
        <v>0</v>
      </c>
      <c r="G109" s="490">
        <v>6274.47</v>
      </c>
      <c r="H109" s="489" t="str">
        <f>VLOOKUP(A109,'TB - Expense Data'!$H$3:$I$757,2,FALSE)</f>
        <v>IOP INTEREST EXPENSE</v>
      </c>
    </row>
    <row r="110" spans="1:8" x14ac:dyDescent="0.25">
      <c r="A110" s="489" t="s">
        <v>639</v>
      </c>
      <c r="B110" s="489" t="s">
        <v>186</v>
      </c>
      <c r="C110" s="490">
        <v>5220</v>
      </c>
      <c r="D110" s="490">
        <v>0</v>
      </c>
      <c r="E110" s="490">
        <v>0</v>
      </c>
      <c r="F110" s="490">
        <v>0</v>
      </c>
      <c r="G110" s="490">
        <v>0</v>
      </c>
      <c r="H110" s="489" t="str">
        <f>VLOOKUP(A110,'TB - Expense Data'!$H$3:$I$757,2,FALSE)</f>
        <v>IOP EXPENSE</v>
      </c>
    </row>
    <row r="111" spans="1:8" x14ac:dyDescent="0.25">
      <c r="A111" s="489" t="s">
        <v>618</v>
      </c>
      <c r="B111" s="489" t="s">
        <v>178</v>
      </c>
      <c r="C111" s="490">
        <v>290</v>
      </c>
      <c r="D111" s="490">
        <v>0</v>
      </c>
      <c r="E111" s="490">
        <v>0</v>
      </c>
      <c r="F111" s="490">
        <v>0</v>
      </c>
      <c r="G111" s="490">
        <v>0</v>
      </c>
      <c r="H111" s="489" t="str">
        <f>VLOOKUP(A111,'TB - Expense Data'!$H$3:$I$757,2,FALSE)</f>
        <v>BAD DEBT EXPENSE</v>
      </c>
    </row>
    <row r="112" spans="1:8" x14ac:dyDescent="0.25">
      <c r="A112" s="489" t="s">
        <v>194</v>
      </c>
      <c r="B112" s="489" t="s">
        <v>76</v>
      </c>
      <c r="C112" s="490">
        <v>375643.52</v>
      </c>
      <c r="D112" s="490">
        <v>0</v>
      </c>
      <c r="E112" s="490">
        <v>150543.19</v>
      </c>
      <c r="F112" s="490">
        <v>16861.490000000002</v>
      </c>
      <c r="G112" s="490">
        <v>133681.70000000001</v>
      </c>
      <c r="H112" s="489" t="str">
        <f>VLOOKUP(A112,'TB - Expense Data'!$H$3:$I$757,2,FALSE)</f>
        <v>WAGES - OPM</v>
      </c>
    </row>
    <row r="113" spans="1:8" x14ac:dyDescent="0.25">
      <c r="A113" s="489" t="s">
        <v>195</v>
      </c>
      <c r="B113" s="489" t="s">
        <v>37</v>
      </c>
      <c r="C113" s="490">
        <v>11792.64</v>
      </c>
      <c r="D113" s="490">
        <v>0</v>
      </c>
      <c r="E113" s="490">
        <v>4930.58</v>
      </c>
      <c r="F113" s="490">
        <v>0</v>
      </c>
      <c r="G113" s="490">
        <v>4930.58</v>
      </c>
      <c r="H113" s="489" t="str">
        <f>VLOOKUP(A113,'TB - Expense Data'!$H$3:$I$757,2,FALSE)</f>
        <v>OVERTIME</v>
      </c>
    </row>
    <row r="114" spans="1:8" x14ac:dyDescent="0.25">
      <c r="A114" s="489" t="s">
        <v>196</v>
      </c>
      <c r="B114" s="489" t="s">
        <v>1076</v>
      </c>
      <c r="C114" s="490">
        <v>9318.4</v>
      </c>
      <c r="D114" s="490">
        <v>0</v>
      </c>
      <c r="E114" s="490">
        <v>3640</v>
      </c>
      <c r="F114" s="490">
        <v>280</v>
      </c>
      <c r="G114" s="490">
        <v>3360</v>
      </c>
      <c r="H114" s="489" t="str">
        <f>VLOOKUP(A114,'TB - Expense Data'!$H$3:$I$757,2,FALSE)</f>
        <v>STANDBY WAGES</v>
      </c>
    </row>
    <row r="115" spans="1:8" x14ac:dyDescent="0.25">
      <c r="A115" s="489" t="s">
        <v>197</v>
      </c>
      <c r="B115" s="489" t="s">
        <v>153</v>
      </c>
      <c r="C115" s="490">
        <v>24598.720000000001</v>
      </c>
      <c r="D115" s="490">
        <v>0</v>
      </c>
      <c r="E115" s="490">
        <v>9542.0499999999993</v>
      </c>
      <c r="F115" s="490">
        <v>1018.54</v>
      </c>
      <c r="G115" s="490">
        <v>8523.51</v>
      </c>
      <c r="H115" s="489" t="str">
        <f>VLOOKUP(A115,'TB - Expense Data'!$H$3:$I$757,2,FALSE)</f>
        <v>FICA EXPENSE</v>
      </c>
    </row>
    <row r="116" spans="1:8" x14ac:dyDescent="0.25">
      <c r="A116" s="489" t="s">
        <v>198</v>
      </c>
      <c r="B116" s="489" t="s">
        <v>154</v>
      </c>
      <c r="C116" s="490">
        <v>5752.96</v>
      </c>
      <c r="D116" s="490">
        <v>0</v>
      </c>
      <c r="E116" s="490">
        <v>2283.86</v>
      </c>
      <c r="F116" s="490">
        <v>238.19</v>
      </c>
      <c r="G116" s="490">
        <v>2045.67</v>
      </c>
      <c r="H116" s="489" t="str">
        <f>VLOOKUP(A116,'TB - Expense Data'!$H$3:$I$757,2,FALSE)</f>
        <v>MEDI EXPENSE</v>
      </c>
    </row>
    <row r="117" spans="1:8" x14ac:dyDescent="0.25">
      <c r="A117" s="489" t="s">
        <v>199</v>
      </c>
      <c r="B117" s="489" t="s">
        <v>38</v>
      </c>
      <c r="C117" s="490">
        <v>109343.67999999999</v>
      </c>
      <c r="D117" s="490">
        <v>0</v>
      </c>
      <c r="E117" s="490">
        <v>37153.050000000003</v>
      </c>
      <c r="F117" s="490">
        <v>0</v>
      </c>
      <c r="G117" s="490">
        <v>37153.050000000003</v>
      </c>
      <c r="H117" s="489" t="str">
        <f>VLOOKUP(A117,'TB - Expense Data'!$H$3:$I$757,2,FALSE)</f>
        <v>MEDICAL INSURANCE</v>
      </c>
    </row>
    <row r="118" spans="1:8" x14ac:dyDescent="0.25">
      <c r="A118" s="489" t="s">
        <v>200</v>
      </c>
      <c r="B118" s="489" t="s">
        <v>77</v>
      </c>
      <c r="C118" s="490">
        <v>6249.6</v>
      </c>
      <c r="D118" s="490">
        <v>0</v>
      </c>
      <c r="E118" s="490">
        <v>2120.9699999999998</v>
      </c>
      <c r="F118" s="490">
        <v>0</v>
      </c>
      <c r="G118" s="490">
        <v>2120.9699999999998</v>
      </c>
      <c r="H118" s="489" t="str">
        <f>VLOOKUP(A118,'TB - Expense Data'!$H$3:$I$757,2,FALSE)</f>
        <v>DENTAL INSURANCE</v>
      </c>
    </row>
    <row r="119" spans="1:8" x14ac:dyDescent="0.25">
      <c r="A119" s="489" t="s">
        <v>201</v>
      </c>
      <c r="B119" s="489" t="s">
        <v>78</v>
      </c>
      <c r="C119" s="490">
        <v>1103.68</v>
      </c>
      <c r="D119" s="490">
        <v>0</v>
      </c>
      <c r="E119" s="490">
        <v>406.2</v>
      </c>
      <c r="F119" s="490">
        <v>0</v>
      </c>
      <c r="G119" s="490">
        <v>406.2</v>
      </c>
      <c r="H119" s="489" t="str">
        <f>VLOOKUP(A119,'TB - Expense Data'!$H$3:$I$757,2,FALSE)</f>
        <v>VISION INSURANCE</v>
      </c>
    </row>
    <row r="120" spans="1:8" x14ac:dyDescent="0.25">
      <c r="A120" s="489" t="s">
        <v>202</v>
      </c>
      <c r="B120" s="489" t="s">
        <v>893</v>
      </c>
      <c r="C120" s="490">
        <v>15318.4</v>
      </c>
      <c r="D120" s="490">
        <v>0</v>
      </c>
      <c r="E120" s="490">
        <v>6335.41</v>
      </c>
      <c r="F120" s="490">
        <v>345.92</v>
      </c>
      <c r="G120" s="490">
        <v>5989.49</v>
      </c>
      <c r="H120" s="489" t="str">
        <f>VLOOKUP(A120,'TB - Expense Data'!$H$3:$I$757,2,FALSE)</f>
        <v>WORKERS COMP INSURANCE</v>
      </c>
    </row>
    <row r="121" spans="1:8" x14ac:dyDescent="0.25">
      <c r="A121" s="489" t="s">
        <v>203</v>
      </c>
      <c r="B121" s="489" t="s">
        <v>2249</v>
      </c>
      <c r="C121" s="490">
        <v>1487.68</v>
      </c>
      <c r="D121" s="490">
        <v>0</v>
      </c>
      <c r="E121" s="490">
        <v>902.58</v>
      </c>
      <c r="F121" s="490">
        <v>252.7</v>
      </c>
      <c r="G121" s="490">
        <v>649.88</v>
      </c>
      <c r="H121" s="489" t="str">
        <f>VLOOKUP(A121,'TB - Expense Data'!$H$3:$I$757,2,FALSE)</f>
        <v>LIFE INSURANCE EXPENSE</v>
      </c>
    </row>
    <row r="122" spans="1:8" x14ac:dyDescent="0.25">
      <c r="A122" s="489" t="s">
        <v>204</v>
      </c>
      <c r="B122" s="489" t="s">
        <v>64</v>
      </c>
      <c r="C122" s="490">
        <v>2176</v>
      </c>
      <c r="D122" s="490">
        <v>0</v>
      </c>
      <c r="E122" s="490">
        <v>954.55</v>
      </c>
      <c r="F122" s="490">
        <v>0</v>
      </c>
      <c r="G122" s="490">
        <v>954.55</v>
      </c>
      <c r="H122" s="489" t="str">
        <f>VLOOKUP(A122,'TB - Expense Data'!$H$3:$I$757,2,FALSE)</f>
        <v>UNIFORM BENEFIT</v>
      </c>
    </row>
    <row r="123" spans="1:8" x14ac:dyDescent="0.25">
      <c r="A123" s="489" t="s">
        <v>205</v>
      </c>
      <c r="B123" s="489" t="s">
        <v>65</v>
      </c>
      <c r="C123" s="490">
        <v>1088</v>
      </c>
      <c r="D123" s="490">
        <v>0</v>
      </c>
      <c r="E123" s="490">
        <v>252.55</v>
      </c>
      <c r="F123" s="490">
        <v>0</v>
      </c>
      <c r="G123" s="490">
        <v>252.55</v>
      </c>
      <c r="H123" s="489" t="str">
        <f>VLOOKUP(A123,'TB - Expense Data'!$H$3:$I$757,2,FALSE)</f>
        <v>BOOT BENEFIT</v>
      </c>
    </row>
    <row r="124" spans="1:8" x14ac:dyDescent="0.25">
      <c r="A124" s="489" t="s">
        <v>206</v>
      </c>
      <c r="B124" s="489" t="s">
        <v>40</v>
      </c>
      <c r="C124" s="490">
        <v>1683.52</v>
      </c>
      <c r="D124" s="490">
        <v>0</v>
      </c>
      <c r="E124" s="490">
        <v>6.95</v>
      </c>
      <c r="F124" s="490">
        <v>0</v>
      </c>
      <c r="G124" s="490">
        <v>6.95</v>
      </c>
      <c r="H124" s="489" t="str">
        <f>VLOOKUP(A124,'TB - Expense Data'!$H$3:$I$757,2,FALSE)</f>
        <v>SUI EXPENSE</v>
      </c>
    </row>
    <row r="125" spans="1:8" x14ac:dyDescent="0.25">
      <c r="A125" s="489" t="s">
        <v>207</v>
      </c>
      <c r="B125" s="489" t="s">
        <v>41</v>
      </c>
      <c r="C125" s="490">
        <v>37.44</v>
      </c>
      <c r="D125" s="490">
        <v>0</v>
      </c>
      <c r="E125" s="490">
        <v>0</v>
      </c>
      <c r="F125" s="490">
        <v>0</v>
      </c>
      <c r="G125" s="490">
        <v>0</v>
      </c>
      <c r="H125" s="489" t="str">
        <f>VLOOKUP(A125,'TB - Expense Data'!$H$3:$I$757,2,FALSE)</f>
        <v>ETT EXPENSE</v>
      </c>
    </row>
    <row r="126" spans="1:8" x14ac:dyDescent="0.25">
      <c r="A126" s="489" t="s">
        <v>208</v>
      </c>
      <c r="B126" s="489" t="s">
        <v>42</v>
      </c>
      <c r="C126" s="490">
        <v>1169.28</v>
      </c>
      <c r="D126" s="490">
        <v>0</v>
      </c>
      <c r="E126" s="490">
        <v>480.09</v>
      </c>
      <c r="F126" s="490">
        <v>25.76</v>
      </c>
      <c r="G126" s="490">
        <v>454.33</v>
      </c>
      <c r="H126" s="489" t="str">
        <f>VLOOKUP(A126,'TB - Expense Data'!$H$3:$I$757,2,FALSE)</f>
        <v>DISABILITY PLAN</v>
      </c>
    </row>
    <row r="127" spans="1:8" x14ac:dyDescent="0.25">
      <c r="A127" s="489" t="s">
        <v>209</v>
      </c>
      <c r="B127" s="489" t="s">
        <v>2252</v>
      </c>
      <c r="C127" s="490">
        <v>34058.879999999997</v>
      </c>
      <c r="D127" s="490">
        <v>0</v>
      </c>
      <c r="E127" s="490">
        <v>12918.67</v>
      </c>
      <c r="F127" s="490">
        <v>1443.85</v>
      </c>
      <c r="G127" s="490">
        <v>11474.82</v>
      </c>
      <c r="H127" s="489" t="str">
        <f>VLOOKUP(A127,'TB - Expense Data'!$H$3:$I$757,2,FALSE)</f>
        <v>CALPERS RETIREMENT</v>
      </c>
    </row>
    <row r="128" spans="1:8" x14ac:dyDescent="0.25">
      <c r="A128" s="489" t="s">
        <v>210</v>
      </c>
      <c r="B128" s="489" t="s">
        <v>44</v>
      </c>
      <c r="C128" s="490">
        <v>28135.68</v>
      </c>
      <c r="D128" s="490">
        <v>0</v>
      </c>
      <c r="E128" s="490">
        <v>10725.6</v>
      </c>
      <c r="F128" s="490">
        <v>1190.07</v>
      </c>
      <c r="G128" s="490">
        <v>9535.5300000000007</v>
      </c>
      <c r="H128" s="489" t="str">
        <f>VLOOKUP(A128,'TB - Expense Data'!$H$3:$I$757,2,FALSE)</f>
        <v>CALPERS RETIREMENT (EE)</v>
      </c>
    </row>
    <row r="129" spans="1:8" x14ac:dyDescent="0.25">
      <c r="A129" s="489" t="s">
        <v>211</v>
      </c>
      <c r="B129" s="489" t="s">
        <v>183</v>
      </c>
      <c r="C129" s="490">
        <v>14400</v>
      </c>
      <c r="D129" s="490">
        <v>0</v>
      </c>
      <c r="E129" s="490">
        <v>0</v>
      </c>
      <c r="F129" s="490">
        <v>0</v>
      </c>
      <c r="G129" s="490">
        <v>0</v>
      </c>
      <c r="H129" s="489" t="str">
        <f>VLOOKUP(A129,'TB - Expense Data'!$H$3:$I$757,2,FALSE)</f>
        <v>OPEB EXPENSE</v>
      </c>
    </row>
    <row r="130" spans="1:8" x14ac:dyDescent="0.25">
      <c r="A130" s="489" t="s">
        <v>212</v>
      </c>
      <c r="B130" s="489" t="s">
        <v>1161</v>
      </c>
      <c r="C130" s="490">
        <v>493</v>
      </c>
      <c r="D130" s="490">
        <v>0</v>
      </c>
      <c r="E130" s="490">
        <v>0</v>
      </c>
      <c r="F130" s="490">
        <v>0</v>
      </c>
      <c r="G130" s="490">
        <v>0</v>
      </c>
      <c r="H130" s="489" t="str">
        <f>VLOOKUP(A130,'TB - Expense Data'!$H$3:$I$757,2,FALSE)</f>
        <v>BOOKS &amp; REF MATERIALS</v>
      </c>
    </row>
    <row r="131" spans="1:8" x14ac:dyDescent="0.25">
      <c r="A131" s="489" t="s">
        <v>213</v>
      </c>
      <c r="B131" s="489" t="s">
        <v>48</v>
      </c>
      <c r="C131" s="490">
        <v>290</v>
      </c>
      <c r="D131" s="490">
        <v>0</v>
      </c>
      <c r="E131" s="490">
        <v>6.98</v>
      </c>
      <c r="F131" s="490">
        <v>0</v>
      </c>
      <c r="G131" s="490">
        <v>6.98</v>
      </c>
      <c r="H131" s="489" t="str">
        <f>VLOOKUP(A131,'TB - Expense Data'!$H$3:$I$757,2,FALSE)</f>
        <v>OFFICE SUPPLY</v>
      </c>
    </row>
    <row r="132" spans="1:8" x14ac:dyDescent="0.25">
      <c r="A132" s="489" t="s">
        <v>215</v>
      </c>
      <c r="B132" s="489" t="s">
        <v>54</v>
      </c>
      <c r="C132" s="490">
        <v>1885</v>
      </c>
      <c r="D132" s="490">
        <v>0</v>
      </c>
      <c r="E132" s="490">
        <v>470.9</v>
      </c>
      <c r="F132" s="490">
        <v>0</v>
      </c>
      <c r="G132" s="490">
        <v>470.9</v>
      </c>
      <c r="H132" s="489" t="str">
        <f>VLOOKUP(A132,'TB - Expense Data'!$H$3:$I$757,2,FALSE)</f>
        <v>MEMBERSHIPS &amp; DUES</v>
      </c>
    </row>
    <row r="133" spans="1:8" x14ac:dyDescent="0.25">
      <c r="A133" s="489" t="s">
        <v>216</v>
      </c>
      <c r="B133" s="489" t="s">
        <v>71</v>
      </c>
      <c r="C133" s="490">
        <v>3480</v>
      </c>
      <c r="D133" s="490">
        <v>0</v>
      </c>
      <c r="E133" s="490">
        <v>970.5</v>
      </c>
      <c r="F133" s="490">
        <v>0</v>
      </c>
      <c r="G133" s="490">
        <v>970.5</v>
      </c>
      <c r="H133" s="489" t="str">
        <f>VLOOKUP(A133,'TB - Expense Data'!$H$3:$I$757,2,FALSE)</f>
        <v>SAFETY</v>
      </c>
    </row>
    <row r="134" spans="1:8" x14ac:dyDescent="0.25">
      <c r="A134" s="489" t="s">
        <v>217</v>
      </c>
      <c r="B134" s="489" t="s">
        <v>80</v>
      </c>
      <c r="C134" s="490">
        <v>1450</v>
      </c>
      <c r="D134" s="490">
        <v>0</v>
      </c>
      <c r="E134" s="490">
        <v>898.91</v>
      </c>
      <c r="F134" s="490">
        <v>0</v>
      </c>
      <c r="G134" s="490">
        <v>898.91</v>
      </c>
      <c r="H134" s="489" t="str">
        <f>VLOOKUP(A134,'TB - Expense Data'!$H$3:$I$757,2,FALSE)</f>
        <v>SUPPLIES</v>
      </c>
    </row>
    <row r="135" spans="1:8" x14ac:dyDescent="0.25">
      <c r="A135" s="489" t="s">
        <v>218</v>
      </c>
      <c r="B135" s="489" t="s">
        <v>1163</v>
      </c>
      <c r="C135" s="490">
        <v>47850</v>
      </c>
      <c r="D135" s="490">
        <v>0</v>
      </c>
      <c r="E135" s="490">
        <v>27324.99</v>
      </c>
      <c r="F135" s="490">
        <v>4366.8500000000004</v>
      </c>
      <c r="G135" s="490">
        <v>22958.14</v>
      </c>
      <c r="H135" s="489" t="str">
        <f>VLOOKUP(A135,'TB - Expense Data'!$H$3:$I$757,2,FALSE)</f>
        <v>GENERAL O&amp;M MAINT/ EQUIP</v>
      </c>
    </row>
    <row r="136" spans="1:8" x14ac:dyDescent="0.25">
      <c r="A136" s="489" t="s">
        <v>219</v>
      </c>
      <c r="B136" s="489" t="s">
        <v>81</v>
      </c>
      <c r="C136" s="490">
        <v>43.5</v>
      </c>
      <c r="D136" s="490">
        <v>0</v>
      </c>
      <c r="E136" s="490">
        <v>60.46</v>
      </c>
      <c r="F136" s="490">
        <v>0</v>
      </c>
      <c r="G136" s="490">
        <v>60.46</v>
      </c>
      <c r="H136" s="489" t="str">
        <f>VLOOKUP(A136,'TB - Expense Data'!$H$3:$I$757,2,FALSE)</f>
        <v>O&amp;M POWER/GAS</v>
      </c>
    </row>
    <row r="137" spans="1:8" x14ac:dyDescent="0.25">
      <c r="A137" s="489" t="s">
        <v>220</v>
      </c>
      <c r="B137" s="489" t="s">
        <v>82</v>
      </c>
      <c r="C137" s="490">
        <v>4785</v>
      </c>
      <c r="D137" s="490">
        <v>0</v>
      </c>
      <c r="E137" s="490">
        <v>2936.51</v>
      </c>
      <c r="F137" s="490">
        <v>0</v>
      </c>
      <c r="G137" s="490">
        <v>2936.51</v>
      </c>
      <c r="H137" s="489" t="str">
        <f>VLOOKUP(A137,'TB - Expense Data'!$H$3:$I$757,2,FALSE)</f>
        <v>LUBRICANTS</v>
      </c>
    </row>
    <row r="138" spans="1:8" x14ac:dyDescent="0.25">
      <c r="A138" s="489" t="s">
        <v>223</v>
      </c>
      <c r="B138" s="489" t="s">
        <v>83</v>
      </c>
      <c r="C138" s="490">
        <v>1015</v>
      </c>
      <c r="D138" s="490">
        <v>0</v>
      </c>
      <c r="E138" s="490">
        <v>826.11</v>
      </c>
      <c r="F138" s="490">
        <v>0</v>
      </c>
      <c r="G138" s="490">
        <v>826.11</v>
      </c>
      <c r="H138" s="489" t="str">
        <f>VLOOKUP(A138,'TB - Expense Data'!$H$3:$I$757,2,FALSE)</f>
        <v>PHONE</v>
      </c>
    </row>
    <row r="139" spans="1:8" x14ac:dyDescent="0.25">
      <c r="A139" s="489" t="s">
        <v>224</v>
      </c>
      <c r="B139" s="489" t="s">
        <v>84</v>
      </c>
      <c r="C139" s="490">
        <v>20000</v>
      </c>
      <c r="D139" s="490">
        <v>0</v>
      </c>
      <c r="E139" s="490">
        <v>11785.41</v>
      </c>
      <c r="F139" s="490">
        <v>0</v>
      </c>
      <c r="G139" s="490">
        <v>11785.41</v>
      </c>
      <c r="H139" s="489" t="str">
        <f>VLOOKUP(A139,'TB - Expense Data'!$H$3:$I$757,2,FALSE)</f>
        <v>METERS</v>
      </c>
    </row>
    <row r="140" spans="1:8" x14ac:dyDescent="0.25">
      <c r="A140" s="489" t="s">
        <v>956</v>
      </c>
      <c r="B140" s="489" t="s">
        <v>1086</v>
      </c>
      <c r="C140" s="490">
        <v>11600</v>
      </c>
      <c r="D140" s="490">
        <v>0</v>
      </c>
      <c r="E140" s="490">
        <v>1101.27</v>
      </c>
      <c r="F140" s="490">
        <v>0</v>
      </c>
      <c r="G140" s="490">
        <v>1101.27</v>
      </c>
      <c r="H140" s="489" t="str">
        <f>VLOOKUP(A140,'TB - Expense Data'!$H$3:$I$757,2,FALSE)</f>
        <v>MAINTENANCE MANAGEMENT SYSTEM</v>
      </c>
    </row>
    <row r="141" spans="1:8" x14ac:dyDescent="0.25">
      <c r="A141" s="489" t="s">
        <v>225</v>
      </c>
      <c r="B141" s="489" t="s">
        <v>85</v>
      </c>
      <c r="C141" s="490">
        <v>11600</v>
      </c>
      <c r="D141" s="490">
        <v>0</v>
      </c>
      <c r="E141" s="490">
        <v>1800.76</v>
      </c>
      <c r="F141" s="490">
        <v>0</v>
      </c>
      <c r="G141" s="490">
        <v>1800.76</v>
      </c>
      <c r="H141" s="489" t="str">
        <f>VLOOKUP(A141,'TB - Expense Data'!$H$3:$I$757,2,FALSE)</f>
        <v>ANNUAL MAINTENANCE PROGRAM</v>
      </c>
    </row>
    <row r="142" spans="1:8" x14ac:dyDescent="0.25">
      <c r="A142" s="489" t="s">
        <v>226</v>
      </c>
      <c r="B142" s="489" t="s">
        <v>189</v>
      </c>
      <c r="C142" s="490">
        <v>50</v>
      </c>
      <c r="D142" s="490">
        <v>0</v>
      </c>
      <c r="E142" s="490">
        <v>2224.4</v>
      </c>
      <c r="F142" s="490">
        <v>0</v>
      </c>
      <c r="G142" s="490">
        <v>2224.4</v>
      </c>
      <c r="H142" s="489" t="str">
        <f>VLOOKUP(A142,'TB - Expense Data'!$H$3:$I$757,2,FALSE)</f>
        <v>INTERTIE #2 MAINT &amp; EQUIP</v>
      </c>
    </row>
    <row r="143" spans="1:8" x14ac:dyDescent="0.25">
      <c r="A143" s="489" t="s">
        <v>227</v>
      </c>
      <c r="B143" s="489" t="s">
        <v>190</v>
      </c>
      <c r="C143" s="490">
        <v>400</v>
      </c>
      <c r="D143" s="490">
        <v>0</v>
      </c>
      <c r="E143" s="490">
        <v>201.52</v>
      </c>
      <c r="F143" s="490">
        <v>0</v>
      </c>
      <c r="G143" s="490">
        <v>201.52</v>
      </c>
      <c r="H143" s="489" t="str">
        <f>VLOOKUP(A143,'TB - Expense Data'!$H$3:$I$757,2,FALSE)</f>
        <v>INTERTIE #2 POWER</v>
      </c>
    </row>
    <row r="144" spans="1:8" x14ac:dyDescent="0.25">
      <c r="A144" s="489" t="s">
        <v>228</v>
      </c>
      <c r="B144" s="489" t="s">
        <v>86</v>
      </c>
      <c r="C144" s="490">
        <v>5000</v>
      </c>
      <c r="D144" s="490">
        <v>0</v>
      </c>
      <c r="E144" s="490">
        <v>0</v>
      </c>
      <c r="F144" s="490">
        <v>0</v>
      </c>
      <c r="G144" s="490">
        <v>0</v>
      </c>
      <c r="H144" s="489" t="str">
        <f>VLOOKUP(A144,'TB - Expense Data'!$H$3:$I$757,2,FALSE)</f>
        <v>WELL #10 MAINT &amp; EQUIP</v>
      </c>
    </row>
    <row r="145" spans="1:8" x14ac:dyDescent="0.25">
      <c r="A145" s="489" t="s">
        <v>229</v>
      </c>
      <c r="B145" s="489" t="s">
        <v>87</v>
      </c>
      <c r="C145" s="490">
        <v>80000</v>
      </c>
      <c r="D145" s="490">
        <v>0</v>
      </c>
      <c r="E145" s="490">
        <v>47896.86</v>
      </c>
      <c r="F145" s="490">
        <v>0</v>
      </c>
      <c r="G145" s="490">
        <v>47896.86</v>
      </c>
      <c r="H145" s="489" t="str">
        <f>VLOOKUP(A145,'TB - Expense Data'!$H$3:$I$757,2,FALSE)</f>
        <v>WELL #10 POWER</v>
      </c>
    </row>
    <row r="146" spans="1:8" x14ac:dyDescent="0.25">
      <c r="A146" s="489" t="s">
        <v>230</v>
      </c>
      <c r="B146" s="489" t="s">
        <v>88</v>
      </c>
      <c r="C146" s="490">
        <v>5000</v>
      </c>
      <c r="D146" s="490">
        <v>0</v>
      </c>
      <c r="E146" s="490">
        <v>453.76</v>
      </c>
      <c r="F146" s="490">
        <v>0</v>
      </c>
      <c r="G146" s="490">
        <v>453.76</v>
      </c>
      <c r="H146" s="489" t="str">
        <f>VLOOKUP(A146,'TB - Expense Data'!$H$3:$I$757,2,FALSE)</f>
        <v>WELL #11 MAINT &amp; EQUIP</v>
      </c>
    </row>
    <row r="147" spans="1:8" x14ac:dyDescent="0.25">
      <c r="A147" s="489" t="s">
        <v>231</v>
      </c>
      <c r="B147" s="489" t="s">
        <v>89</v>
      </c>
      <c r="C147" s="490">
        <v>110000</v>
      </c>
      <c r="D147" s="490">
        <v>0</v>
      </c>
      <c r="E147" s="490">
        <v>55545.18</v>
      </c>
      <c r="F147" s="490">
        <v>0</v>
      </c>
      <c r="G147" s="490">
        <v>55545.18</v>
      </c>
      <c r="H147" s="489" t="str">
        <f>VLOOKUP(A147,'TB - Expense Data'!$H$3:$I$757,2,FALSE)</f>
        <v>WELL #11 POWER</v>
      </c>
    </row>
    <row r="148" spans="1:8" x14ac:dyDescent="0.25">
      <c r="A148" s="489" t="s">
        <v>232</v>
      </c>
      <c r="B148" s="489" t="s">
        <v>90</v>
      </c>
      <c r="C148" s="490">
        <v>20000</v>
      </c>
      <c r="D148" s="490">
        <v>0</v>
      </c>
      <c r="E148" s="490">
        <v>324.2</v>
      </c>
      <c r="F148" s="490">
        <v>0</v>
      </c>
      <c r="G148" s="490">
        <v>324.2</v>
      </c>
      <c r="H148" s="489" t="str">
        <f>VLOOKUP(A148,'TB - Expense Data'!$H$3:$I$757,2,FALSE)</f>
        <v>WELL #12 MAINT &amp; EQUIP</v>
      </c>
    </row>
    <row r="149" spans="1:8" x14ac:dyDescent="0.25">
      <c r="A149" s="489" t="s">
        <v>233</v>
      </c>
      <c r="B149" s="489" t="s">
        <v>91</v>
      </c>
      <c r="C149" s="490">
        <v>8500</v>
      </c>
      <c r="D149" s="490">
        <v>0</v>
      </c>
      <c r="E149" s="490">
        <v>3058.28</v>
      </c>
      <c r="F149" s="490">
        <v>0</v>
      </c>
      <c r="G149" s="490">
        <v>3058.28</v>
      </c>
      <c r="H149" s="489" t="str">
        <f>VLOOKUP(A149,'TB - Expense Data'!$H$3:$I$757,2,FALSE)</f>
        <v>WELL #12 POWER</v>
      </c>
    </row>
    <row r="150" spans="1:8" x14ac:dyDescent="0.25">
      <c r="A150" s="489" t="s">
        <v>235</v>
      </c>
      <c r="B150" s="489" t="s">
        <v>234</v>
      </c>
      <c r="C150" s="490">
        <v>0</v>
      </c>
      <c r="D150" s="490">
        <v>0</v>
      </c>
      <c r="E150" s="490">
        <v>19.18</v>
      </c>
      <c r="F150" s="490">
        <v>0</v>
      </c>
      <c r="G150" s="490">
        <v>19.18</v>
      </c>
      <c r="H150" s="489" t="str">
        <f>VLOOKUP(A150,'TB - Expense Data'!$H$3:$I$757,2,FALSE)</f>
        <v>WELL #2 MAINT &amp; EQUIP</v>
      </c>
    </row>
    <row r="151" spans="1:8" x14ac:dyDescent="0.25">
      <c r="A151" s="489" t="s">
        <v>237</v>
      </c>
      <c r="B151" s="489" t="s">
        <v>93</v>
      </c>
      <c r="C151" s="490">
        <v>20000</v>
      </c>
      <c r="D151" s="490">
        <v>0</v>
      </c>
      <c r="E151" s="490">
        <v>8617.33</v>
      </c>
      <c r="F151" s="490">
        <v>0</v>
      </c>
      <c r="G151" s="490">
        <v>8617.33</v>
      </c>
      <c r="H151" s="489" t="str">
        <f>VLOOKUP(A151,'TB - Expense Data'!$H$3:$I$757,2,FALSE)</f>
        <v>DESAL POWER</v>
      </c>
    </row>
    <row r="152" spans="1:8" x14ac:dyDescent="0.25">
      <c r="A152" s="489" t="s">
        <v>238</v>
      </c>
      <c r="B152" s="489" t="s">
        <v>1170</v>
      </c>
      <c r="C152" s="490">
        <v>11600</v>
      </c>
      <c r="D152" s="490">
        <v>0</v>
      </c>
      <c r="E152" s="490">
        <v>2193.48</v>
      </c>
      <c r="F152" s="490">
        <v>0</v>
      </c>
      <c r="G152" s="490">
        <v>2193.48</v>
      </c>
      <c r="H152" s="489" t="str">
        <f>VLOOKUP(A152,'TB - Expense Data'!$H$3:$I$757,2,FALSE)</f>
        <v>REAL PROPERTY MAINT</v>
      </c>
    </row>
    <row r="153" spans="1:8" x14ac:dyDescent="0.25">
      <c r="A153" s="489" t="s">
        <v>239</v>
      </c>
      <c r="B153" s="489" t="s">
        <v>55</v>
      </c>
      <c r="C153" s="490">
        <v>17400</v>
      </c>
      <c r="D153" s="490">
        <v>0</v>
      </c>
      <c r="E153" s="490">
        <v>7200.1</v>
      </c>
      <c r="F153" s="490">
        <v>240.11</v>
      </c>
      <c r="G153" s="490">
        <v>6959.99</v>
      </c>
      <c r="H153" s="489" t="str">
        <f>VLOOKUP(A153,'TB - Expense Data'!$H$3:$I$757,2,FALSE)</f>
        <v>FLEET MAINTENANCE</v>
      </c>
    </row>
    <row r="154" spans="1:8" x14ac:dyDescent="0.25">
      <c r="A154" s="489" t="s">
        <v>240</v>
      </c>
      <c r="B154" s="489" t="s">
        <v>102</v>
      </c>
      <c r="C154" s="490">
        <v>1000</v>
      </c>
      <c r="D154" s="490">
        <v>0</v>
      </c>
      <c r="E154" s="490">
        <v>0</v>
      </c>
      <c r="F154" s="490">
        <v>0</v>
      </c>
      <c r="G154" s="490">
        <v>0</v>
      </c>
      <c r="H154" s="489" t="str">
        <f>VLOOKUP(A154,'TB - Expense Data'!$H$3:$I$757,2,FALSE)</f>
        <v>MARINA BOOSTER MAINT &amp; EQUIP</v>
      </c>
    </row>
    <row r="155" spans="1:8" x14ac:dyDescent="0.25">
      <c r="A155" s="489" t="s">
        <v>241</v>
      </c>
      <c r="B155" s="489" t="s">
        <v>103</v>
      </c>
      <c r="C155" s="490">
        <v>3000</v>
      </c>
      <c r="D155" s="490">
        <v>0</v>
      </c>
      <c r="E155" s="490">
        <v>0</v>
      </c>
      <c r="F155" s="490">
        <v>0</v>
      </c>
      <c r="G155" s="490">
        <v>0</v>
      </c>
      <c r="H155" s="489" t="str">
        <f>VLOOKUP(A155,'TB - Expense Data'!$H$3:$I$757,2,FALSE)</f>
        <v>MARINA BOOSTER POWER</v>
      </c>
    </row>
    <row r="156" spans="1:8" x14ac:dyDescent="0.25">
      <c r="A156" s="489" t="s">
        <v>242</v>
      </c>
      <c r="B156" s="489" t="s">
        <v>104</v>
      </c>
      <c r="C156" s="490">
        <v>21750</v>
      </c>
      <c r="D156" s="490">
        <v>0</v>
      </c>
      <c r="E156" s="490">
        <v>0</v>
      </c>
      <c r="F156" s="490">
        <v>0</v>
      </c>
      <c r="G156" s="490">
        <v>0</v>
      </c>
      <c r="H156" s="489" t="str">
        <f>VLOOKUP(A156,'TB - Expense Data'!$H$3:$I$757,2,FALSE)</f>
        <v>TELEMETRY SYSTEM</v>
      </c>
    </row>
    <row r="157" spans="1:8" x14ac:dyDescent="0.25">
      <c r="A157" s="489" t="s">
        <v>430</v>
      </c>
      <c r="B157" s="489" t="s">
        <v>63</v>
      </c>
      <c r="C157" s="490">
        <v>44355.6</v>
      </c>
      <c r="D157" s="490">
        <v>0</v>
      </c>
      <c r="E157" s="490">
        <v>23092.59</v>
      </c>
      <c r="F157" s="490">
        <v>2053.2800000000002</v>
      </c>
      <c r="G157" s="490">
        <v>21039.31</v>
      </c>
      <c r="H157" s="489" t="str">
        <f>VLOOKUP(A157,'TB - Expense Data'!$H$3:$I$757,2,FALSE)</f>
        <v>WAGES - LAB</v>
      </c>
    </row>
    <row r="158" spans="1:8" x14ac:dyDescent="0.25">
      <c r="A158" s="489" t="s">
        <v>423</v>
      </c>
      <c r="B158" s="489" t="s">
        <v>37</v>
      </c>
      <c r="C158" s="490">
        <v>257.39999999999998</v>
      </c>
      <c r="D158" s="490">
        <v>0</v>
      </c>
      <c r="E158" s="490">
        <v>0</v>
      </c>
      <c r="F158" s="490">
        <v>0</v>
      </c>
      <c r="G158" s="490">
        <v>0</v>
      </c>
      <c r="H158" s="489" t="str">
        <f>VLOOKUP(A158,'TB - Expense Data'!$H$3:$I$757,2,FALSE)</f>
        <v>OVERTIME</v>
      </c>
    </row>
    <row r="159" spans="1:8" x14ac:dyDescent="0.25">
      <c r="A159" s="489" t="s">
        <v>412</v>
      </c>
      <c r="B159" s="489" t="s">
        <v>153</v>
      </c>
      <c r="C159" s="490">
        <v>2765.88</v>
      </c>
      <c r="D159" s="490">
        <v>0</v>
      </c>
      <c r="E159" s="490">
        <v>1391.42</v>
      </c>
      <c r="F159" s="490">
        <v>121.31</v>
      </c>
      <c r="G159" s="490">
        <v>1270.1099999999999</v>
      </c>
      <c r="H159" s="489" t="str">
        <f>VLOOKUP(A159,'TB - Expense Data'!$H$3:$I$757,2,FALSE)</f>
        <v>FICA EXPENSE</v>
      </c>
    </row>
    <row r="160" spans="1:8" x14ac:dyDescent="0.25">
      <c r="A160" s="489" t="s">
        <v>418</v>
      </c>
      <c r="B160" s="489" t="s">
        <v>154</v>
      </c>
      <c r="C160" s="490">
        <v>646.91999999999996</v>
      </c>
      <c r="D160" s="490">
        <v>0</v>
      </c>
      <c r="E160" s="490">
        <v>332.09</v>
      </c>
      <c r="F160" s="490">
        <v>28.38</v>
      </c>
      <c r="G160" s="490">
        <v>303.70999999999998</v>
      </c>
      <c r="H160" s="489" t="str">
        <f>VLOOKUP(A160,'TB - Expense Data'!$H$3:$I$757,2,FALSE)</f>
        <v>MEDI EXPENSE</v>
      </c>
    </row>
    <row r="161" spans="1:8" x14ac:dyDescent="0.25">
      <c r="A161" s="489" t="s">
        <v>419</v>
      </c>
      <c r="B161" s="489" t="s">
        <v>38</v>
      </c>
      <c r="C161" s="490">
        <v>3992.04</v>
      </c>
      <c r="D161" s="490">
        <v>0</v>
      </c>
      <c r="E161" s="490">
        <v>2051.8200000000002</v>
      </c>
      <c r="F161" s="490">
        <v>0</v>
      </c>
      <c r="G161" s="490">
        <v>2051.8200000000002</v>
      </c>
      <c r="H161" s="489" t="str">
        <f>VLOOKUP(A161,'TB - Expense Data'!$H$3:$I$757,2,FALSE)</f>
        <v>MEDICAL INSURANCE</v>
      </c>
    </row>
    <row r="162" spans="1:8" x14ac:dyDescent="0.25">
      <c r="A162" s="489" t="s">
        <v>409</v>
      </c>
      <c r="B162" s="489" t="s">
        <v>77</v>
      </c>
      <c r="C162" s="490">
        <v>207.36</v>
      </c>
      <c r="D162" s="490">
        <v>0</v>
      </c>
      <c r="E162" s="490">
        <v>106.92</v>
      </c>
      <c r="F162" s="490">
        <v>0</v>
      </c>
      <c r="G162" s="490">
        <v>106.92</v>
      </c>
      <c r="H162" s="489" t="str">
        <f>VLOOKUP(A162,'TB - Expense Data'!$H$3:$I$757,2,FALSE)</f>
        <v>DENTAL INSURANCE</v>
      </c>
    </row>
    <row r="163" spans="1:8" x14ac:dyDescent="0.25">
      <c r="A163" s="489" t="s">
        <v>429</v>
      </c>
      <c r="B163" s="489" t="s">
        <v>78</v>
      </c>
      <c r="C163" s="490">
        <v>89.28</v>
      </c>
      <c r="D163" s="490">
        <v>0</v>
      </c>
      <c r="E163" s="490">
        <v>41.43</v>
      </c>
      <c r="F163" s="490">
        <v>0</v>
      </c>
      <c r="G163" s="490">
        <v>41.43</v>
      </c>
      <c r="H163" s="489" t="str">
        <f>VLOOKUP(A163,'TB - Expense Data'!$H$3:$I$757,2,FALSE)</f>
        <v>VISION INSURANCE</v>
      </c>
    </row>
    <row r="164" spans="1:8" x14ac:dyDescent="0.25">
      <c r="A164" s="489" t="s">
        <v>431</v>
      </c>
      <c r="B164" s="489" t="s">
        <v>893</v>
      </c>
      <c r="C164" s="490">
        <v>1899.36</v>
      </c>
      <c r="D164" s="490">
        <v>0</v>
      </c>
      <c r="E164" s="490">
        <v>1015.36</v>
      </c>
      <c r="F164" s="490">
        <v>42.86</v>
      </c>
      <c r="G164" s="490">
        <v>972.5</v>
      </c>
      <c r="H164" s="489" t="str">
        <f>VLOOKUP(A164,'TB - Expense Data'!$H$3:$I$757,2,FALSE)</f>
        <v>WORKERS COMP INSURANCE</v>
      </c>
    </row>
    <row r="165" spans="1:8" x14ac:dyDescent="0.25">
      <c r="A165" s="489" t="s">
        <v>417</v>
      </c>
      <c r="B165" s="489" t="s">
        <v>2249</v>
      </c>
      <c r="C165" s="490">
        <v>157.68</v>
      </c>
      <c r="D165" s="490">
        <v>0</v>
      </c>
      <c r="E165" s="490">
        <v>100.99</v>
      </c>
      <c r="F165" s="490">
        <v>28.27</v>
      </c>
      <c r="G165" s="490">
        <v>72.72</v>
      </c>
      <c r="H165" s="489" t="str">
        <f>VLOOKUP(A165,'TB - Expense Data'!$H$3:$I$757,2,FALSE)</f>
        <v>LIFE INSURANCE EXPENSE</v>
      </c>
    </row>
    <row r="166" spans="1:8" x14ac:dyDescent="0.25">
      <c r="A166" s="489" t="s">
        <v>428</v>
      </c>
      <c r="B166" s="489" t="s">
        <v>64</v>
      </c>
      <c r="C166" s="490">
        <v>144</v>
      </c>
      <c r="D166" s="490">
        <v>0</v>
      </c>
      <c r="E166" s="490">
        <v>95.78</v>
      </c>
      <c r="F166" s="490">
        <v>0</v>
      </c>
      <c r="G166" s="490">
        <v>95.78</v>
      </c>
      <c r="H166" s="489" t="str">
        <f>VLOOKUP(A166,'TB - Expense Data'!$H$3:$I$757,2,FALSE)</f>
        <v>UNIFORM BENEFIT</v>
      </c>
    </row>
    <row r="167" spans="1:8" x14ac:dyDescent="0.25">
      <c r="A167" s="489" t="s">
        <v>403</v>
      </c>
      <c r="B167" s="489" t="s">
        <v>65</v>
      </c>
      <c r="C167" s="490">
        <v>72</v>
      </c>
      <c r="D167" s="490">
        <v>0</v>
      </c>
      <c r="E167" s="490">
        <v>0</v>
      </c>
      <c r="F167" s="490">
        <v>0</v>
      </c>
      <c r="G167" s="490">
        <v>0</v>
      </c>
      <c r="H167" s="489" t="str">
        <f>VLOOKUP(A167,'TB - Expense Data'!$H$3:$I$757,2,FALSE)</f>
        <v>BOOT BENEFIT</v>
      </c>
    </row>
    <row r="168" spans="1:8" x14ac:dyDescent="0.25">
      <c r="A168" s="489" t="s">
        <v>427</v>
      </c>
      <c r="B168" s="489" t="s">
        <v>40</v>
      </c>
      <c r="C168" s="490">
        <v>237.96</v>
      </c>
      <c r="D168" s="490">
        <v>0</v>
      </c>
      <c r="E168" s="490">
        <v>57.65</v>
      </c>
      <c r="F168" s="490">
        <v>11.55</v>
      </c>
      <c r="G168" s="490">
        <v>46.1</v>
      </c>
      <c r="H168" s="489" t="str">
        <f>VLOOKUP(A168,'TB - Expense Data'!$H$3:$I$757,2,FALSE)</f>
        <v>SUI EXPENSE</v>
      </c>
    </row>
    <row r="169" spans="1:8" x14ac:dyDescent="0.25">
      <c r="A169" s="489" t="s">
        <v>411</v>
      </c>
      <c r="B169" s="489" t="s">
        <v>41</v>
      </c>
      <c r="C169" s="490">
        <v>5.4</v>
      </c>
      <c r="D169" s="490">
        <v>0</v>
      </c>
      <c r="E169" s="490">
        <v>1.38</v>
      </c>
      <c r="F169" s="490">
        <v>0.27</v>
      </c>
      <c r="G169" s="490">
        <v>1.1100000000000001</v>
      </c>
      <c r="H169" s="489" t="str">
        <f>VLOOKUP(A169,'TB - Expense Data'!$H$3:$I$757,2,FALSE)</f>
        <v>ETT EXPENSE</v>
      </c>
    </row>
    <row r="170" spans="1:8" x14ac:dyDescent="0.25">
      <c r="A170" s="489" t="s">
        <v>410</v>
      </c>
      <c r="B170" s="489" t="s">
        <v>42</v>
      </c>
      <c r="C170" s="490">
        <v>123.84</v>
      </c>
      <c r="D170" s="490">
        <v>0</v>
      </c>
      <c r="E170" s="490">
        <v>53.83</v>
      </c>
      <c r="F170" s="490">
        <v>2.88</v>
      </c>
      <c r="G170" s="490">
        <v>50.95</v>
      </c>
      <c r="H170" s="489" t="str">
        <f>VLOOKUP(A170,'TB - Expense Data'!$H$3:$I$757,2,FALSE)</f>
        <v>DISABILITY PLAN</v>
      </c>
    </row>
    <row r="171" spans="1:8" x14ac:dyDescent="0.25">
      <c r="A171" s="489" t="s">
        <v>404</v>
      </c>
      <c r="B171" s="489" t="s">
        <v>2252</v>
      </c>
      <c r="C171" s="490">
        <v>3614.4</v>
      </c>
      <c r="D171" s="490">
        <v>0</v>
      </c>
      <c r="E171" s="490">
        <v>1821.21</v>
      </c>
      <c r="F171" s="490">
        <v>141.51</v>
      </c>
      <c r="G171" s="490">
        <v>1679.7</v>
      </c>
      <c r="H171" s="489" t="str">
        <f>VLOOKUP(A171,'TB - Expense Data'!$H$3:$I$757,2,FALSE)</f>
        <v>CALPERS RETIREMENT</v>
      </c>
    </row>
    <row r="172" spans="1:8" x14ac:dyDescent="0.25">
      <c r="A172" s="489" t="s">
        <v>405</v>
      </c>
      <c r="B172" s="489" t="s">
        <v>44</v>
      </c>
      <c r="C172" s="490">
        <v>2985.84</v>
      </c>
      <c r="D172" s="490">
        <v>0</v>
      </c>
      <c r="E172" s="490">
        <v>1510.55</v>
      </c>
      <c r="F172" s="490">
        <v>116.72</v>
      </c>
      <c r="G172" s="490">
        <v>1393.83</v>
      </c>
      <c r="H172" s="489" t="str">
        <f>VLOOKUP(A172,'TB - Expense Data'!$H$3:$I$757,2,FALSE)</f>
        <v>CALPERS RETIREMENT (EE)</v>
      </c>
    </row>
    <row r="173" spans="1:8" x14ac:dyDescent="0.25">
      <c r="A173" s="489" t="s">
        <v>422</v>
      </c>
      <c r="B173" s="489" t="s">
        <v>183</v>
      </c>
      <c r="C173" s="490">
        <v>2196</v>
      </c>
      <c r="D173" s="490">
        <v>0</v>
      </c>
      <c r="E173" s="490">
        <v>0</v>
      </c>
      <c r="F173" s="490">
        <v>0</v>
      </c>
      <c r="G173" s="490">
        <v>0</v>
      </c>
      <c r="H173" s="489" t="str">
        <f>VLOOKUP(A173,'TB - Expense Data'!$H$3:$I$757,2,FALSE)</f>
        <v>OPEB EXPENSE</v>
      </c>
    </row>
    <row r="174" spans="1:8" x14ac:dyDescent="0.25">
      <c r="A174" s="489" t="s">
        <v>407</v>
      </c>
      <c r="B174" s="489" t="s">
        <v>66</v>
      </c>
      <c r="C174" s="490">
        <v>3681</v>
      </c>
      <c r="D174" s="490">
        <v>0</v>
      </c>
      <c r="E174" s="490">
        <v>977.82</v>
      </c>
      <c r="F174" s="490">
        <v>0</v>
      </c>
      <c r="G174" s="490">
        <v>977.82</v>
      </c>
      <c r="H174" s="489" t="str">
        <f>VLOOKUP(A174,'TB - Expense Data'!$H$3:$I$757,2,FALSE)</f>
        <v>CHEMICALS</v>
      </c>
    </row>
    <row r="175" spans="1:8" x14ac:dyDescent="0.25">
      <c r="A175" s="489" t="s">
        <v>414</v>
      </c>
      <c r="B175" s="489" t="s">
        <v>67</v>
      </c>
      <c r="C175" s="490">
        <v>1447.92</v>
      </c>
      <c r="D175" s="490">
        <v>0</v>
      </c>
      <c r="E175" s="490">
        <v>318.95999999999998</v>
      </c>
      <c r="F175" s="490">
        <v>0</v>
      </c>
      <c r="G175" s="490">
        <v>318.95999999999998</v>
      </c>
      <c r="H175" s="489" t="str">
        <f>VLOOKUP(A175,'TB - Expense Data'!$H$3:$I$757,2,FALSE)</f>
        <v>GLASSWARE</v>
      </c>
    </row>
    <row r="176" spans="1:8" x14ac:dyDescent="0.25">
      <c r="A176" s="489" t="s">
        <v>402</v>
      </c>
      <c r="B176" s="489" t="s">
        <v>1161</v>
      </c>
      <c r="C176" s="490">
        <v>209.88</v>
      </c>
      <c r="D176" s="490">
        <v>0</v>
      </c>
      <c r="E176" s="490">
        <v>0</v>
      </c>
      <c r="F176" s="490">
        <v>0</v>
      </c>
      <c r="G176" s="490">
        <v>0</v>
      </c>
      <c r="H176" s="489" t="str">
        <f>VLOOKUP(A176,'TB - Expense Data'!$H$3:$I$757,2,FALSE)</f>
        <v>BOOKS &amp; REF MATERIALS</v>
      </c>
    </row>
    <row r="177" spans="1:8" x14ac:dyDescent="0.25">
      <c r="A177" s="489" t="s">
        <v>408</v>
      </c>
      <c r="B177" s="489" t="s">
        <v>68</v>
      </c>
      <c r="C177" s="490">
        <v>21717</v>
      </c>
      <c r="D177" s="490">
        <v>0</v>
      </c>
      <c r="E177" s="490">
        <v>8304.6</v>
      </c>
      <c r="F177" s="490">
        <v>0</v>
      </c>
      <c r="G177" s="490">
        <v>8304.6</v>
      </c>
      <c r="H177" s="489" t="str">
        <f>VLOOKUP(A177,'TB - Expense Data'!$H$3:$I$757,2,FALSE)</f>
        <v>CONTRACT TESTING</v>
      </c>
    </row>
    <row r="178" spans="1:8" x14ac:dyDescent="0.25">
      <c r="A178" s="489" t="s">
        <v>426</v>
      </c>
      <c r="B178" s="489" t="s">
        <v>69</v>
      </c>
      <c r="C178" s="490">
        <v>4462.92</v>
      </c>
      <c r="D178" s="490">
        <v>0</v>
      </c>
      <c r="E178" s="490">
        <v>1632.77</v>
      </c>
      <c r="F178" s="490">
        <v>0</v>
      </c>
      <c r="G178" s="490">
        <v>1632.77</v>
      </c>
      <c r="H178" s="489" t="str">
        <f>VLOOKUP(A178,'TB - Expense Data'!$H$3:$I$757,2,FALSE)</f>
        <v>QUALITY CONTROL PROGRAM</v>
      </c>
    </row>
    <row r="179" spans="1:8" x14ac:dyDescent="0.25">
      <c r="A179" s="489" t="s">
        <v>424</v>
      </c>
      <c r="B179" s="489" t="s">
        <v>70</v>
      </c>
      <c r="C179" s="490">
        <v>361.8</v>
      </c>
      <c r="D179" s="490">
        <v>0</v>
      </c>
      <c r="E179" s="490">
        <v>0</v>
      </c>
      <c r="F179" s="490">
        <v>0</v>
      </c>
      <c r="G179" s="490">
        <v>0</v>
      </c>
      <c r="H179" s="489" t="str">
        <f>VLOOKUP(A179,'TB - Expense Data'!$H$3:$I$757,2,FALSE)</f>
        <v>POSTAGE</v>
      </c>
    </row>
    <row r="180" spans="1:8" x14ac:dyDescent="0.25">
      <c r="A180" s="489" t="s">
        <v>425</v>
      </c>
      <c r="B180" s="489" t="s">
        <v>47</v>
      </c>
      <c r="C180" s="490">
        <v>2797.92</v>
      </c>
      <c r="D180" s="490">
        <v>0</v>
      </c>
      <c r="E180" s="490">
        <v>0</v>
      </c>
      <c r="F180" s="490">
        <v>0</v>
      </c>
      <c r="G180" s="490">
        <v>0</v>
      </c>
      <c r="H180" s="489" t="str">
        <f>VLOOKUP(A180,'TB - Expense Data'!$H$3:$I$757,2,FALSE)</f>
        <v>PRINTING</v>
      </c>
    </row>
    <row r="181" spans="1:8" x14ac:dyDescent="0.25">
      <c r="A181" s="489" t="s">
        <v>421</v>
      </c>
      <c r="B181" s="489" t="s">
        <v>48</v>
      </c>
      <c r="C181" s="490">
        <v>227.88</v>
      </c>
      <c r="D181" s="490">
        <v>0</v>
      </c>
      <c r="E181" s="490">
        <v>0</v>
      </c>
      <c r="F181" s="490">
        <v>0</v>
      </c>
      <c r="G181" s="490">
        <v>0</v>
      </c>
      <c r="H181" s="489" t="str">
        <f>VLOOKUP(A181,'TB - Expense Data'!$H$3:$I$757,2,FALSE)</f>
        <v>OFFICE SUPPLY</v>
      </c>
    </row>
    <row r="182" spans="1:8" x14ac:dyDescent="0.25">
      <c r="A182" s="489" t="s">
        <v>1105</v>
      </c>
      <c r="B182" s="489" t="s">
        <v>49</v>
      </c>
      <c r="C182" s="490">
        <v>3481.92</v>
      </c>
      <c r="D182" s="490">
        <v>0</v>
      </c>
      <c r="E182" s="490">
        <v>795.68</v>
      </c>
      <c r="F182" s="490">
        <v>0</v>
      </c>
      <c r="G182" s="490">
        <v>795.68</v>
      </c>
      <c r="H182" s="489" t="str">
        <f>VLOOKUP(A182,'TB - Expense Data'!$H$3:$I$757,2,FALSE)</f>
        <v>GENERAL SUPPLY</v>
      </c>
    </row>
    <row r="183" spans="1:8" x14ac:dyDescent="0.25">
      <c r="A183" s="489" t="s">
        <v>420</v>
      </c>
      <c r="B183" s="489" t="s">
        <v>54</v>
      </c>
      <c r="C183" s="490">
        <v>941.04</v>
      </c>
      <c r="D183" s="490">
        <v>0</v>
      </c>
      <c r="E183" s="490">
        <v>731.52</v>
      </c>
      <c r="F183" s="490">
        <v>0</v>
      </c>
      <c r="G183" s="490">
        <v>731.52</v>
      </c>
      <c r="H183" s="489" t="str">
        <f>VLOOKUP(A183,'TB - Expense Data'!$H$3:$I$757,2,FALSE)</f>
        <v>MEMBERSHIPS &amp; DUES</v>
      </c>
    </row>
    <row r="184" spans="1:8" x14ac:dyDescent="0.25">
      <c r="A184" s="489" t="s">
        <v>416</v>
      </c>
      <c r="B184" s="489" t="s">
        <v>72</v>
      </c>
      <c r="C184" s="490">
        <v>3735.36</v>
      </c>
      <c r="D184" s="490">
        <v>0</v>
      </c>
      <c r="E184" s="490">
        <v>2088</v>
      </c>
      <c r="F184" s="490">
        <v>0</v>
      </c>
      <c r="G184" s="490">
        <v>2088</v>
      </c>
      <c r="H184" s="489" t="str">
        <f>VLOOKUP(A184,'TB - Expense Data'!$H$3:$I$757,2,FALSE)</f>
        <v>LAB PERMITS</v>
      </c>
    </row>
    <row r="185" spans="1:8" x14ac:dyDescent="0.25">
      <c r="A185" s="489" t="s">
        <v>406</v>
      </c>
      <c r="B185" s="489" t="s">
        <v>73</v>
      </c>
      <c r="C185" s="490">
        <v>191.88</v>
      </c>
      <c r="D185" s="490">
        <v>0</v>
      </c>
      <c r="E185" s="490">
        <v>129.6</v>
      </c>
      <c r="F185" s="490">
        <v>0</v>
      </c>
      <c r="G185" s="490">
        <v>129.6</v>
      </c>
      <c r="H185" s="489" t="str">
        <f>VLOOKUP(A185,'TB - Expense Data'!$H$3:$I$757,2,FALSE)</f>
        <v>CERTIFICATION</v>
      </c>
    </row>
    <row r="186" spans="1:8" x14ac:dyDescent="0.25">
      <c r="A186" s="489" t="s">
        <v>415</v>
      </c>
      <c r="B186" s="489" t="s">
        <v>1174</v>
      </c>
      <c r="C186" s="490">
        <v>3716.64</v>
      </c>
      <c r="D186" s="490">
        <v>0</v>
      </c>
      <c r="E186" s="490">
        <v>2903.39</v>
      </c>
      <c r="F186" s="490">
        <v>0</v>
      </c>
      <c r="G186" s="490">
        <v>2903.39</v>
      </c>
      <c r="H186" s="489" t="str">
        <f>VLOOKUP(A186,'TB - Expense Data'!$H$3:$I$757,2,FALSE)</f>
        <v>LAB MAINT &amp; REPAIR</v>
      </c>
    </row>
    <row r="187" spans="1:8" x14ac:dyDescent="0.25">
      <c r="A187" s="489" t="s">
        <v>488</v>
      </c>
      <c r="B187" s="489" t="s">
        <v>36</v>
      </c>
      <c r="C187" s="490">
        <v>37389.599999999999</v>
      </c>
      <c r="D187" s="490">
        <v>0</v>
      </c>
      <c r="E187" s="490">
        <v>19627.04</v>
      </c>
      <c r="F187" s="490">
        <v>1679.71</v>
      </c>
      <c r="G187" s="490">
        <v>17947.330000000002</v>
      </c>
      <c r="H187" s="489" t="str">
        <f>VLOOKUP(A187,'TB - Expense Data'!$H$3:$I$757,2,FALSE)</f>
        <v>WAGES - CON</v>
      </c>
    </row>
    <row r="188" spans="1:8" x14ac:dyDescent="0.25">
      <c r="A188" s="489" t="s">
        <v>483</v>
      </c>
      <c r="B188" s="489" t="s">
        <v>37</v>
      </c>
      <c r="C188" s="490">
        <v>1417</v>
      </c>
      <c r="D188" s="490">
        <v>0</v>
      </c>
      <c r="E188" s="490">
        <v>717.84</v>
      </c>
      <c r="F188" s="490">
        <v>0</v>
      </c>
      <c r="G188" s="490">
        <v>717.84</v>
      </c>
      <c r="H188" s="489" t="str">
        <f>VLOOKUP(A188,'TB - Expense Data'!$H$3:$I$757,2,FALSE)</f>
        <v>OVERTIME</v>
      </c>
    </row>
    <row r="189" spans="1:8" x14ac:dyDescent="0.25">
      <c r="A189" s="489" t="s">
        <v>474</v>
      </c>
      <c r="B189" s="489" t="s">
        <v>153</v>
      </c>
      <c r="C189" s="490">
        <v>2406</v>
      </c>
      <c r="D189" s="490">
        <v>0</v>
      </c>
      <c r="E189" s="490">
        <v>1204.57</v>
      </c>
      <c r="F189" s="490">
        <v>99.31</v>
      </c>
      <c r="G189" s="490">
        <v>1105.26</v>
      </c>
      <c r="H189" s="489" t="str">
        <f>VLOOKUP(A189,'TB - Expense Data'!$H$3:$I$757,2,FALSE)</f>
        <v>FICA EXPENSE</v>
      </c>
    </row>
    <row r="190" spans="1:8" x14ac:dyDescent="0.25">
      <c r="A190" s="489" t="s">
        <v>473</v>
      </c>
      <c r="B190" s="489" t="s">
        <v>154</v>
      </c>
      <c r="C190" s="490">
        <v>563</v>
      </c>
      <c r="D190" s="490">
        <v>0</v>
      </c>
      <c r="E190" s="490">
        <v>293.20999999999998</v>
      </c>
      <c r="F190" s="490">
        <v>23.23</v>
      </c>
      <c r="G190" s="490">
        <v>269.98</v>
      </c>
      <c r="H190" s="489" t="str">
        <f>VLOOKUP(A190,'TB - Expense Data'!$H$3:$I$757,2,FALSE)</f>
        <v>MEDI EXPENSE</v>
      </c>
    </row>
    <row r="191" spans="1:8" x14ac:dyDescent="0.25">
      <c r="A191" s="489" t="s">
        <v>480</v>
      </c>
      <c r="B191" s="489" t="s">
        <v>877</v>
      </c>
      <c r="C191" s="490">
        <v>4836.24</v>
      </c>
      <c r="D191" s="490">
        <v>0</v>
      </c>
      <c r="E191" s="490">
        <v>2428.27</v>
      </c>
      <c r="F191" s="490">
        <v>0</v>
      </c>
      <c r="G191" s="490">
        <v>2428.27</v>
      </c>
      <c r="H191" s="489" t="str">
        <f>VLOOKUP(A191,'TB - Expense Data'!$H$3:$I$757,2,FALSE)</f>
        <v>MEDICAL INSURNACE</v>
      </c>
    </row>
    <row r="192" spans="1:8" x14ac:dyDescent="0.25">
      <c r="A192" s="489" t="s">
        <v>470</v>
      </c>
      <c r="B192" s="489" t="s">
        <v>77</v>
      </c>
      <c r="C192" s="490">
        <v>259.2</v>
      </c>
      <c r="D192" s="490">
        <v>0</v>
      </c>
      <c r="E192" s="490">
        <v>129.79</v>
      </c>
      <c r="F192" s="490">
        <v>0</v>
      </c>
      <c r="G192" s="490">
        <v>129.79</v>
      </c>
      <c r="H192" s="489" t="str">
        <f>VLOOKUP(A192,'TB - Expense Data'!$H$3:$I$757,2,FALSE)</f>
        <v>DENTAL INSURANCE</v>
      </c>
    </row>
    <row r="193" spans="1:8" x14ac:dyDescent="0.25">
      <c r="A193" s="489" t="s">
        <v>487</v>
      </c>
      <c r="B193" s="489" t="s">
        <v>78</v>
      </c>
      <c r="C193" s="490">
        <v>81.72</v>
      </c>
      <c r="D193" s="490">
        <v>0</v>
      </c>
      <c r="E193" s="490">
        <v>44.67</v>
      </c>
      <c r="F193" s="490">
        <v>0</v>
      </c>
      <c r="G193" s="490">
        <v>44.67</v>
      </c>
      <c r="H193" s="489" t="str">
        <f>VLOOKUP(A193,'TB - Expense Data'!$H$3:$I$757,2,FALSE)</f>
        <v>VISION INSURANCE</v>
      </c>
    </row>
    <row r="194" spans="1:8" x14ac:dyDescent="0.25">
      <c r="A194" s="489" t="s">
        <v>490</v>
      </c>
      <c r="B194" s="489" t="s">
        <v>893</v>
      </c>
      <c r="C194" s="490">
        <v>399</v>
      </c>
      <c r="D194" s="490">
        <v>0</v>
      </c>
      <c r="E194" s="490">
        <v>371.62</v>
      </c>
      <c r="F194" s="490">
        <v>9.02</v>
      </c>
      <c r="G194" s="490">
        <v>362.6</v>
      </c>
      <c r="H194" s="489" t="str">
        <f>VLOOKUP(A194,'TB - Expense Data'!$H$3:$I$757,2,FALSE)</f>
        <v>WORKERS COMP INSURANCE</v>
      </c>
    </row>
    <row r="195" spans="1:8" x14ac:dyDescent="0.25">
      <c r="A195" s="489" t="s">
        <v>479</v>
      </c>
      <c r="B195" s="489" t="s">
        <v>2249</v>
      </c>
      <c r="C195" s="490">
        <v>130.32</v>
      </c>
      <c r="D195" s="490">
        <v>0</v>
      </c>
      <c r="E195" s="490">
        <v>68.319999999999993</v>
      </c>
      <c r="F195" s="490">
        <v>19.13</v>
      </c>
      <c r="G195" s="490">
        <v>49.19</v>
      </c>
      <c r="H195" s="489" t="str">
        <f>VLOOKUP(A195,'TB - Expense Data'!$H$3:$I$757,2,FALSE)</f>
        <v>LIFE INSURANCE EXPENSE</v>
      </c>
    </row>
    <row r="196" spans="1:8" x14ac:dyDescent="0.25">
      <c r="A196" s="489" t="s">
        <v>485</v>
      </c>
      <c r="B196" s="489" t="s">
        <v>40</v>
      </c>
      <c r="C196" s="490">
        <v>249.48</v>
      </c>
      <c r="D196" s="490">
        <v>0</v>
      </c>
      <c r="E196" s="490">
        <v>22.81</v>
      </c>
      <c r="F196" s="490">
        <v>12.32</v>
      </c>
      <c r="G196" s="490">
        <v>10.49</v>
      </c>
      <c r="H196" s="489" t="str">
        <f>VLOOKUP(A196,'TB - Expense Data'!$H$3:$I$757,2,FALSE)</f>
        <v>SUI EXPENSE</v>
      </c>
    </row>
    <row r="197" spans="1:8" x14ac:dyDescent="0.25">
      <c r="A197" s="489" t="s">
        <v>472</v>
      </c>
      <c r="B197" s="489" t="s">
        <v>41</v>
      </c>
      <c r="C197" s="490">
        <v>5.4</v>
      </c>
      <c r="D197" s="490">
        <v>0</v>
      </c>
      <c r="E197" s="490">
        <v>0.55000000000000004</v>
      </c>
      <c r="F197" s="490">
        <v>0.3</v>
      </c>
      <c r="G197" s="490">
        <v>0.25</v>
      </c>
      <c r="H197" s="489" t="str">
        <f>VLOOKUP(A197,'TB - Expense Data'!$H$3:$I$757,2,FALSE)</f>
        <v>ETT EXPENSE</v>
      </c>
    </row>
    <row r="198" spans="1:8" x14ac:dyDescent="0.25">
      <c r="A198" s="489" t="s">
        <v>471</v>
      </c>
      <c r="B198" s="489" t="s">
        <v>42</v>
      </c>
      <c r="C198" s="490">
        <v>102.24</v>
      </c>
      <c r="D198" s="490">
        <v>0</v>
      </c>
      <c r="E198" s="490">
        <v>36.33</v>
      </c>
      <c r="F198" s="490">
        <v>1.95</v>
      </c>
      <c r="G198" s="490">
        <v>34.380000000000003</v>
      </c>
      <c r="H198" s="489" t="str">
        <f>VLOOKUP(A198,'TB - Expense Data'!$H$3:$I$757,2,FALSE)</f>
        <v>DISABILITY PLAN</v>
      </c>
    </row>
    <row r="199" spans="1:8" x14ac:dyDescent="0.25">
      <c r="A199" s="489" t="s">
        <v>465</v>
      </c>
      <c r="B199" s="489" t="s">
        <v>2252</v>
      </c>
      <c r="C199" s="490">
        <v>2982.6</v>
      </c>
      <c r="D199" s="490">
        <v>0</v>
      </c>
      <c r="E199" s="490">
        <v>1456.71</v>
      </c>
      <c r="F199" s="490">
        <v>116.43</v>
      </c>
      <c r="G199" s="490">
        <v>1340.28</v>
      </c>
      <c r="H199" s="489" t="str">
        <f>VLOOKUP(A199,'TB - Expense Data'!$H$3:$I$757,2,FALSE)</f>
        <v>CALPERS RETIREMENT</v>
      </c>
    </row>
    <row r="200" spans="1:8" x14ac:dyDescent="0.25">
      <c r="A200" s="489" t="s">
        <v>466</v>
      </c>
      <c r="B200" s="489" t="s">
        <v>44</v>
      </c>
      <c r="C200" s="490">
        <v>2463.84</v>
      </c>
      <c r="D200" s="490">
        <v>0</v>
      </c>
      <c r="E200" s="490">
        <v>1208.1400000000001</v>
      </c>
      <c r="F200" s="490">
        <v>96.01</v>
      </c>
      <c r="G200" s="490">
        <v>1112.1300000000001</v>
      </c>
      <c r="H200" s="489" t="str">
        <f>VLOOKUP(A200,'TB - Expense Data'!$H$3:$I$757,2,FALSE)</f>
        <v>CALPERS RETIREMENT (EE)</v>
      </c>
    </row>
    <row r="201" spans="1:8" x14ac:dyDescent="0.25">
      <c r="A201" s="489" t="s">
        <v>482</v>
      </c>
      <c r="B201" s="489" t="s">
        <v>183</v>
      </c>
      <c r="C201" s="490">
        <v>1422</v>
      </c>
      <c r="D201" s="490">
        <v>0</v>
      </c>
      <c r="E201" s="490">
        <v>0</v>
      </c>
      <c r="F201" s="490">
        <v>0</v>
      </c>
      <c r="G201" s="490">
        <v>0</v>
      </c>
      <c r="H201" s="489" t="str">
        <f>VLOOKUP(A201,'TB - Expense Data'!$H$3:$I$757,2,FALSE)</f>
        <v>OPEB EXPENSE</v>
      </c>
    </row>
    <row r="202" spans="1:8" x14ac:dyDescent="0.25">
      <c r="A202" s="489" t="s">
        <v>464</v>
      </c>
      <c r="B202" s="489" t="s">
        <v>1161</v>
      </c>
      <c r="C202" s="490">
        <v>72</v>
      </c>
      <c r="D202" s="490">
        <v>0</v>
      </c>
      <c r="E202" s="490">
        <v>0</v>
      </c>
      <c r="F202" s="490">
        <v>0</v>
      </c>
      <c r="G202" s="490">
        <v>0</v>
      </c>
      <c r="H202" s="489" t="str">
        <f>VLOOKUP(A202,'TB - Expense Data'!$H$3:$I$757,2,FALSE)</f>
        <v>BOOKS &amp; REF MATERIALS</v>
      </c>
    </row>
    <row r="203" spans="1:8" x14ac:dyDescent="0.25">
      <c r="A203" s="489" t="s">
        <v>484</v>
      </c>
      <c r="B203" s="489" t="s">
        <v>47</v>
      </c>
      <c r="C203" s="490">
        <v>3600</v>
      </c>
      <c r="D203" s="490">
        <v>0</v>
      </c>
      <c r="E203" s="490">
        <v>1570.19</v>
      </c>
      <c r="F203" s="490">
        <v>0</v>
      </c>
      <c r="G203" s="490">
        <v>1570.19</v>
      </c>
      <c r="H203" s="489" t="str">
        <f>VLOOKUP(A203,'TB - Expense Data'!$H$3:$I$757,2,FALSE)</f>
        <v>PRINTING</v>
      </c>
    </row>
    <row r="204" spans="1:8" x14ac:dyDescent="0.25">
      <c r="A204" s="489" t="s">
        <v>475</v>
      </c>
      <c r="B204" s="489" t="s">
        <v>49</v>
      </c>
      <c r="C204" s="490">
        <v>360</v>
      </c>
      <c r="D204" s="490">
        <v>0</v>
      </c>
      <c r="E204" s="490">
        <v>0</v>
      </c>
      <c r="F204" s="490">
        <v>0</v>
      </c>
      <c r="G204" s="490">
        <v>0</v>
      </c>
      <c r="H204" s="489" t="str">
        <f>VLOOKUP(A204,'TB - Expense Data'!$H$3:$I$757,2,FALSE)</f>
        <v>GENERAL SUPPLY</v>
      </c>
    </row>
    <row r="205" spans="1:8" x14ac:dyDescent="0.25">
      <c r="A205" s="489" t="s">
        <v>467</v>
      </c>
      <c r="B205" s="489" t="s">
        <v>50</v>
      </c>
      <c r="C205" s="490">
        <v>180</v>
      </c>
      <c r="D205" s="490">
        <v>0</v>
      </c>
      <c r="E205" s="490">
        <v>126</v>
      </c>
      <c r="F205" s="490">
        <v>0</v>
      </c>
      <c r="G205" s="490">
        <v>126</v>
      </c>
      <c r="H205" s="489" t="str">
        <f>VLOOKUP(A205,'TB - Expense Data'!$H$3:$I$757,2,FALSE)</f>
        <v>COMPUTERS/DATA PROCESSING</v>
      </c>
    </row>
    <row r="206" spans="1:8" x14ac:dyDescent="0.25">
      <c r="A206" s="489" t="s">
        <v>463</v>
      </c>
      <c r="B206" s="489" t="s">
        <v>51</v>
      </c>
      <c r="C206" s="490">
        <v>1800</v>
      </c>
      <c r="D206" s="490">
        <v>0</v>
      </c>
      <c r="E206" s="490">
        <v>0</v>
      </c>
      <c r="F206" s="490">
        <v>0</v>
      </c>
      <c r="G206" s="490">
        <v>0</v>
      </c>
      <c r="H206" s="489" t="str">
        <f>VLOOKUP(A206,'TB - Expense Data'!$H$3:$I$757,2,FALSE)</f>
        <v>ADVERTISEMENT</v>
      </c>
    </row>
    <row r="207" spans="1:8" x14ac:dyDescent="0.25">
      <c r="A207" s="489" t="s">
        <v>481</v>
      </c>
      <c r="B207" s="489" t="s">
        <v>54</v>
      </c>
      <c r="C207" s="490">
        <v>1800</v>
      </c>
      <c r="D207" s="490">
        <v>0</v>
      </c>
      <c r="E207" s="490">
        <v>180</v>
      </c>
      <c r="F207" s="490">
        <v>0</v>
      </c>
      <c r="G207" s="490">
        <v>180</v>
      </c>
      <c r="H207" s="489" t="str">
        <f>VLOOKUP(A207,'TB - Expense Data'!$H$3:$I$757,2,FALSE)</f>
        <v>MEMBERSHIPS &amp; DUES</v>
      </c>
    </row>
    <row r="208" spans="1:8" x14ac:dyDescent="0.25">
      <c r="A208" s="489" t="s">
        <v>486</v>
      </c>
      <c r="B208" s="489" t="s">
        <v>56</v>
      </c>
      <c r="C208" s="490">
        <v>20000</v>
      </c>
      <c r="D208" s="490">
        <v>0</v>
      </c>
      <c r="E208" s="490">
        <v>11472.53</v>
      </c>
      <c r="F208" s="490">
        <v>0</v>
      </c>
      <c r="G208" s="490">
        <v>11472.53</v>
      </c>
      <c r="H208" s="489" t="str">
        <f>VLOOKUP(A208,'TB - Expense Data'!$H$3:$I$757,2,FALSE)</f>
        <v>TOILET &amp; SHOWER HEAD</v>
      </c>
    </row>
    <row r="209" spans="1:8" x14ac:dyDescent="0.25">
      <c r="A209" s="489" t="s">
        <v>489</v>
      </c>
      <c r="B209" s="489" t="s">
        <v>57</v>
      </c>
      <c r="C209" s="490">
        <v>25000</v>
      </c>
      <c r="D209" s="490">
        <v>0</v>
      </c>
      <c r="E209" s="490">
        <v>6000</v>
      </c>
      <c r="F209" s="490">
        <v>0</v>
      </c>
      <c r="G209" s="490">
        <v>6000</v>
      </c>
      <c r="H209" s="489" t="str">
        <f>VLOOKUP(A209,'TB - Expense Data'!$H$3:$I$757,2,FALSE)</f>
        <v>WASHING MACHINE REBATE</v>
      </c>
    </row>
    <row r="210" spans="1:8" x14ac:dyDescent="0.25">
      <c r="A210" s="489" t="s">
        <v>468</v>
      </c>
      <c r="B210" s="489" t="s">
        <v>58</v>
      </c>
      <c r="C210" s="490">
        <v>15250</v>
      </c>
      <c r="D210" s="490">
        <v>0</v>
      </c>
      <c r="E210" s="490">
        <v>4509.7700000000004</v>
      </c>
      <c r="F210" s="490">
        <v>0</v>
      </c>
      <c r="G210" s="490">
        <v>4509.7700000000004</v>
      </c>
      <c r="H210" s="489" t="str">
        <f>VLOOKUP(A210,'TB - Expense Data'!$H$3:$I$757,2,FALSE)</f>
        <v>CONSERVATION EDUCATION</v>
      </c>
    </row>
    <row r="211" spans="1:8" x14ac:dyDescent="0.25">
      <c r="A211" s="489" t="s">
        <v>478</v>
      </c>
      <c r="B211" s="489" t="s">
        <v>59</v>
      </c>
      <c r="C211" s="490">
        <v>20000</v>
      </c>
      <c r="D211" s="490">
        <v>0</v>
      </c>
      <c r="E211" s="490">
        <v>5224.47</v>
      </c>
      <c r="F211" s="490">
        <v>0</v>
      </c>
      <c r="G211" s="490">
        <v>5224.47</v>
      </c>
      <c r="H211" s="489" t="str">
        <f>VLOOKUP(A211,'TB - Expense Data'!$H$3:$I$757,2,FALSE)</f>
        <v>LANDSCAPE REBATE</v>
      </c>
    </row>
    <row r="212" spans="1:8" x14ac:dyDescent="0.25">
      <c r="A212" s="489" t="s">
        <v>476</v>
      </c>
      <c r="B212" s="489" t="s">
        <v>2320</v>
      </c>
      <c r="C212" s="490">
        <v>2500</v>
      </c>
      <c r="D212" s="490">
        <v>0</v>
      </c>
      <c r="E212" s="490">
        <v>670.1</v>
      </c>
      <c r="F212" s="490">
        <v>0</v>
      </c>
      <c r="G212" s="490">
        <v>670.1</v>
      </c>
      <c r="H212" s="489" t="str">
        <f>VLOOKUP(A212,'TB - Expense Data'!$H$3:$I$757,2,FALSE)</f>
        <v>HOT WATER RECIR REBATE</v>
      </c>
    </row>
    <row r="213" spans="1:8" x14ac:dyDescent="0.25">
      <c r="A213" s="489" t="s">
        <v>477</v>
      </c>
      <c r="B213" s="489" t="s">
        <v>60</v>
      </c>
      <c r="C213" s="490">
        <v>1080</v>
      </c>
      <c r="D213" s="490">
        <v>0</v>
      </c>
      <c r="E213" s="490">
        <v>0</v>
      </c>
      <c r="F213" s="490">
        <v>0</v>
      </c>
      <c r="G213" s="490">
        <v>0</v>
      </c>
      <c r="H213" s="489" t="str">
        <f>VLOOKUP(A213,'TB - Expense Data'!$H$3:$I$757,2,FALSE)</f>
        <v>LANDSCAPE DEMONSTRATION</v>
      </c>
    </row>
    <row r="214" spans="1:8" x14ac:dyDescent="0.25">
      <c r="A214" s="489" t="s">
        <v>539</v>
      </c>
      <c r="B214" s="489" t="s">
        <v>150</v>
      </c>
      <c r="C214" s="490">
        <v>180019</v>
      </c>
      <c r="D214" s="490">
        <v>0</v>
      </c>
      <c r="E214" s="490">
        <v>73314.679999999993</v>
      </c>
      <c r="F214" s="490">
        <v>5412.8</v>
      </c>
      <c r="G214" s="490">
        <v>67901.88</v>
      </c>
      <c r="H214" s="489" t="str">
        <f>VLOOKUP(A214,'TB - Expense Data'!$H$3:$I$757,2,FALSE)</f>
        <v>WAGES - ENG</v>
      </c>
    </row>
    <row r="215" spans="1:8" x14ac:dyDescent="0.25">
      <c r="A215" s="489" t="s">
        <v>540</v>
      </c>
      <c r="B215" s="489" t="s">
        <v>667</v>
      </c>
      <c r="C215" s="490">
        <v>-112635.4</v>
      </c>
      <c r="D215" s="490">
        <v>0</v>
      </c>
      <c r="E215" s="490">
        <v>0</v>
      </c>
      <c r="F215" s="490">
        <v>10546.75</v>
      </c>
      <c r="G215" s="490">
        <v>-10546.75</v>
      </c>
      <c r="H215" s="489" t="str">
        <f>VLOOKUP(A215,'TB - Expense Data'!$H$3:$I$757,2,FALSE)</f>
        <v>WAGES ALLOCATED TO CAPITAL</v>
      </c>
    </row>
    <row r="216" spans="1:8" x14ac:dyDescent="0.25">
      <c r="A216" s="489" t="s">
        <v>534</v>
      </c>
      <c r="B216" s="489" t="s">
        <v>37</v>
      </c>
      <c r="C216" s="490">
        <v>919</v>
      </c>
      <c r="D216" s="490">
        <v>0</v>
      </c>
      <c r="E216" s="490">
        <v>0</v>
      </c>
      <c r="F216" s="490">
        <v>0</v>
      </c>
      <c r="G216" s="490">
        <v>0</v>
      </c>
      <c r="H216" s="489" t="str">
        <f>VLOOKUP(A216,'TB - Expense Data'!$H$3:$I$757,2,FALSE)</f>
        <v>OVERTIME</v>
      </c>
    </row>
    <row r="217" spans="1:8" x14ac:dyDescent="0.25">
      <c r="A217" s="489" t="s">
        <v>528</v>
      </c>
      <c r="B217" s="489" t="s">
        <v>153</v>
      </c>
      <c r="C217" s="490">
        <v>10232</v>
      </c>
      <c r="D217" s="490">
        <v>0</v>
      </c>
      <c r="E217" s="490">
        <v>3778.13</v>
      </c>
      <c r="F217" s="490">
        <v>313.51</v>
      </c>
      <c r="G217" s="490">
        <v>3464.62</v>
      </c>
      <c r="H217" s="489" t="str">
        <f>VLOOKUP(A217,'TB - Expense Data'!$H$3:$I$757,2,FALSE)</f>
        <v>FICA EXPENSE</v>
      </c>
    </row>
    <row r="218" spans="1:8" x14ac:dyDescent="0.25">
      <c r="A218" s="489" t="s">
        <v>527</v>
      </c>
      <c r="B218" s="489" t="s">
        <v>154</v>
      </c>
      <c r="C218" s="490">
        <v>2624</v>
      </c>
      <c r="D218" s="490">
        <v>0</v>
      </c>
      <c r="E218" s="490">
        <v>1042.49</v>
      </c>
      <c r="F218" s="490">
        <v>73.349999999999994</v>
      </c>
      <c r="G218" s="490">
        <v>969.14</v>
      </c>
      <c r="H218" s="489" t="str">
        <f>VLOOKUP(A218,'TB - Expense Data'!$H$3:$I$757,2,FALSE)</f>
        <v>MEDI EXPENSE</v>
      </c>
    </row>
    <row r="219" spans="1:8" x14ac:dyDescent="0.25">
      <c r="A219" s="489" t="s">
        <v>530</v>
      </c>
      <c r="B219" s="489" t="s">
        <v>38</v>
      </c>
      <c r="C219" s="490">
        <v>34915</v>
      </c>
      <c r="D219" s="490">
        <v>0</v>
      </c>
      <c r="E219" s="490">
        <v>14086.78</v>
      </c>
      <c r="F219" s="490">
        <v>0</v>
      </c>
      <c r="G219" s="490">
        <v>14086.78</v>
      </c>
      <c r="H219" s="489" t="str">
        <f>VLOOKUP(A219,'TB - Expense Data'!$H$3:$I$757,2,FALSE)</f>
        <v>MEDICAL INSURANCE</v>
      </c>
    </row>
    <row r="220" spans="1:8" x14ac:dyDescent="0.25">
      <c r="A220" s="489" t="s">
        <v>522</v>
      </c>
      <c r="B220" s="489" t="s">
        <v>77</v>
      </c>
      <c r="C220" s="490">
        <v>2110</v>
      </c>
      <c r="D220" s="490">
        <v>0</v>
      </c>
      <c r="E220" s="490">
        <v>827.1</v>
      </c>
      <c r="F220" s="490">
        <v>0</v>
      </c>
      <c r="G220" s="490">
        <v>827.1</v>
      </c>
      <c r="H220" s="489" t="str">
        <f>VLOOKUP(A220,'TB - Expense Data'!$H$3:$I$757,2,FALSE)</f>
        <v>DENTAL INSURANCE</v>
      </c>
    </row>
    <row r="221" spans="1:8" x14ac:dyDescent="0.25">
      <c r="A221" s="489" t="s">
        <v>538</v>
      </c>
      <c r="B221" s="489" t="s">
        <v>78</v>
      </c>
      <c r="C221" s="490">
        <v>344</v>
      </c>
      <c r="D221" s="490">
        <v>0</v>
      </c>
      <c r="E221" s="490">
        <v>157.09</v>
      </c>
      <c r="F221" s="490">
        <v>0</v>
      </c>
      <c r="G221" s="490">
        <v>157.09</v>
      </c>
      <c r="H221" s="489" t="str">
        <f>VLOOKUP(A221,'TB - Expense Data'!$H$3:$I$757,2,FALSE)</f>
        <v>VISION INSURANCE</v>
      </c>
    </row>
    <row r="222" spans="1:8" x14ac:dyDescent="0.25">
      <c r="A222" s="489" t="s">
        <v>541</v>
      </c>
      <c r="B222" s="489" t="s">
        <v>893</v>
      </c>
      <c r="C222" s="490">
        <v>1803</v>
      </c>
      <c r="D222" s="490">
        <v>0</v>
      </c>
      <c r="E222" s="490">
        <v>716.29</v>
      </c>
      <c r="F222" s="490">
        <v>40.76</v>
      </c>
      <c r="G222" s="490">
        <v>675.53</v>
      </c>
      <c r="H222" s="489" t="str">
        <f>VLOOKUP(A222,'TB - Expense Data'!$H$3:$I$757,2,FALSE)</f>
        <v>WORKERS COMP INSURANCE</v>
      </c>
    </row>
    <row r="223" spans="1:8" x14ac:dyDescent="0.25">
      <c r="A223" s="489" t="s">
        <v>529</v>
      </c>
      <c r="B223" s="489" t="s">
        <v>2249</v>
      </c>
      <c r="C223" s="490">
        <v>673</v>
      </c>
      <c r="D223" s="490">
        <v>0</v>
      </c>
      <c r="E223" s="490">
        <v>491.71</v>
      </c>
      <c r="F223" s="490">
        <v>150.24</v>
      </c>
      <c r="G223" s="490">
        <v>341.47</v>
      </c>
      <c r="H223" s="489" t="str">
        <f>VLOOKUP(A223,'TB - Expense Data'!$H$3:$I$757,2,FALSE)</f>
        <v>LIFE INSURANCE EXPENSE</v>
      </c>
    </row>
    <row r="224" spans="1:8" x14ac:dyDescent="0.25">
      <c r="A224" s="489" t="s">
        <v>519</v>
      </c>
      <c r="B224" s="489" t="s">
        <v>65</v>
      </c>
      <c r="C224" s="490">
        <v>232</v>
      </c>
      <c r="D224" s="490">
        <v>0</v>
      </c>
      <c r="E224" s="490">
        <v>39.74</v>
      </c>
      <c r="F224" s="490">
        <v>0</v>
      </c>
      <c r="G224" s="490">
        <v>39.74</v>
      </c>
      <c r="H224" s="489" t="str">
        <f>VLOOKUP(A224,'TB - Expense Data'!$H$3:$I$757,2,FALSE)</f>
        <v>BOOT BENEFIT</v>
      </c>
    </row>
    <row r="225" spans="1:8" x14ac:dyDescent="0.25">
      <c r="A225" s="489" t="s">
        <v>536</v>
      </c>
      <c r="B225" s="489" t="s">
        <v>40</v>
      </c>
      <c r="C225" s="490">
        <v>639</v>
      </c>
      <c r="D225" s="490">
        <v>0</v>
      </c>
      <c r="E225" s="490">
        <v>103.65</v>
      </c>
      <c r="F225" s="490">
        <v>4.3600000000000003</v>
      </c>
      <c r="G225" s="490">
        <v>99.29</v>
      </c>
      <c r="H225" s="489" t="str">
        <f>VLOOKUP(A225,'TB - Expense Data'!$H$3:$I$757,2,FALSE)</f>
        <v>SUI EXPENSE</v>
      </c>
    </row>
    <row r="226" spans="1:8" x14ac:dyDescent="0.25">
      <c r="A226" s="489" t="s">
        <v>526</v>
      </c>
      <c r="B226" s="489" t="s">
        <v>41</v>
      </c>
      <c r="C226" s="490">
        <v>14</v>
      </c>
      <c r="D226" s="490">
        <v>0</v>
      </c>
      <c r="E226" s="490">
        <v>2.64</v>
      </c>
      <c r="F226" s="490">
        <v>0.12</v>
      </c>
      <c r="G226" s="490">
        <v>2.52</v>
      </c>
      <c r="H226" s="489" t="str">
        <f>VLOOKUP(A226,'TB - Expense Data'!$H$3:$I$757,2,FALSE)</f>
        <v>ETT EXPENSE</v>
      </c>
    </row>
    <row r="227" spans="1:8" x14ac:dyDescent="0.25">
      <c r="A227" s="489" t="s">
        <v>523</v>
      </c>
      <c r="B227" s="489" t="s">
        <v>42</v>
      </c>
      <c r="C227" s="490">
        <v>548</v>
      </c>
      <c r="D227" s="490">
        <v>0</v>
      </c>
      <c r="E227" s="490">
        <v>269.14</v>
      </c>
      <c r="F227" s="490">
        <v>17.239999999999998</v>
      </c>
      <c r="G227" s="490">
        <v>251.9</v>
      </c>
      <c r="H227" s="489" t="str">
        <f>VLOOKUP(A227,'TB - Expense Data'!$H$3:$I$757,2,FALSE)</f>
        <v>DISABILITY PLAN</v>
      </c>
    </row>
    <row r="228" spans="1:8" x14ac:dyDescent="0.25">
      <c r="A228" s="489" t="s">
        <v>520</v>
      </c>
      <c r="B228" s="489" t="s">
        <v>2252</v>
      </c>
      <c r="C228" s="490">
        <v>15969</v>
      </c>
      <c r="D228" s="490">
        <v>0</v>
      </c>
      <c r="E228" s="490">
        <v>5784.58</v>
      </c>
      <c r="F228" s="490">
        <v>457.49</v>
      </c>
      <c r="G228" s="490">
        <v>5327.09</v>
      </c>
      <c r="H228" s="489" t="str">
        <f>VLOOKUP(A228,'TB - Expense Data'!$H$3:$I$757,2,FALSE)</f>
        <v>CALPERS RETIREMENT</v>
      </c>
    </row>
    <row r="229" spans="1:8" x14ac:dyDescent="0.25">
      <c r="A229" s="489" t="s">
        <v>521</v>
      </c>
      <c r="B229" s="489" t="s">
        <v>44</v>
      </c>
      <c r="C229" s="490">
        <v>13192</v>
      </c>
      <c r="D229" s="490">
        <v>0</v>
      </c>
      <c r="E229" s="490">
        <v>4796.9399999999996</v>
      </c>
      <c r="F229" s="490">
        <v>377.14</v>
      </c>
      <c r="G229" s="490">
        <v>4419.8</v>
      </c>
      <c r="H229" s="489" t="str">
        <f>VLOOKUP(A229,'TB - Expense Data'!$H$3:$I$757,2,FALSE)</f>
        <v>CALPERS RETIREMENT (EE)</v>
      </c>
    </row>
    <row r="230" spans="1:8" x14ac:dyDescent="0.25">
      <c r="A230" s="489" t="s">
        <v>533</v>
      </c>
      <c r="B230" s="489" t="s">
        <v>183</v>
      </c>
      <c r="C230" s="490">
        <v>7859</v>
      </c>
      <c r="D230" s="490">
        <v>0</v>
      </c>
      <c r="E230" s="490">
        <v>0</v>
      </c>
      <c r="F230" s="490">
        <v>0</v>
      </c>
      <c r="G230" s="490">
        <v>0</v>
      </c>
      <c r="H230" s="489" t="str">
        <f>VLOOKUP(A230,'TB - Expense Data'!$H$3:$I$757,2,FALSE)</f>
        <v>OPEB EXPENSE</v>
      </c>
    </row>
    <row r="231" spans="1:8" x14ac:dyDescent="0.25">
      <c r="A231" s="489" t="s">
        <v>2323</v>
      </c>
      <c r="B231" s="489" t="s">
        <v>2254</v>
      </c>
      <c r="C231" s="490">
        <v>0</v>
      </c>
      <c r="D231" s="490">
        <v>0</v>
      </c>
      <c r="E231" s="490">
        <v>344.08</v>
      </c>
      <c r="F231" s="490">
        <v>0</v>
      </c>
      <c r="G231" s="490">
        <v>344.08</v>
      </c>
      <c r="H231" s="489" t="str">
        <f>VLOOKUP(A231,'TB - Expense Data'!$H$3:$I$757,2,FALSE)</f>
        <v>CALPERS-62 RETIREMENT (ER)</v>
      </c>
    </row>
    <row r="232" spans="1:8" x14ac:dyDescent="0.25">
      <c r="A232" s="489" t="s">
        <v>2324</v>
      </c>
      <c r="B232" s="489" t="s">
        <v>2256</v>
      </c>
      <c r="C232" s="490">
        <v>0</v>
      </c>
      <c r="D232" s="490">
        <v>0</v>
      </c>
      <c r="E232" s="490">
        <v>438.08</v>
      </c>
      <c r="F232" s="490">
        <v>0</v>
      </c>
      <c r="G232" s="490">
        <v>438.08</v>
      </c>
      <c r="H232" s="489" t="str">
        <f>VLOOKUP(A232,'TB - Expense Data'!$H$3:$I$757,2,FALSE)</f>
        <v>CALPERS-62 RETIREMENT (EE)</v>
      </c>
    </row>
    <row r="233" spans="1:8" x14ac:dyDescent="0.25">
      <c r="A233" s="489" t="s">
        <v>2325</v>
      </c>
      <c r="B233" s="489" t="s">
        <v>1161</v>
      </c>
      <c r="C233" s="490">
        <v>124</v>
      </c>
      <c r="D233" s="490">
        <v>0</v>
      </c>
      <c r="E233" s="490">
        <v>0</v>
      </c>
      <c r="F233" s="490">
        <v>0</v>
      </c>
      <c r="G233" s="490">
        <v>0</v>
      </c>
      <c r="H233" s="489" t="str">
        <f>VLOOKUP(A233,'TB - Expense Data'!$H$3:$I$757,2,FALSE)</f>
        <v>BOOKS &amp; REF MATERIALS</v>
      </c>
    </row>
    <row r="234" spans="1:8" x14ac:dyDescent="0.25">
      <c r="A234" s="489" t="s">
        <v>531</v>
      </c>
      <c r="B234" s="489" t="s">
        <v>54</v>
      </c>
      <c r="C234" s="490">
        <v>232.5</v>
      </c>
      <c r="D234" s="490">
        <v>0</v>
      </c>
      <c r="E234" s="490">
        <v>0</v>
      </c>
      <c r="F234" s="490">
        <v>0</v>
      </c>
      <c r="G234" s="490">
        <v>0</v>
      </c>
      <c r="H234" s="489" t="str">
        <f>VLOOKUP(A234,'TB - Expense Data'!$H$3:$I$757,2,FALSE)</f>
        <v>MEMBERSHIPS &amp; DUES</v>
      </c>
    </row>
    <row r="235" spans="1:8" x14ac:dyDescent="0.25">
      <c r="A235" s="489" t="s">
        <v>524</v>
      </c>
      <c r="B235" s="489" t="s">
        <v>152</v>
      </c>
      <c r="C235" s="490">
        <v>62000</v>
      </c>
      <c r="D235" s="490">
        <v>0</v>
      </c>
      <c r="E235" s="490">
        <v>6357.22</v>
      </c>
      <c r="F235" s="490">
        <v>0</v>
      </c>
      <c r="G235" s="490">
        <v>6357.22</v>
      </c>
      <c r="H235" s="489" t="str">
        <f>VLOOKUP(A235,'TB - Expense Data'!$H$3:$I$757,2,FALSE)</f>
        <v>ENGINEERING CONSULTANTS</v>
      </c>
    </row>
    <row r="236" spans="1:8" x14ac:dyDescent="0.25">
      <c r="A236" s="489" t="s">
        <v>525</v>
      </c>
      <c r="B236" s="489" t="s">
        <v>1177</v>
      </c>
      <c r="C236" s="490">
        <v>31000</v>
      </c>
      <c r="D236" s="490">
        <v>0</v>
      </c>
      <c r="E236" s="490">
        <v>0</v>
      </c>
      <c r="F236" s="490">
        <v>0</v>
      </c>
      <c r="G236" s="490">
        <v>0</v>
      </c>
      <c r="H236" s="489" t="str">
        <f>VLOOKUP(A236,'TB - Expense Data'!$H$3:$I$757,2,FALSE)</f>
        <v>DEVELOPER EXPENSES (NOT MCWD)</v>
      </c>
    </row>
    <row r="237" spans="1:8" x14ac:dyDescent="0.25">
      <c r="A237" s="489" t="s">
        <v>1562</v>
      </c>
      <c r="B237" s="489" t="s">
        <v>1468</v>
      </c>
      <c r="C237" s="490">
        <v>0</v>
      </c>
      <c r="D237" s="490">
        <v>74405.25</v>
      </c>
      <c r="E237" s="490">
        <v>0</v>
      </c>
      <c r="F237" s="490">
        <v>0</v>
      </c>
      <c r="G237" s="490">
        <v>74405.25</v>
      </c>
      <c r="H237" s="489" t="str">
        <f>VLOOKUP(A237,'TB - Fixed Assets and CIP'!$C$2:$D$207,2,FALSE)</f>
        <v>LAND</v>
      </c>
    </row>
    <row r="238" spans="1:8" x14ac:dyDescent="0.25">
      <c r="A238" s="489" t="s">
        <v>1563</v>
      </c>
      <c r="B238" s="489" t="s">
        <v>1470</v>
      </c>
      <c r="C238" s="490">
        <v>0</v>
      </c>
      <c r="D238" s="490">
        <v>89846.58</v>
      </c>
      <c r="E238" s="490">
        <v>0</v>
      </c>
      <c r="F238" s="490">
        <v>0</v>
      </c>
      <c r="G238" s="490">
        <v>89846.58</v>
      </c>
      <c r="H238" s="489" t="str">
        <f>VLOOKUP(A238,'TB - Fixed Assets and CIP'!$C$2:$D$207,2,FALSE)</f>
        <v>LAND 12TH STREET (FORA)</v>
      </c>
    </row>
    <row r="239" spans="1:8" x14ac:dyDescent="0.25">
      <c r="A239" s="489" t="s">
        <v>1564</v>
      </c>
      <c r="B239" s="489" t="s">
        <v>1472</v>
      </c>
      <c r="C239" s="490">
        <v>0</v>
      </c>
      <c r="D239" s="490">
        <v>17181.41</v>
      </c>
      <c r="E239" s="490">
        <v>0</v>
      </c>
      <c r="F239" s="490">
        <v>0</v>
      </c>
      <c r="G239" s="490">
        <v>17181.41</v>
      </c>
      <c r="H239" s="489" t="str">
        <f>VLOOKUP(A239,'TB - Fixed Assets and CIP'!$C$2:$D$207,2,FALSE)</f>
        <v>LAND 12TH STREET (AMBAG)</v>
      </c>
    </row>
    <row r="240" spans="1:8" x14ac:dyDescent="0.25">
      <c r="A240" s="489" t="s">
        <v>1565</v>
      </c>
      <c r="B240" s="489" t="s">
        <v>1566</v>
      </c>
      <c r="C240" s="490">
        <v>0</v>
      </c>
      <c r="D240" s="490">
        <v>87425.62</v>
      </c>
      <c r="E240" s="490">
        <v>0</v>
      </c>
      <c r="F240" s="490">
        <v>0</v>
      </c>
      <c r="G240" s="490">
        <v>87425.62</v>
      </c>
      <c r="H240" s="489" t="str">
        <f>VLOOKUP(A240,'TB - Fixed Assets and CIP'!$C$2:$D$207,2,FALSE)</f>
        <v>OTHER LAND</v>
      </c>
    </row>
    <row r="241" spans="1:8" x14ac:dyDescent="0.25">
      <c r="A241" s="489" t="s">
        <v>1570</v>
      </c>
      <c r="B241" s="489" t="s">
        <v>1478</v>
      </c>
      <c r="C241" s="490">
        <v>0</v>
      </c>
      <c r="D241" s="490">
        <v>588142.88</v>
      </c>
      <c r="E241" s="490">
        <v>0</v>
      </c>
      <c r="F241" s="490">
        <v>0</v>
      </c>
      <c r="G241" s="490">
        <v>588142.88</v>
      </c>
      <c r="H241" s="489" t="str">
        <f>VLOOKUP(A241,'TB - Fixed Assets and CIP'!$C$2:$D$207,2,FALSE)</f>
        <v>LAND - ARMSTRONG RANCH</v>
      </c>
    </row>
    <row r="242" spans="1:8" x14ac:dyDescent="0.25">
      <c r="A242" s="489" t="s">
        <v>1573</v>
      </c>
      <c r="B242" s="489" t="s">
        <v>1486</v>
      </c>
      <c r="C242" s="490">
        <v>5646</v>
      </c>
      <c r="D242" s="490">
        <v>15729.21</v>
      </c>
      <c r="E242" s="490">
        <v>826.51</v>
      </c>
      <c r="F242" s="490">
        <v>0</v>
      </c>
      <c r="G242" s="490">
        <v>16555.72</v>
      </c>
      <c r="H242" s="489" t="str">
        <f>VLOOKUP(A242,'TB - Fixed Assets and CIP'!$C$2:$D$207,2,FALSE)</f>
        <v>NETWORK COMPUTER SYSTEM</v>
      </c>
    </row>
    <row r="243" spans="1:8" x14ac:dyDescent="0.25">
      <c r="A243" s="489" t="s">
        <v>1574</v>
      </c>
      <c r="B243" s="489" t="s">
        <v>1488</v>
      </c>
      <c r="C243" s="490">
        <v>0</v>
      </c>
      <c r="D243" s="490">
        <v>1369.89</v>
      </c>
      <c r="E243" s="490">
        <v>0</v>
      </c>
      <c r="F243" s="490">
        <v>0</v>
      </c>
      <c r="G243" s="490">
        <v>1369.89</v>
      </c>
      <c r="H243" s="489" t="str">
        <f>VLOOKUP(A243,'TB - Fixed Assets and CIP'!$C$2:$D$207,2,FALSE)</f>
        <v>OFFICE EQUIPMENT</v>
      </c>
    </row>
    <row r="244" spans="1:8" x14ac:dyDescent="0.25">
      <c r="A244" s="489" t="s">
        <v>1575</v>
      </c>
      <c r="B244" s="489" t="s">
        <v>1491</v>
      </c>
      <c r="C244" s="490">
        <v>0</v>
      </c>
      <c r="D244" s="490">
        <v>46707</v>
      </c>
      <c r="E244" s="490">
        <v>0</v>
      </c>
      <c r="F244" s="490">
        <v>0</v>
      </c>
      <c r="G244" s="490">
        <v>46707</v>
      </c>
      <c r="H244" s="489" t="str">
        <f>VLOOKUP(A244,'TB - Fixed Assets and CIP'!$C$2:$D$207,2,FALSE)</f>
        <v>GENERAL PLANT</v>
      </c>
    </row>
    <row r="245" spans="1:8" x14ac:dyDescent="0.25">
      <c r="A245" s="489" t="s">
        <v>1576</v>
      </c>
      <c r="B245" s="489" t="s">
        <v>1493</v>
      </c>
      <c r="C245" s="490">
        <v>8000</v>
      </c>
      <c r="D245" s="490">
        <v>40353.629999999997</v>
      </c>
      <c r="E245" s="490">
        <v>1631.83</v>
      </c>
      <c r="F245" s="490">
        <v>0</v>
      </c>
      <c r="G245" s="490">
        <v>41985.46</v>
      </c>
      <c r="H245" s="489" t="str">
        <f>VLOOKUP(A245,'TB - Fixed Assets and CIP'!$C$2:$D$207,2,FALSE)</f>
        <v>VEHICLES</v>
      </c>
    </row>
    <row r="246" spans="1:8" x14ac:dyDescent="0.25">
      <c r="A246" s="489" t="s">
        <v>1578</v>
      </c>
      <c r="B246" s="489" t="s">
        <v>1497</v>
      </c>
      <c r="C246" s="490">
        <v>15600</v>
      </c>
      <c r="D246" s="490">
        <v>130089.71</v>
      </c>
      <c r="E246" s="490">
        <v>0</v>
      </c>
      <c r="F246" s="490">
        <v>0</v>
      </c>
      <c r="G246" s="490">
        <v>130089.71</v>
      </c>
      <c r="H246" s="489" t="str">
        <f>VLOOKUP(A246,'TB - Fixed Assets and CIP'!$C$2:$D$207,2,FALSE)</f>
        <v>O&amp;M EQUIPMENT</v>
      </c>
    </row>
    <row r="247" spans="1:8" x14ac:dyDescent="0.25">
      <c r="A247" s="489" t="s">
        <v>1579</v>
      </c>
      <c r="B247" s="489" t="s">
        <v>1499</v>
      </c>
      <c r="C247" s="490">
        <v>0</v>
      </c>
      <c r="D247" s="490">
        <v>266559.19</v>
      </c>
      <c r="E247" s="490">
        <v>0</v>
      </c>
      <c r="F247" s="490">
        <v>0</v>
      </c>
      <c r="G247" s="490">
        <v>266559.19</v>
      </c>
      <c r="H247" s="489" t="str">
        <f>VLOOKUP(A247,'TB - Fixed Assets and CIP'!$C$2:$D$207,2,FALSE)</f>
        <v>CAPITAL - CONST IN PROGRESS</v>
      </c>
    </row>
    <row r="248" spans="1:8" x14ac:dyDescent="0.25">
      <c r="A248" s="489" t="s">
        <v>1580</v>
      </c>
      <c r="B248" s="489" t="s">
        <v>1581</v>
      </c>
      <c r="C248" s="486">
        <v>487477</v>
      </c>
      <c r="D248" s="490">
        <v>0</v>
      </c>
      <c r="E248" s="490">
        <v>2926.96</v>
      </c>
      <c r="F248" s="490">
        <v>0</v>
      </c>
      <c r="G248" s="490">
        <v>2926.96</v>
      </c>
      <c r="H248" s="489" t="str">
        <f>VLOOKUP(A248,'TB - Fixed Assets and CIP'!$C$2:$D$207,2,FALSE)</f>
        <v>MS - 0133 COSKY LS #5 IMPROV</v>
      </c>
    </row>
    <row r="249" spans="1:8" x14ac:dyDescent="0.25">
      <c r="A249" s="489" t="s">
        <v>1582</v>
      </c>
      <c r="B249" s="489" t="s">
        <v>1583</v>
      </c>
      <c r="C249" s="490">
        <v>0</v>
      </c>
      <c r="D249" s="490">
        <v>179861.22</v>
      </c>
      <c r="E249" s="490">
        <v>0</v>
      </c>
      <c r="F249" s="490">
        <v>0</v>
      </c>
      <c r="G249" s="490">
        <v>179861.22</v>
      </c>
      <c r="H249" s="489" t="str">
        <f>VLOOKUP(A249,'TB - Fixed Assets and CIP'!$C$2:$D$207,2,FALSE)</f>
        <v>MS - 0136 LAKE DR SEWER MAIN</v>
      </c>
    </row>
    <row r="250" spans="1:8" x14ac:dyDescent="0.25">
      <c r="A250" s="489" t="s">
        <v>1584</v>
      </c>
      <c r="B250" s="489" t="s">
        <v>1585</v>
      </c>
      <c r="C250" s="490">
        <v>0</v>
      </c>
      <c r="D250" s="490">
        <v>213930.52</v>
      </c>
      <c r="E250" s="490">
        <v>0</v>
      </c>
      <c r="F250" s="490">
        <v>0</v>
      </c>
      <c r="G250" s="490">
        <v>213930.52</v>
      </c>
      <c r="H250" s="489" t="str">
        <f>VLOOKUP(A250,'TB - Fixed Assets and CIP'!$C$2:$D$207,2,FALSE)</f>
        <v>MS - 0137 DEL MONTE/RES RD SEW</v>
      </c>
    </row>
    <row r="251" spans="1:8" x14ac:dyDescent="0.25">
      <c r="A251" s="489" t="s">
        <v>1586</v>
      </c>
      <c r="B251" s="489" t="s">
        <v>1587</v>
      </c>
      <c r="C251" s="490">
        <v>0</v>
      </c>
      <c r="D251" s="490">
        <v>156976.89000000001</v>
      </c>
      <c r="E251" s="490">
        <v>0</v>
      </c>
      <c r="F251" s="490">
        <v>0</v>
      </c>
      <c r="G251" s="490">
        <v>156976.89000000001</v>
      </c>
      <c r="H251" s="489" t="str">
        <f>VLOOKUP(A251,'TB - Fixed Assets and CIP'!$C$2:$D$207,2,FALSE)</f>
        <v>MS - 0138 HILLCREST/SUNSET SWR</v>
      </c>
    </row>
    <row r="252" spans="1:8" x14ac:dyDescent="0.25">
      <c r="A252" s="489" t="s">
        <v>1588</v>
      </c>
      <c r="B252" s="489" t="s">
        <v>1589</v>
      </c>
      <c r="C252" s="490">
        <v>0</v>
      </c>
      <c r="D252" s="490">
        <v>235465.35</v>
      </c>
      <c r="E252" s="490">
        <v>0</v>
      </c>
      <c r="F252" s="490">
        <v>0</v>
      </c>
      <c r="G252" s="490">
        <v>235465.35</v>
      </c>
      <c r="H252" s="489" t="str">
        <f>VLOOKUP(A252,'TB - Fixed Assets and CIP'!$C$2:$D$207,2,FALSE)</f>
        <v>MS - 0139 ZANETTA/ REINDOLLAR</v>
      </c>
    </row>
    <row r="253" spans="1:8" x14ac:dyDescent="0.25">
      <c r="A253" s="489" t="s">
        <v>1590</v>
      </c>
      <c r="B253" s="489" t="s">
        <v>1591</v>
      </c>
      <c r="C253" s="490">
        <v>0</v>
      </c>
      <c r="D253" s="490">
        <v>613738.52</v>
      </c>
      <c r="E253" s="490">
        <v>0</v>
      </c>
      <c r="F253" s="490">
        <v>0</v>
      </c>
      <c r="G253" s="490">
        <v>613738.52</v>
      </c>
      <c r="H253" s="489" t="str">
        <f>VLOOKUP(A253,'TB - Fixed Assets and CIP'!$C$2:$D$207,2,FALSE)</f>
        <v>MS - 0140 CARMEL AVE SEWER PRJ</v>
      </c>
    </row>
    <row r="254" spans="1:8" x14ac:dyDescent="0.25">
      <c r="A254" s="489" t="s">
        <v>1594</v>
      </c>
      <c r="B254" s="489" t="s">
        <v>1531</v>
      </c>
      <c r="C254" s="486">
        <v>5600</v>
      </c>
      <c r="D254" s="490">
        <v>106772.37</v>
      </c>
      <c r="E254" s="490">
        <v>0</v>
      </c>
      <c r="F254" s="490">
        <v>0</v>
      </c>
      <c r="G254" s="490">
        <v>106772.37</v>
      </c>
      <c r="H254" s="489" t="str">
        <f>VLOOKUP(A254,'TB - Fixed Assets and CIP'!$C$2:$D$207,2,FALSE)</f>
        <v>WD - 0115 SCADA SYSTEM</v>
      </c>
    </row>
    <row r="255" spans="1:8" x14ac:dyDescent="0.25">
      <c r="A255" s="489" t="s">
        <v>1595</v>
      </c>
      <c r="B255" s="489" t="s">
        <v>1596</v>
      </c>
      <c r="C255" s="490">
        <v>0</v>
      </c>
      <c r="D255" s="490">
        <v>370309.26</v>
      </c>
      <c r="E255" s="490">
        <v>0</v>
      </c>
      <c r="F255" s="490">
        <v>0</v>
      </c>
      <c r="G255" s="490">
        <v>370309.26</v>
      </c>
      <c r="H255" s="489" t="str">
        <f>VLOOKUP(A255,'TB - Fixed Assets and CIP'!$C$2:$D$207,2,FALSE)</f>
        <v>MS SYSTEM IMPROVEMENTS</v>
      </c>
    </row>
    <row r="256" spans="1:8" x14ac:dyDescent="0.25">
      <c r="A256" s="489" t="s">
        <v>1597</v>
      </c>
      <c r="B256" s="489" t="s">
        <v>1598</v>
      </c>
      <c r="C256" s="486">
        <v>381217</v>
      </c>
      <c r="D256" s="490">
        <v>0</v>
      </c>
      <c r="E256" s="490">
        <v>2045.86</v>
      </c>
      <c r="F256" s="490">
        <v>0</v>
      </c>
      <c r="G256" s="490">
        <v>2045.86</v>
      </c>
      <c r="H256" s="489" t="str">
        <f>VLOOKUP(A256,'TB - Fixed Assets and CIP'!$C$2:$D$207,2,FALSE)</f>
        <v>RESERVATION RD SIPHON PROJECT</v>
      </c>
    </row>
    <row r="257" spans="1:8" x14ac:dyDescent="0.25">
      <c r="A257" s="509" t="s">
        <v>1599</v>
      </c>
      <c r="B257" s="509" t="s">
        <v>1537</v>
      </c>
      <c r="C257" s="490">
        <v>0</v>
      </c>
      <c r="D257" s="490">
        <v>19538.759999999998</v>
      </c>
      <c r="E257" s="490">
        <v>0</v>
      </c>
      <c r="F257" s="490">
        <v>0</v>
      </c>
      <c r="G257" s="490">
        <v>19538.759999999998</v>
      </c>
      <c r="H257" s="489" t="str">
        <f>VLOOKUP(A257,'TB - Fixed Assets and CIP'!$C$2:$D$207,2,FALSE)</f>
        <v>WD - 0110 ASSET MGMT PROGRAM</v>
      </c>
    </row>
    <row r="258" spans="1:8" x14ac:dyDescent="0.25">
      <c r="A258" s="506" t="s">
        <v>1600</v>
      </c>
      <c r="B258" s="506" t="s">
        <v>1539</v>
      </c>
      <c r="C258" s="486">
        <v>1640</v>
      </c>
      <c r="D258" s="490">
        <v>0</v>
      </c>
      <c r="E258" s="490">
        <v>0</v>
      </c>
      <c r="F258" s="490">
        <v>0</v>
      </c>
      <c r="G258" s="490">
        <v>0</v>
      </c>
      <c r="H258" s="489" t="str">
        <f>VLOOKUP(A258,'TB - Fixed Assets and CIP'!$C$2:$D$207,2,FALSE)</f>
        <v>WD - 0203 ORD OFFICE LANDSCAPE</v>
      </c>
    </row>
    <row r="259" spans="1:8" x14ac:dyDescent="0.25">
      <c r="A259" s="489" t="s">
        <v>1602</v>
      </c>
      <c r="B259" s="489" t="s">
        <v>1545</v>
      </c>
      <c r="C259" s="490">
        <v>0</v>
      </c>
      <c r="D259" s="490">
        <v>53310.65</v>
      </c>
      <c r="E259" s="490">
        <v>0</v>
      </c>
      <c r="F259" s="490">
        <v>0</v>
      </c>
      <c r="G259" s="490">
        <v>53310.65</v>
      </c>
      <c r="H259" s="489" t="str">
        <f>VLOOKUP(A259,'TB - Fixed Assets and CIP'!$C$2:$D$207,2,FALSE)</f>
        <v>CORPORATION YARD</v>
      </c>
    </row>
    <row r="260" spans="1:8" x14ac:dyDescent="0.25">
      <c r="A260" s="489" t="s">
        <v>1603</v>
      </c>
      <c r="B260" s="489" t="s">
        <v>1547</v>
      </c>
      <c r="C260" s="490">
        <v>0</v>
      </c>
      <c r="D260" s="490">
        <v>246439.18</v>
      </c>
      <c r="E260" s="490">
        <v>360.04</v>
      </c>
      <c r="F260" s="490">
        <v>360.04</v>
      </c>
      <c r="G260" s="490">
        <v>246439.18</v>
      </c>
      <c r="H260" s="489" t="str">
        <f>VLOOKUP(A260,'TB - Fixed Assets and CIP'!$C$2:$D$207,2,FALSE)</f>
        <v>BUILDINGS - 920 2ND AVE, STE A</v>
      </c>
    </row>
    <row r="261" spans="1:8" x14ac:dyDescent="0.25">
      <c r="A261" s="489" t="s">
        <v>1604</v>
      </c>
      <c r="B261" s="489" t="s">
        <v>2060</v>
      </c>
      <c r="C261" s="486">
        <v>180992</v>
      </c>
      <c r="D261" s="490">
        <v>0</v>
      </c>
      <c r="E261" s="490">
        <v>4381.49</v>
      </c>
      <c r="F261" s="490">
        <v>0</v>
      </c>
      <c r="G261" s="490">
        <v>4381.49</v>
      </c>
      <c r="H261" s="489" t="str">
        <f>VLOOKUP(A261,'TB - Fixed Assets and CIP'!$C$2:$D$207,2,FALSE)</f>
        <v>WD - 0202 BUILDINGS - 940 2ND AVENUE</v>
      </c>
    </row>
    <row r="262" spans="1:8" x14ac:dyDescent="0.25">
      <c r="A262" s="489" t="s">
        <v>1605</v>
      </c>
      <c r="B262" s="489" t="s">
        <v>1606</v>
      </c>
      <c r="C262" s="490">
        <v>0</v>
      </c>
      <c r="D262" s="490">
        <v>332720.46999999997</v>
      </c>
      <c r="E262" s="490">
        <v>0</v>
      </c>
      <c r="F262" s="490">
        <v>0</v>
      </c>
      <c r="G262" s="490">
        <v>332720.46999999997</v>
      </c>
      <c r="H262" s="489" t="str">
        <f>VLOOKUP(A262,'TB - Fixed Assets and CIP'!$C$2:$D$207,2,FALSE)</f>
        <v>PUMPING STATION</v>
      </c>
    </row>
    <row r="263" spans="1:8" x14ac:dyDescent="0.25">
      <c r="A263" s="489" t="s">
        <v>1607</v>
      </c>
      <c r="B263" s="489" t="s">
        <v>187</v>
      </c>
      <c r="C263" s="490">
        <v>0</v>
      </c>
      <c r="D263" s="490">
        <v>864404.98</v>
      </c>
      <c r="E263" s="490">
        <v>0</v>
      </c>
      <c r="F263" s="490">
        <v>0</v>
      </c>
      <c r="G263" s="490">
        <v>864404.98</v>
      </c>
      <c r="H263" s="489" t="str">
        <f>VLOOKUP(A263,'TB - Fixed Assets and CIP'!$C$2:$D$207,2,FALSE)</f>
        <v>REGIONAL PROJECT</v>
      </c>
    </row>
    <row r="264" spans="1:8" x14ac:dyDescent="0.25">
      <c r="A264" s="489" t="s">
        <v>1608</v>
      </c>
      <c r="B264" s="489" t="s">
        <v>1609</v>
      </c>
      <c r="C264" s="490">
        <v>0</v>
      </c>
      <c r="D264" s="490">
        <v>374555.55</v>
      </c>
      <c r="E264" s="490">
        <v>0</v>
      </c>
      <c r="F264" s="490">
        <v>0</v>
      </c>
      <c r="G264" s="490">
        <v>374555.55</v>
      </c>
      <c r="H264" s="489" t="str">
        <f>VLOOKUP(A264,'TB - Fixed Assets and CIP'!$C$2:$D$207,2,FALSE)</f>
        <v>TREATMENT FACILITY</v>
      </c>
    </row>
    <row r="265" spans="1:8" x14ac:dyDescent="0.25">
      <c r="A265" s="489" t="s">
        <v>1610</v>
      </c>
      <c r="B265" s="489" t="s">
        <v>1611</v>
      </c>
      <c r="C265" s="490">
        <v>0</v>
      </c>
      <c r="D265" s="490">
        <v>3594657.92</v>
      </c>
      <c r="E265" s="490">
        <v>0</v>
      </c>
      <c r="F265" s="490">
        <v>0</v>
      </c>
      <c r="G265" s="490">
        <v>3594657.92</v>
      </c>
      <c r="H265" s="489" t="str">
        <f>VLOOKUP(A265,'TB - Fixed Assets and CIP'!$C$2:$D$207,2,FALSE)</f>
        <v>COLLECTION SYSTEM</v>
      </c>
    </row>
    <row r="266" spans="1:8" x14ac:dyDescent="0.25">
      <c r="A266" s="489" t="s">
        <v>1612</v>
      </c>
      <c r="B266" s="489" t="s">
        <v>1560</v>
      </c>
      <c r="C266" s="490">
        <v>0</v>
      </c>
      <c r="D266" s="490">
        <v>907.76</v>
      </c>
      <c r="E266" s="490">
        <v>0</v>
      </c>
      <c r="F266" s="490">
        <v>0</v>
      </c>
      <c r="G266" s="490">
        <v>907.76</v>
      </c>
      <c r="H266" s="489" t="str">
        <f>VLOOKUP(A266,'TB - Fixed Assets and CIP'!$C$2:$D$207,2,FALSE)</f>
        <v>TRANS/DISTRIBUTION PLANT</v>
      </c>
    </row>
    <row r="267" spans="1:8" x14ac:dyDescent="0.25">
      <c r="A267" s="489" t="s">
        <v>881</v>
      </c>
      <c r="B267" s="489" t="s">
        <v>12</v>
      </c>
      <c r="C267" s="490">
        <v>0</v>
      </c>
      <c r="D267" s="490">
        <v>0</v>
      </c>
      <c r="E267" s="490">
        <v>0</v>
      </c>
      <c r="F267" s="490">
        <v>875.25</v>
      </c>
      <c r="G267" s="490">
        <v>-875.25</v>
      </c>
      <c r="H267" s="489" t="str">
        <f>VLOOKUP(A267,'TB - Revenue Data'!$B$5:C329,2,FALSE)</f>
        <v>CAPACITY CHARGES</v>
      </c>
    </row>
    <row r="268" spans="1:8" x14ac:dyDescent="0.25">
      <c r="A268" s="489" t="s">
        <v>889</v>
      </c>
      <c r="B268" s="489" t="s">
        <v>13</v>
      </c>
      <c r="C268" s="490">
        <v>4900</v>
      </c>
      <c r="D268" s="490">
        <v>0</v>
      </c>
      <c r="E268" s="490">
        <v>0</v>
      </c>
      <c r="F268" s="490">
        <v>2312.06</v>
      </c>
      <c r="G268" s="490">
        <v>-2312.06</v>
      </c>
      <c r="H268" s="489" t="str">
        <f>VLOOKUP(A268,'TB - Revenue Data'!$B$5:C330,2,FALSE)</f>
        <v>INTEREST INCOME</v>
      </c>
    </row>
    <row r="269" spans="1:8" x14ac:dyDescent="0.25">
      <c r="A269" s="489" t="s">
        <v>891</v>
      </c>
      <c r="B269" s="489" t="s">
        <v>15</v>
      </c>
      <c r="C269" s="490">
        <v>7300</v>
      </c>
      <c r="D269" s="490">
        <v>0</v>
      </c>
      <c r="E269" s="490">
        <v>654</v>
      </c>
      <c r="F269" s="490">
        <v>4260.53</v>
      </c>
      <c r="G269" s="490">
        <v>-3606.53</v>
      </c>
      <c r="H269" s="489" t="str">
        <f>VLOOKUP(A269,'TB - Revenue Data'!$B$5:C331,2,FALSE)</f>
        <v>INTEREST INCOME - 2006 BOND</v>
      </c>
    </row>
    <row r="270" spans="1:8" x14ac:dyDescent="0.25">
      <c r="A270" s="489" t="s">
        <v>947</v>
      </c>
      <c r="B270" s="489" t="s">
        <v>843</v>
      </c>
      <c r="C270" s="490">
        <v>12</v>
      </c>
      <c r="D270" s="490">
        <v>0</v>
      </c>
      <c r="E270" s="490">
        <v>0</v>
      </c>
      <c r="F270" s="490">
        <v>4.95</v>
      </c>
      <c r="G270" s="490">
        <v>-4.95</v>
      </c>
      <c r="H270" s="489" t="str">
        <f>VLOOKUP(A270,'TB - Revenue Data'!$B$5:C332,2,FALSE)</f>
        <v>INTEREST INCOME - 2010 BOND</v>
      </c>
    </row>
    <row r="271" spans="1:8" x14ac:dyDescent="0.25">
      <c r="A271" s="489" t="s">
        <v>883</v>
      </c>
      <c r="B271" s="489" t="s">
        <v>16</v>
      </c>
      <c r="C271" s="490">
        <v>500</v>
      </c>
      <c r="D271" s="490">
        <v>0</v>
      </c>
      <c r="E271" s="490">
        <v>0</v>
      </c>
      <c r="F271" s="490">
        <v>1320</v>
      </c>
      <c r="G271" s="490">
        <v>-1320</v>
      </c>
      <c r="H271" s="489" t="str">
        <f>VLOOKUP(A271,'TB - Revenue Data'!$B$5:C333,2,FALSE)</f>
        <v>PLAN CHECK/PERMIT FEES</v>
      </c>
    </row>
    <row r="272" spans="1:8" x14ac:dyDescent="0.25">
      <c r="A272" s="489" t="s">
        <v>884</v>
      </c>
      <c r="B272" s="489" t="s">
        <v>17</v>
      </c>
      <c r="C272" s="490">
        <v>3400</v>
      </c>
      <c r="D272" s="490">
        <v>0</v>
      </c>
      <c r="E272" s="490">
        <v>0</v>
      </c>
      <c r="F272" s="490">
        <v>725.92</v>
      </c>
      <c r="G272" s="490">
        <v>-725.92</v>
      </c>
      <c r="H272" s="489" t="str">
        <f>VLOOKUP(A272,'TB - Revenue Data'!$B$5:C334,2,FALSE)</f>
        <v>OTHER INCOME</v>
      </c>
    </row>
    <row r="273" spans="1:8" x14ac:dyDescent="0.25">
      <c r="A273" s="489" t="s">
        <v>885</v>
      </c>
      <c r="B273" s="489" t="s">
        <v>1128</v>
      </c>
      <c r="C273" s="490">
        <v>1895</v>
      </c>
      <c r="D273" s="490">
        <v>0</v>
      </c>
      <c r="E273" s="490">
        <v>0</v>
      </c>
      <c r="F273" s="490">
        <v>0</v>
      </c>
      <c r="G273" s="490">
        <v>0</v>
      </c>
      <c r="H273" s="489" t="str">
        <f>VLOOKUP(A273,'TB - Revenue Data'!$B$5:C335,2,FALSE)</f>
        <v>DEFERRED REVENUE - 2006 BOND</v>
      </c>
    </row>
    <row r="274" spans="1:8" x14ac:dyDescent="0.25">
      <c r="A274" s="489" t="s">
        <v>951</v>
      </c>
      <c r="B274" s="489" t="s">
        <v>1129</v>
      </c>
      <c r="C274" s="490">
        <v>895</v>
      </c>
      <c r="D274" s="490">
        <v>0</v>
      </c>
      <c r="E274" s="490">
        <v>0</v>
      </c>
      <c r="F274" s="490">
        <v>0</v>
      </c>
      <c r="G274" s="490">
        <v>0</v>
      </c>
      <c r="H274" s="489" t="str">
        <f>VLOOKUP(A274,'TB - Revenue Data'!$B$5:C336,2,FALSE)</f>
        <v>DEFERRED REVENUE - 2010 BOND</v>
      </c>
    </row>
    <row r="275" spans="1:8" x14ac:dyDescent="0.25">
      <c r="A275" s="489" t="s">
        <v>1133</v>
      </c>
      <c r="B275" s="489" t="s">
        <v>1131</v>
      </c>
      <c r="C275" s="490">
        <v>14355.07</v>
      </c>
      <c r="D275" s="490">
        <v>0</v>
      </c>
      <c r="E275" s="490">
        <v>0</v>
      </c>
      <c r="F275" s="490">
        <v>8074.72</v>
      </c>
      <c r="G275" s="490">
        <v>-8074.72</v>
      </c>
      <c r="H275" s="489" t="str">
        <f>VLOOKUP(A275,'TB - Revenue Data'!$B$5:C337,2,FALSE)</f>
        <v>RENTAL REVENUE</v>
      </c>
    </row>
    <row r="276" spans="1:8" x14ac:dyDescent="0.25">
      <c r="A276" s="489" t="s">
        <v>879</v>
      </c>
      <c r="B276" s="489" t="s">
        <v>1134</v>
      </c>
      <c r="C276" s="490">
        <v>141752</v>
      </c>
      <c r="D276" s="490">
        <v>0</v>
      </c>
      <c r="E276" s="490">
        <v>0</v>
      </c>
      <c r="F276" s="490">
        <v>61305.2</v>
      </c>
      <c r="G276" s="490">
        <v>-61305.2</v>
      </c>
      <c r="H276" s="489" t="str">
        <f>VLOOKUP(A276,'TB - Revenue Data'!$B$5:C338,2,FALSE)</f>
        <v>SEWER SALES - BUSINESS</v>
      </c>
    </row>
    <row r="277" spans="1:8" x14ac:dyDescent="0.25">
      <c r="A277" s="489" t="s">
        <v>880</v>
      </c>
      <c r="B277" s="489" t="s">
        <v>1135</v>
      </c>
      <c r="C277" s="490">
        <v>784747</v>
      </c>
      <c r="D277" s="490">
        <v>0</v>
      </c>
      <c r="E277" s="490">
        <v>711.97</v>
      </c>
      <c r="F277" s="490">
        <v>379502.29</v>
      </c>
      <c r="G277" s="490">
        <v>-378790.32</v>
      </c>
      <c r="H277" s="489" t="str">
        <f>VLOOKUP(A277,'TB - Revenue Data'!$B$5:C339,2,FALSE)</f>
        <v>SEWER SALES - RESIDENTIAL</v>
      </c>
    </row>
    <row r="278" spans="1:8" x14ac:dyDescent="0.25">
      <c r="A278" s="489" t="s">
        <v>722</v>
      </c>
      <c r="B278" s="489" t="s">
        <v>665</v>
      </c>
      <c r="C278" s="490">
        <v>83392</v>
      </c>
      <c r="D278" s="490">
        <v>0</v>
      </c>
      <c r="E278" s="490">
        <v>40288.129999999997</v>
      </c>
      <c r="F278" s="490">
        <v>3331.12</v>
      </c>
      <c r="G278" s="490">
        <v>36957.01</v>
      </c>
      <c r="H278" s="489" t="str">
        <f>VLOOKUP(A278,'TB - Expense Data'!$H$3:$I$757,2,FALSE)</f>
        <v>WAGES - ADM</v>
      </c>
    </row>
    <row r="279" spans="1:8" x14ac:dyDescent="0.25">
      <c r="A279" s="489" t="s">
        <v>709</v>
      </c>
      <c r="B279" s="489" t="s">
        <v>37</v>
      </c>
      <c r="C279" s="490">
        <v>1470.08</v>
      </c>
      <c r="D279" s="490">
        <v>0</v>
      </c>
      <c r="E279" s="490">
        <v>967.8</v>
      </c>
      <c r="F279" s="490">
        <v>30.84</v>
      </c>
      <c r="G279" s="490">
        <v>936.96</v>
      </c>
      <c r="H279" s="489" t="str">
        <f>VLOOKUP(A279,'TB - Expense Data'!$H$3:$I$757,2,FALSE)</f>
        <v>OVERTIME</v>
      </c>
    </row>
    <row r="280" spans="1:8" x14ac:dyDescent="0.25">
      <c r="A280" s="489" t="s">
        <v>692</v>
      </c>
      <c r="B280" s="489" t="s">
        <v>153</v>
      </c>
      <c r="C280" s="490">
        <v>4822</v>
      </c>
      <c r="D280" s="490">
        <v>0</v>
      </c>
      <c r="E280" s="490">
        <v>2068.4299999999998</v>
      </c>
      <c r="F280" s="490">
        <v>199.12</v>
      </c>
      <c r="G280" s="490">
        <v>1869.31</v>
      </c>
      <c r="H280" s="489" t="str">
        <f>VLOOKUP(A280,'TB - Expense Data'!$H$3:$I$757,2,FALSE)</f>
        <v>FICA EXPENSE</v>
      </c>
    </row>
    <row r="281" spans="1:8" x14ac:dyDescent="0.25">
      <c r="A281" s="489" t="s">
        <v>703</v>
      </c>
      <c r="B281" s="489" t="s">
        <v>154</v>
      </c>
      <c r="C281" s="490">
        <v>1230</v>
      </c>
      <c r="D281" s="490">
        <v>0</v>
      </c>
      <c r="E281" s="490">
        <v>578.76</v>
      </c>
      <c r="F281" s="490">
        <v>46.62</v>
      </c>
      <c r="G281" s="490">
        <v>532.14</v>
      </c>
      <c r="H281" s="489" t="str">
        <f>VLOOKUP(A281,'TB - Expense Data'!$H$3:$I$757,2,FALSE)</f>
        <v>MEDI EXPENSE</v>
      </c>
    </row>
    <row r="282" spans="1:8" x14ac:dyDescent="0.25">
      <c r="A282" s="489" t="s">
        <v>704</v>
      </c>
      <c r="B282" s="489" t="s">
        <v>38</v>
      </c>
      <c r="C282" s="490">
        <v>15877</v>
      </c>
      <c r="D282" s="490">
        <v>0</v>
      </c>
      <c r="E282" s="490">
        <v>6809.82</v>
      </c>
      <c r="F282" s="490">
        <v>67.64</v>
      </c>
      <c r="G282" s="490">
        <v>6742.18</v>
      </c>
      <c r="H282" s="489" t="str">
        <f>VLOOKUP(A282,'TB - Expense Data'!$H$3:$I$757,2,FALSE)</f>
        <v>MEDICAL INSURANCE</v>
      </c>
    </row>
    <row r="283" spans="1:8" x14ac:dyDescent="0.25">
      <c r="A283" s="489" t="s">
        <v>688</v>
      </c>
      <c r="B283" s="489" t="s">
        <v>77</v>
      </c>
      <c r="C283" s="490">
        <v>979</v>
      </c>
      <c r="D283" s="490">
        <v>0</v>
      </c>
      <c r="E283" s="490">
        <v>360.01</v>
      </c>
      <c r="F283" s="490">
        <v>7.82</v>
      </c>
      <c r="G283" s="490">
        <v>352.19</v>
      </c>
      <c r="H283" s="489" t="str">
        <f>VLOOKUP(A283,'TB - Expense Data'!$H$3:$I$757,2,FALSE)</f>
        <v>DENTAL INSURANCE</v>
      </c>
    </row>
    <row r="284" spans="1:8" x14ac:dyDescent="0.25">
      <c r="A284" s="489" t="s">
        <v>721</v>
      </c>
      <c r="B284" s="489" t="s">
        <v>78</v>
      </c>
      <c r="C284" s="490">
        <v>182</v>
      </c>
      <c r="D284" s="490">
        <v>0</v>
      </c>
      <c r="E284" s="490">
        <v>98.01</v>
      </c>
      <c r="F284" s="490">
        <v>0</v>
      </c>
      <c r="G284" s="490">
        <v>98.01</v>
      </c>
      <c r="H284" s="489" t="str">
        <f>VLOOKUP(A284,'TB - Expense Data'!$H$3:$I$757,2,FALSE)</f>
        <v>VISION INSURANCE</v>
      </c>
    </row>
    <row r="285" spans="1:8" x14ac:dyDescent="0.25">
      <c r="A285" s="489" t="s">
        <v>724</v>
      </c>
      <c r="B285" s="489" t="s">
        <v>893</v>
      </c>
      <c r="C285" s="490">
        <v>874</v>
      </c>
      <c r="D285" s="490">
        <v>0</v>
      </c>
      <c r="E285" s="490">
        <v>338.57</v>
      </c>
      <c r="F285" s="490">
        <v>19.66</v>
      </c>
      <c r="G285" s="490">
        <v>318.91000000000003</v>
      </c>
      <c r="H285" s="489" t="str">
        <f>VLOOKUP(A285,'TB - Expense Data'!$H$3:$I$757,2,FALSE)</f>
        <v>WORKERS COMP INSURANCE</v>
      </c>
    </row>
    <row r="286" spans="1:8" x14ac:dyDescent="0.25">
      <c r="A286" s="489" t="s">
        <v>701</v>
      </c>
      <c r="B286" s="489" t="s">
        <v>2249</v>
      </c>
      <c r="C286" s="490">
        <v>309</v>
      </c>
      <c r="D286" s="490">
        <v>0</v>
      </c>
      <c r="E286" s="490">
        <v>184.51</v>
      </c>
      <c r="F286" s="490">
        <v>52.03</v>
      </c>
      <c r="G286" s="490">
        <v>132.47999999999999</v>
      </c>
      <c r="H286" s="489" t="str">
        <f>VLOOKUP(A286,'TB - Expense Data'!$H$3:$I$757,2,FALSE)</f>
        <v>LIFE INSURANCE EXPENSE</v>
      </c>
    </row>
    <row r="287" spans="1:8" x14ac:dyDescent="0.25">
      <c r="A287" s="489" t="s">
        <v>718</v>
      </c>
      <c r="B287" s="489" t="s">
        <v>40</v>
      </c>
      <c r="C287" s="490">
        <v>302</v>
      </c>
      <c r="D287" s="490">
        <v>0</v>
      </c>
      <c r="E287" s="490">
        <v>13.03</v>
      </c>
      <c r="F287" s="490">
        <v>7.68</v>
      </c>
      <c r="G287" s="490">
        <v>5.35</v>
      </c>
      <c r="H287" s="489" t="str">
        <f>VLOOKUP(A287,'TB - Expense Data'!$H$3:$I$757,2,FALSE)</f>
        <v>SUI EXPENSE</v>
      </c>
    </row>
    <row r="288" spans="1:8" x14ac:dyDescent="0.25">
      <c r="A288" s="489" t="s">
        <v>691</v>
      </c>
      <c r="B288" s="489" t="s">
        <v>41</v>
      </c>
      <c r="C288" s="490">
        <v>7.28</v>
      </c>
      <c r="D288" s="490">
        <v>0</v>
      </c>
      <c r="E288" s="490">
        <v>0.31</v>
      </c>
      <c r="F288" s="490">
        <v>0.22</v>
      </c>
      <c r="G288" s="490">
        <v>0.09</v>
      </c>
      <c r="H288" s="489" t="str">
        <f>VLOOKUP(A288,'TB - Expense Data'!$H$3:$I$757,2,FALSE)</f>
        <v>ETT EXPENSE</v>
      </c>
    </row>
    <row r="289" spans="1:8" x14ac:dyDescent="0.25">
      <c r="A289" s="489" t="s">
        <v>683</v>
      </c>
      <c r="B289" s="489" t="s">
        <v>155</v>
      </c>
      <c r="C289" s="490">
        <v>576</v>
      </c>
      <c r="D289" s="490">
        <v>0</v>
      </c>
      <c r="E289" s="490">
        <v>245</v>
      </c>
      <c r="F289" s="490">
        <v>45</v>
      </c>
      <c r="G289" s="490">
        <v>200</v>
      </c>
      <c r="H289" s="489" t="str">
        <f>VLOOKUP(A289,'TB - Expense Data'!$H$3:$I$757,2,FALSE)</f>
        <v>CAR ALLOWANCE EXPENSE</v>
      </c>
    </row>
    <row r="290" spans="1:8" x14ac:dyDescent="0.25">
      <c r="A290" s="489" t="s">
        <v>689</v>
      </c>
      <c r="B290" s="489" t="s">
        <v>42</v>
      </c>
      <c r="C290" s="490">
        <v>253</v>
      </c>
      <c r="D290" s="490">
        <v>0</v>
      </c>
      <c r="E290" s="490">
        <v>97.91</v>
      </c>
      <c r="F290" s="490">
        <v>5.28</v>
      </c>
      <c r="G290" s="490">
        <v>92.63</v>
      </c>
      <c r="H290" s="489" t="str">
        <f>VLOOKUP(A290,'TB - Expense Data'!$H$3:$I$757,2,FALSE)</f>
        <v>DISABILITY PLAN</v>
      </c>
    </row>
    <row r="291" spans="1:8" x14ac:dyDescent="0.25">
      <c r="A291" s="489" t="s">
        <v>681</v>
      </c>
      <c r="B291" s="489" t="s">
        <v>2252</v>
      </c>
      <c r="C291" s="490">
        <v>7372</v>
      </c>
      <c r="D291" s="490">
        <v>0</v>
      </c>
      <c r="E291" s="490">
        <v>3102.9</v>
      </c>
      <c r="F291" s="490">
        <v>266.58</v>
      </c>
      <c r="G291" s="490">
        <v>2836.32</v>
      </c>
      <c r="H291" s="489" t="str">
        <f>VLOOKUP(A291,'TB - Expense Data'!$H$3:$I$757,2,FALSE)</f>
        <v>CALPERS RETIREMENT</v>
      </c>
    </row>
    <row r="292" spans="1:8" x14ac:dyDescent="0.25">
      <c r="A292" s="489" t="s">
        <v>682</v>
      </c>
      <c r="B292" s="489" t="s">
        <v>44</v>
      </c>
      <c r="C292" s="490">
        <v>6090</v>
      </c>
      <c r="D292" s="490">
        <v>0</v>
      </c>
      <c r="E292" s="490">
        <v>2574.2800000000002</v>
      </c>
      <c r="F292" s="490">
        <v>219.92</v>
      </c>
      <c r="G292" s="490">
        <v>2354.36</v>
      </c>
      <c r="H292" s="489" t="str">
        <f>VLOOKUP(A292,'TB - Expense Data'!$H$3:$I$757,2,FALSE)</f>
        <v>CALPERS RETIREMENT (EE)</v>
      </c>
    </row>
    <row r="293" spans="1:8" x14ac:dyDescent="0.25">
      <c r="A293" s="489" t="s">
        <v>708</v>
      </c>
      <c r="B293" s="489" t="s">
        <v>183</v>
      </c>
      <c r="C293" s="490">
        <v>4240</v>
      </c>
      <c r="D293" s="490">
        <v>0</v>
      </c>
      <c r="E293" s="490">
        <v>0</v>
      </c>
      <c r="F293" s="490">
        <v>0</v>
      </c>
      <c r="G293" s="490">
        <v>0</v>
      </c>
      <c r="H293" s="489" t="str">
        <f>VLOOKUP(A293,'TB - Expense Data'!$H$3:$I$757,2,FALSE)</f>
        <v>OPEB EXPENSE</v>
      </c>
    </row>
    <row r="294" spans="1:8" x14ac:dyDescent="0.25">
      <c r="A294" s="489" t="s">
        <v>2487</v>
      </c>
      <c r="B294" s="489" t="s">
        <v>2254</v>
      </c>
      <c r="C294" s="490">
        <v>0</v>
      </c>
      <c r="D294" s="490">
        <v>0</v>
      </c>
      <c r="E294" s="490">
        <v>102.74</v>
      </c>
      <c r="F294" s="490">
        <v>8.64</v>
      </c>
      <c r="G294" s="490">
        <v>94.1</v>
      </c>
      <c r="H294" s="489" t="str">
        <f>VLOOKUP(A294,'TB - Expense Data'!$H$3:$I$757,2,FALSE)</f>
        <v>CALPERS-62 RETIREMENT (ER)</v>
      </c>
    </row>
    <row r="295" spans="1:8" x14ac:dyDescent="0.25">
      <c r="A295" s="489" t="s">
        <v>2488</v>
      </c>
      <c r="B295" s="489" t="s">
        <v>2256</v>
      </c>
      <c r="C295" s="490">
        <v>0</v>
      </c>
      <c r="D295" s="490">
        <v>0</v>
      </c>
      <c r="E295" s="490">
        <v>130.61000000000001</v>
      </c>
      <c r="F295" s="490">
        <v>10.99</v>
      </c>
      <c r="G295" s="490">
        <v>119.62</v>
      </c>
      <c r="H295" s="489" t="str">
        <f>VLOOKUP(A295,'TB - Expense Data'!$H$3:$I$757,2,FALSE)</f>
        <v>CALPERS-62 RETIREMENT (EE)</v>
      </c>
    </row>
    <row r="296" spans="1:8" x14ac:dyDescent="0.25">
      <c r="A296" s="489" t="s">
        <v>1081</v>
      </c>
      <c r="B296" s="489" t="s">
        <v>1079</v>
      </c>
      <c r="C296" s="490">
        <v>10545.92</v>
      </c>
      <c r="D296" s="490">
        <v>0</v>
      </c>
      <c r="E296" s="490">
        <v>10326.780000000001</v>
      </c>
      <c r="F296" s="490">
        <v>0</v>
      </c>
      <c r="G296" s="490">
        <v>10326.780000000001</v>
      </c>
      <c r="H296" s="489" t="str">
        <f>VLOOKUP(A296,'TB - Expense Data'!$H$3:$I$757,2,FALSE)</f>
        <v>PARS RETIREMENT</v>
      </c>
    </row>
    <row r="297" spans="1:8" x14ac:dyDescent="0.25">
      <c r="A297" s="489" t="s">
        <v>700</v>
      </c>
      <c r="B297" s="489" t="s">
        <v>156</v>
      </c>
      <c r="C297" s="490">
        <v>7600</v>
      </c>
      <c r="D297" s="490">
        <v>0</v>
      </c>
      <c r="E297" s="490">
        <v>3731.04</v>
      </c>
      <c r="F297" s="490">
        <v>0</v>
      </c>
      <c r="G297" s="490">
        <v>3731.04</v>
      </c>
      <c r="H297" s="489" t="str">
        <f>VLOOKUP(A297,'TB - Expense Data'!$H$3:$I$757,2,FALSE)</f>
        <v>LIABILITY INSURANCE</v>
      </c>
    </row>
    <row r="298" spans="1:8" x14ac:dyDescent="0.25">
      <c r="A298" s="489" t="s">
        <v>714</v>
      </c>
      <c r="B298" s="489" t="s">
        <v>157</v>
      </c>
      <c r="C298" s="490">
        <v>2000</v>
      </c>
      <c r="D298" s="490">
        <v>0</v>
      </c>
      <c r="E298" s="490">
        <v>369.12</v>
      </c>
      <c r="F298" s="490">
        <v>0</v>
      </c>
      <c r="G298" s="490">
        <v>369.12</v>
      </c>
      <c r="H298" s="489" t="str">
        <f>VLOOKUP(A298,'TB - Expense Data'!$H$3:$I$757,2,FALSE)</f>
        <v>PROPERTY INSURANCE</v>
      </c>
    </row>
    <row r="299" spans="1:8" x14ac:dyDescent="0.25">
      <c r="A299" s="489" t="s">
        <v>675</v>
      </c>
      <c r="B299" s="489" t="s">
        <v>158</v>
      </c>
      <c r="C299" s="490">
        <v>480</v>
      </c>
      <c r="D299" s="490">
        <v>0</v>
      </c>
      <c r="E299" s="490">
        <v>260.94</v>
      </c>
      <c r="F299" s="490">
        <v>0</v>
      </c>
      <c r="G299" s="490">
        <v>260.94</v>
      </c>
      <c r="H299" s="489" t="str">
        <f>VLOOKUP(A299,'TB - Expense Data'!$H$3:$I$757,2,FALSE)</f>
        <v>AUTO INSURANCE</v>
      </c>
    </row>
    <row r="300" spans="1:8" x14ac:dyDescent="0.25">
      <c r="A300" s="489" t="s">
        <v>706</v>
      </c>
      <c r="B300" s="489" t="s">
        <v>159</v>
      </c>
      <c r="C300" s="490">
        <v>1200</v>
      </c>
      <c r="D300" s="490">
        <v>0</v>
      </c>
      <c r="E300" s="490">
        <v>497.4</v>
      </c>
      <c r="F300" s="490">
        <v>0</v>
      </c>
      <c r="G300" s="490">
        <v>497.4</v>
      </c>
      <c r="H300" s="489" t="str">
        <f>VLOOKUP(A300,'TB - Expense Data'!$H$3:$I$757,2,FALSE)</f>
        <v>OFFICE POWER/GAS</v>
      </c>
    </row>
    <row r="301" spans="1:8" x14ac:dyDescent="0.25">
      <c r="A301" s="489" t="s">
        <v>680</v>
      </c>
      <c r="B301" s="489" t="s">
        <v>160</v>
      </c>
      <c r="C301" s="490">
        <v>360</v>
      </c>
      <c r="D301" s="490">
        <v>0</v>
      </c>
      <c r="E301" s="490">
        <v>1295.8399999999999</v>
      </c>
      <c r="F301" s="490">
        <v>0</v>
      </c>
      <c r="G301" s="490">
        <v>1295.8399999999999</v>
      </c>
      <c r="H301" s="489" t="str">
        <f>VLOOKUP(A301,'TB - Expense Data'!$H$3:$I$757,2,FALSE)</f>
        <v>BUILDING SECURITY</v>
      </c>
    </row>
    <row r="302" spans="1:8" x14ac:dyDescent="0.25">
      <c r="A302" s="489" t="s">
        <v>719</v>
      </c>
      <c r="B302" s="489" t="s">
        <v>161</v>
      </c>
      <c r="C302" s="490">
        <v>512</v>
      </c>
      <c r="D302" s="490">
        <v>0</v>
      </c>
      <c r="E302" s="490">
        <v>258.35000000000002</v>
      </c>
      <c r="F302" s="490">
        <v>0</v>
      </c>
      <c r="G302" s="490">
        <v>258.35000000000002</v>
      </c>
      <c r="H302" s="489" t="str">
        <f>VLOOKUP(A302,'TB - Expense Data'!$H$3:$I$757,2,FALSE)</f>
        <v>TRASH SERVICES</v>
      </c>
    </row>
    <row r="303" spans="1:8" x14ac:dyDescent="0.25">
      <c r="A303" s="489" t="s">
        <v>674</v>
      </c>
      <c r="B303" s="489" t="s">
        <v>162</v>
      </c>
      <c r="C303" s="490">
        <v>200</v>
      </c>
      <c r="D303" s="490">
        <v>0</v>
      </c>
      <c r="E303" s="490">
        <v>94.35</v>
      </c>
      <c r="F303" s="490">
        <v>12.35</v>
      </c>
      <c r="G303" s="490">
        <v>82</v>
      </c>
      <c r="H303" s="489" t="str">
        <f>VLOOKUP(A303,'TB - Expense Data'!$H$3:$I$757,2,FALSE)</f>
        <v>ANSWERING SERVICE</v>
      </c>
    </row>
    <row r="304" spans="1:8" x14ac:dyDescent="0.25">
      <c r="A304" s="489" t="s">
        <v>711</v>
      </c>
      <c r="B304" s="489" t="s">
        <v>83</v>
      </c>
      <c r="C304" s="490">
        <v>3600</v>
      </c>
      <c r="D304" s="490">
        <v>0</v>
      </c>
      <c r="E304" s="490">
        <v>1587.63</v>
      </c>
      <c r="F304" s="490">
        <v>17.989999999999998</v>
      </c>
      <c r="G304" s="490">
        <v>1569.64</v>
      </c>
      <c r="H304" s="489" t="str">
        <f>VLOOKUP(A304,'TB - Expense Data'!$H$3:$I$757,2,FALSE)</f>
        <v>PHONE</v>
      </c>
    </row>
    <row r="305" spans="1:8" x14ac:dyDescent="0.25">
      <c r="A305" s="489" t="s">
        <v>715</v>
      </c>
      <c r="B305" s="489" t="s">
        <v>163</v>
      </c>
      <c r="C305" s="490">
        <v>2080</v>
      </c>
      <c r="D305" s="490">
        <v>0</v>
      </c>
      <c r="E305" s="490">
        <v>1078.6400000000001</v>
      </c>
      <c r="F305" s="490">
        <v>0</v>
      </c>
      <c r="G305" s="490">
        <v>1078.6400000000001</v>
      </c>
      <c r="H305" s="489" t="str">
        <f>VLOOKUP(A305,'TB - Expense Data'!$H$3:$I$757,2,FALSE)</f>
        <v>RENT/LEASE EQUIPMENT</v>
      </c>
    </row>
    <row r="306" spans="1:8" x14ac:dyDescent="0.25">
      <c r="A306" s="489" t="s">
        <v>712</v>
      </c>
      <c r="B306" s="489" t="s">
        <v>70</v>
      </c>
      <c r="C306" s="490">
        <v>4640</v>
      </c>
      <c r="D306" s="490">
        <v>0</v>
      </c>
      <c r="E306" s="490">
        <v>7159.67</v>
      </c>
      <c r="F306" s="490">
        <v>16.34</v>
      </c>
      <c r="G306" s="490">
        <v>7143.33</v>
      </c>
      <c r="H306" s="489" t="str">
        <f>VLOOKUP(A306,'TB - Expense Data'!$H$3:$I$757,2,FALSE)</f>
        <v>POSTAGE</v>
      </c>
    </row>
    <row r="307" spans="1:8" x14ac:dyDescent="0.25">
      <c r="A307" s="489" t="s">
        <v>713</v>
      </c>
      <c r="B307" s="489" t="s">
        <v>47</v>
      </c>
      <c r="C307" s="490">
        <v>400</v>
      </c>
      <c r="D307" s="490">
        <v>0</v>
      </c>
      <c r="E307" s="490">
        <v>943.41</v>
      </c>
      <c r="F307" s="490">
        <v>170</v>
      </c>
      <c r="G307" s="490">
        <v>773.41</v>
      </c>
      <c r="H307" s="489" t="str">
        <f>VLOOKUP(A307,'TB - Expense Data'!$H$3:$I$757,2,FALSE)</f>
        <v>PRINTING</v>
      </c>
    </row>
    <row r="308" spans="1:8" x14ac:dyDescent="0.25">
      <c r="A308" s="489" t="s">
        <v>707</v>
      </c>
      <c r="B308" s="489" t="s">
        <v>48</v>
      </c>
      <c r="C308" s="490">
        <v>600</v>
      </c>
      <c r="D308" s="490">
        <v>0</v>
      </c>
      <c r="E308" s="490">
        <v>224.25</v>
      </c>
      <c r="F308" s="490">
        <v>79.239999999999995</v>
      </c>
      <c r="G308" s="490">
        <v>145.01</v>
      </c>
      <c r="H308" s="489" t="str">
        <f>VLOOKUP(A308,'TB - Expense Data'!$H$3:$I$757,2,FALSE)</f>
        <v>OFFICE SUPPLY</v>
      </c>
    </row>
    <row r="309" spans="1:8" x14ac:dyDescent="0.25">
      <c r="A309" s="489" t="s">
        <v>693</v>
      </c>
      <c r="B309" s="489" t="s">
        <v>49</v>
      </c>
      <c r="C309" s="490">
        <v>1600</v>
      </c>
      <c r="D309" s="490">
        <v>0</v>
      </c>
      <c r="E309" s="490">
        <v>393.11</v>
      </c>
      <c r="F309" s="490">
        <v>0</v>
      </c>
      <c r="G309" s="490">
        <v>393.11</v>
      </c>
      <c r="H309" s="489" t="str">
        <f>VLOOKUP(A309,'TB - Expense Data'!$H$3:$I$757,2,FALSE)</f>
        <v>GENERAL SUPPLY</v>
      </c>
    </row>
    <row r="310" spans="1:8" x14ac:dyDescent="0.25">
      <c r="A310" s="489" t="s">
        <v>684</v>
      </c>
      <c r="B310" s="489" t="s">
        <v>50</v>
      </c>
      <c r="C310" s="490">
        <v>2240</v>
      </c>
      <c r="D310" s="490">
        <v>0</v>
      </c>
      <c r="E310" s="490">
        <v>692.05</v>
      </c>
      <c r="F310" s="490">
        <v>0</v>
      </c>
      <c r="G310" s="490">
        <v>692.05</v>
      </c>
      <c r="H310" s="489" t="str">
        <f>VLOOKUP(A310,'TB - Expense Data'!$H$3:$I$757,2,FALSE)</f>
        <v>COMPUTERS/DATA PROCESSING</v>
      </c>
    </row>
    <row r="311" spans="1:8" x14ac:dyDescent="0.25">
      <c r="A311" s="489" t="s">
        <v>1065</v>
      </c>
      <c r="B311" s="489" t="s">
        <v>1061</v>
      </c>
      <c r="C311" s="490">
        <v>2400</v>
      </c>
      <c r="D311" s="490">
        <v>0</v>
      </c>
      <c r="E311" s="490">
        <v>1961.79</v>
      </c>
      <c r="F311" s="490">
        <v>0</v>
      </c>
      <c r="G311" s="490">
        <v>1961.79</v>
      </c>
      <c r="H311" s="489" t="str">
        <f>VLOOKUP(A311,'TB - Expense Data'!$H$3:$I$757,2,FALSE)</f>
        <v>SOFTWARE AND LICENSING</v>
      </c>
    </row>
    <row r="312" spans="1:8" x14ac:dyDescent="0.25">
      <c r="A312" s="489" t="s">
        <v>673</v>
      </c>
      <c r="B312" s="489" t="s">
        <v>51</v>
      </c>
      <c r="C312" s="490">
        <v>960</v>
      </c>
      <c r="D312" s="490">
        <v>0</v>
      </c>
      <c r="E312" s="490">
        <v>302.14999999999998</v>
      </c>
      <c r="F312" s="490">
        <v>0</v>
      </c>
      <c r="G312" s="490">
        <v>302.14999999999998</v>
      </c>
      <c r="H312" s="489" t="str">
        <f>VLOOKUP(A312,'TB - Expense Data'!$H$3:$I$757,2,FALSE)</f>
        <v>ADVERTISEMENT</v>
      </c>
    </row>
    <row r="313" spans="1:8" x14ac:dyDescent="0.25">
      <c r="A313" s="489" t="s">
        <v>702</v>
      </c>
      <c r="B313" s="489" t="s">
        <v>164</v>
      </c>
      <c r="C313" s="490">
        <v>4800</v>
      </c>
      <c r="D313" s="490">
        <v>0</v>
      </c>
      <c r="E313" s="490">
        <v>3649.73</v>
      </c>
      <c r="F313" s="490">
        <v>0</v>
      </c>
      <c r="G313" s="490">
        <v>3649.73</v>
      </c>
      <c r="H313" s="489" t="str">
        <f>VLOOKUP(A313,'TB - Expense Data'!$H$3:$I$757,2,FALSE)</f>
        <v>MAINTENANCE AGREEMENTS</v>
      </c>
    </row>
    <row r="314" spans="1:8" x14ac:dyDescent="0.25">
      <c r="A314" s="489" t="s">
        <v>694</v>
      </c>
      <c r="B314" s="489" t="s">
        <v>165</v>
      </c>
      <c r="C314" s="490">
        <v>480</v>
      </c>
      <c r="D314" s="490">
        <v>0</v>
      </c>
      <c r="E314" s="490">
        <v>150.81</v>
      </c>
      <c r="F314" s="490">
        <v>6.68</v>
      </c>
      <c r="G314" s="490">
        <v>144.13</v>
      </c>
      <c r="H314" s="489" t="str">
        <f>VLOOKUP(A314,'TB - Expense Data'!$H$3:$I$757,2,FALSE)</f>
        <v>HOSPITALITY &amp; AWARDS</v>
      </c>
    </row>
    <row r="315" spans="1:8" x14ac:dyDescent="0.25">
      <c r="A315" s="489" t="s">
        <v>1066</v>
      </c>
      <c r="B315" s="489" t="s">
        <v>1063</v>
      </c>
      <c r="C315" s="490">
        <v>760</v>
      </c>
      <c r="D315" s="490">
        <v>0</v>
      </c>
      <c r="E315" s="490">
        <v>287.2</v>
      </c>
      <c r="F315" s="490">
        <v>0</v>
      </c>
      <c r="G315" s="490">
        <v>287.2</v>
      </c>
      <c r="H315" s="489" t="str">
        <f>VLOOKUP(A315,'TB - Expense Data'!$H$3:$I$757,2,FALSE)</f>
        <v>BOARD MEETING VIDEO RECORDING</v>
      </c>
    </row>
    <row r="316" spans="1:8" x14ac:dyDescent="0.25">
      <c r="A316" s="489" t="s">
        <v>672</v>
      </c>
      <c r="B316" s="489" t="s">
        <v>166</v>
      </c>
      <c r="C316" s="490">
        <v>2800</v>
      </c>
      <c r="D316" s="490">
        <v>0</v>
      </c>
      <c r="E316" s="490">
        <v>2194.8000000000002</v>
      </c>
      <c r="F316" s="490">
        <v>0</v>
      </c>
      <c r="G316" s="490">
        <v>2194.8000000000002</v>
      </c>
      <c r="H316" s="489" t="str">
        <f>VLOOKUP(A316,'TB - Expense Data'!$H$3:$I$757,2,FALSE)</f>
        <v>ACCOUNTING SERVICES</v>
      </c>
    </row>
    <row r="317" spans="1:8" x14ac:dyDescent="0.25">
      <c r="A317" s="489" t="s">
        <v>687</v>
      </c>
      <c r="B317" s="489" t="s">
        <v>52</v>
      </c>
      <c r="C317" s="490">
        <v>14720</v>
      </c>
      <c r="D317" s="490">
        <v>0</v>
      </c>
      <c r="E317" s="490">
        <v>4512.5</v>
      </c>
      <c r="F317" s="490">
        <v>306</v>
      </c>
      <c r="G317" s="490">
        <v>4206.5</v>
      </c>
      <c r="H317" s="489" t="str">
        <f>VLOOKUP(A317,'TB - Expense Data'!$H$3:$I$757,2,FALSE)</f>
        <v>CONSULTING SERVICES</v>
      </c>
    </row>
    <row r="318" spans="1:8" x14ac:dyDescent="0.25">
      <c r="A318" s="489" t="s">
        <v>699</v>
      </c>
      <c r="B318" s="489" t="s">
        <v>167</v>
      </c>
      <c r="C318" s="490">
        <v>18240</v>
      </c>
      <c r="D318" s="490">
        <v>0</v>
      </c>
      <c r="E318" s="490">
        <v>9357.26</v>
      </c>
      <c r="F318" s="490">
        <v>638.05999999999995</v>
      </c>
      <c r="G318" s="490">
        <v>8719.2000000000007</v>
      </c>
      <c r="H318" s="489" t="str">
        <f>VLOOKUP(A318,'TB - Expense Data'!$H$3:$I$757,2,FALSE)</f>
        <v>LEGAL FEES</v>
      </c>
    </row>
    <row r="319" spans="1:8" x14ac:dyDescent="0.25">
      <c r="A319" s="509" t="s">
        <v>686</v>
      </c>
      <c r="B319" s="489" t="s">
        <v>1151</v>
      </c>
      <c r="C319" s="490">
        <v>550</v>
      </c>
      <c r="D319" s="490">
        <v>0</v>
      </c>
      <c r="E319" s="490">
        <v>0</v>
      </c>
      <c r="F319" s="490">
        <v>0</v>
      </c>
      <c r="G319" s="490">
        <v>0</v>
      </c>
      <c r="H319" s="489" t="str">
        <f>VLOOKUP(A319,'TB - Expense Data'!$H$3:$I$757,2,FALSE)</f>
        <v>CONFERENCES</v>
      </c>
    </row>
    <row r="320" spans="1:8" x14ac:dyDescent="0.25">
      <c r="A320" s="509" t="s">
        <v>685</v>
      </c>
      <c r="B320" s="489" t="s">
        <v>180</v>
      </c>
      <c r="C320" s="490">
        <v>240</v>
      </c>
      <c r="D320" s="490">
        <v>0</v>
      </c>
      <c r="E320" s="490">
        <v>68.8</v>
      </c>
      <c r="F320" s="490">
        <v>0</v>
      </c>
      <c r="G320" s="490">
        <v>68.8</v>
      </c>
      <c r="H320" s="489" t="str">
        <f>VLOOKUP(A320,'TB - Expense Data'!$H$3:$I$757,2,FALSE)</f>
        <v>CONFERENCE (BOD)</v>
      </c>
    </row>
    <row r="321" spans="1:8" x14ac:dyDescent="0.25">
      <c r="A321" s="489" t="s">
        <v>690</v>
      </c>
      <c r="B321" s="489" t="s">
        <v>1152</v>
      </c>
      <c r="C321" s="490">
        <v>2950</v>
      </c>
      <c r="D321" s="490">
        <v>0</v>
      </c>
      <c r="E321" s="490">
        <v>454.93</v>
      </c>
      <c r="F321" s="490">
        <v>0</v>
      </c>
      <c r="G321" s="490">
        <v>454.93</v>
      </c>
      <c r="H321" s="489" t="str">
        <f>VLOOKUP(A321,'TB - Expense Data'!$H$3:$I$757,2,FALSE)</f>
        <v>EDUCATION/ TRAINING</v>
      </c>
    </row>
    <row r="322" spans="1:8" x14ac:dyDescent="0.25">
      <c r="A322" s="489" t="s">
        <v>720</v>
      </c>
      <c r="B322" s="489" t="s">
        <v>53</v>
      </c>
      <c r="C322" s="490">
        <v>950</v>
      </c>
      <c r="D322" s="490">
        <v>0</v>
      </c>
      <c r="E322" s="490">
        <v>74.17</v>
      </c>
      <c r="F322" s="490">
        <v>0</v>
      </c>
      <c r="G322" s="490">
        <v>74.17</v>
      </c>
      <c r="H322" s="489" t="str">
        <f>VLOOKUP(A322,'TB - Expense Data'!$H$3:$I$757,2,FALSE)</f>
        <v>TRAVEL</v>
      </c>
    </row>
    <row r="323" spans="1:8" x14ac:dyDescent="0.25">
      <c r="A323" s="489" t="s">
        <v>716</v>
      </c>
      <c r="B323" s="489" t="s">
        <v>71</v>
      </c>
      <c r="C323" s="490">
        <v>400</v>
      </c>
      <c r="D323" s="490">
        <v>0</v>
      </c>
      <c r="E323" s="490">
        <v>102.07</v>
      </c>
      <c r="F323" s="490">
        <v>0</v>
      </c>
      <c r="G323" s="490">
        <v>102.07</v>
      </c>
      <c r="H323" s="489" t="str">
        <f>VLOOKUP(A323,'TB - Expense Data'!$H$3:$I$757,2,FALSE)</f>
        <v>SAFETY</v>
      </c>
    </row>
    <row r="324" spans="1:8" x14ac:dyDescent="0.25">
      <c r="A324" s="489" t="s">
        <v>705</v>
      </c>
      <c r="B324" s="489" t="s">
        <v>54</v>
      </c>
      <c r="C324" s="490">
        <v>2500</v>
      </c>
      <c r="D324" s="490">
        <v>0</v>
      </c>
      <c r="E324" s="490">
        <v>191.13</v>
      </c>
      <c r="F324" s="490">
        <v>0</v>
      </c>
      <c r="G324" s="490">
        <v>191.13</v>
      </c>
      <c r="H324" s="489" t="str">
        <f>VLOOKUP(A324,'TB - Expense Data'!$H$3:$I$757,2,FALSE)</f>
        <v>MEMBERSHIPS &amp; DUES</v>
      </c>
    </row>
    <row r="325" spans="1:8" x14ac:dyDescent="0.25">
      <c r="A325" s="489" t="s">
        <v>710</v>
      </c>
      <c r="B325" s="489" t="s">
        <v>170</v>
      </c>
      <c r="C325" s="490">
        <v>4480</v>
      </c>
      <c r="D325" s="490">
        <v>0</v>
      </c>
      <c r="E325" s="490">
        <v>1487.24</v>
      </c>
      <c r="F325" s="490">
        <v>0</v>
      </c>
      <c r="G325" s="490">
        <v>1487.24</v>
      </c>
      <c r="H325" s="489" t="str">
        <f>VLOOKUP(A325,'TB - Expense Data'!$H$3:$I$757,2,FALSE)</f>
        <v>PERMITS</v>
      </c>
    </row>
    <row r="326" spans="1:8" x14ac:dyDescent="0.25">
      <c r="A326" s="489" t="s">
        <v>677</v>
      </c>
      <c r="B326" s="489" t="s">
        <v>171</v>
      </c>
      <c r="C326" s="490">
        <v>4400</v>
      </c>
      <c r="D326" s="490">
        <v>0</v>
      </c>
      <c r="E326" s="490">
        <v>2616.4699999999998</v>
      </c>
      <c r="F326" s="490">
        <v>16.670000000000002</v>
      </c>
      <c r="G326" s="490">
        <v>2599.8000000000002</v>
      </c>
      <c r="H326" s="489" t="str">
        <f>VLOOKUP(A326,'TB - Expense Data'!$H$3:$I$757,2,FALSE)</f>
        <v>BANK &amp; ADMINISTRATION FEE</v>
      </c>
    </row>
    <row r="327" spans="1:8" x14ac:dyDescent="0.25">
      <c r="A327" s="489" t="s">
        <v>678</v>
      </c>
      <c r="B327" s="489" t="s">
        <v>172</v>
      </c>
      <c r="C327" s="490">
        <v>96</v>
      </c>
      <c r="D327" s="490">
        <v>0</v>
      </c>
      <c r="E327" s="490">
        <v>0</v>
      </c>
      <c r="F327" s="490">
        <v>0</v>
      </c>
      <c r="G327" s="490">
        <v>0</v>
      </c>
      <c r="H327" s="489" t="str">
        <f>VLOOKUP(A327,'TB - Expense Data'!$H$3:$I$757,2,FALSE)</f>
        <v>BANK FEE -  2006 BOND</v>
      </c>
    </row>
    <row r="328" spans="1:8" x14ac:dyDescent="0.25">
      <c r="A328" s="489" t="s">
        <v>679</v>
      </c>
      <c r="B328" s="489" t="s">
        <v>621</v>
      </c>
      <c r="C328" s="490">
        <v>96</v>
      </c>
      <c r="D328" s="490">
        <v>0</v>
      </c>
      <c r="E328" s="490">
        <v>0</v>
      </c>
      <c r="F328" s="490">
        <v>0</v>
      </c>
      <c r="G328" s="490">
        <v>0</v>
      </c>
      <c r="H328" s="489" t="str">
        <f>VLOOKUP(A328,'TB - Expense Data'!$H$3:$I$757,2,FALSE)</f>
        <v>BANK FEE - 2010 BOND</v>
      </c>
    </row>
    <row r="329" spans="1:8" x14ac:dyDescent="0.25">
      <c r="A329" s="489" t="s">
        <v>695</v>
      </c>
      <c r="B329" s="489" t="s">
        <v>2272</v>
      </c>
      <c r="C329" s="490">
        <v>80</v>
      </c>
      <c r="D329" s="490">
        <v>0</v>
      </c>
      <c r="E329" s="490">
        <v>9.48</v>
      </c>
      <c r="F329" s="490">
        <v>0</v>
      </c>
      <c r="G329" s="490">
        <v>9.48</v>
      </c>
      <c r="H329" s="489" t="str">
        <f>VLOOKUP(A329,'TB - Expense Data'!$H$3:$I$757,2,FALSE)</f>
        <v>INTEREST EXPENSE</v>
      </c>
    </row>
    <row r="330" spans="1:8" x14ac:dyDescent="0.25">
      <c r="A330" s="489" t="s">
        <v>671</v>
      </c>
      <c r="B330" s="489" t="s">
        <v>612</v>
      </c>
      <c r="C330" s="490">
        <v>20868</v>
      </c>
      <c r="D330" s="490">
        <v>0</v>
      </c>
      <c r="E330" s="490">
        <v>10434</v>
      </c>
      <c r="F330" s="490">
        <v>1739.04</v>
      </c>
      <c r="G330" s="490">
        <v>8694.9599999999991</v>
      </c>
      <c r="H330" s="489" t="str">
        <f>VLOOKUP(A330,'TB - Expense Data'!$H$3:$I$757,2,FALSE)</f>
        <v>2010 BOND INTEREST EXPENSE</v>
      </c>
    </row>
    <row r="331" spans="1:8" x14ac:dyDescent="0.25">
      <c r="A331" s="489" t="s">
        <v>670</v>
      </c>
      <c r="B331" s="489" t="s">
        <v>1075</v>
      </c>
      <c r="C331" s="490">
        <v>90544</v>
      </c>
      <c r="D331" s="490">
        <v>0</v>
      </c>
      <c r="E331" s="490">
        <v>45271.88</v>
      </c>
      <c r="F331" s="490">
        <v>7695</v>
      </c>
      <c r="G331" s="490">
        <v>37576.879999999997</v>
      </c>
      <c r="H331" s="489" t="str">
        <f>VLOOKUP(A331,'TB - Expense Data'!$H$3:$I$757,2,FALSE)</f>
        <v>2006 BOND INTEREST EXPENSE</v>
      </c>
    </row>
    <row r="332" spans="1:8" x14ac:dyDescent="0.25">
      <c r="A332" s="489" t="s">
        <v>697</v>
      </c>
      <c r="B332" s="489" t="s">
        <v>185</v>
      </c>
      <c r="C332" s="490">
        <v>3200</v>
      </c>
      <c r="D332" s="490">
        <v>0</v>
      </c>
      <c r="E332" s="490">
        <v>1730.9</v>
      </c>
      <c r="F332" s="490">
        <v>0</v>
      </c>
      <c r="G332" s="490">
        <v>1730.9</v>
      </c>
      <c r="H332" s="489" t="str">
        <f>VLOOKUP(A332,'TB - Expense Data'!$H$3:$I$757,2,FALSE)</f>
        <v>IOP INTEREST EXPENSE</v>
      </c>
    </row>
    <row r="333" spans="1:8" x14ac:dyDescent="0.25">
      <c r="A333" s="489" t="s">
        <v>696</v>
      </c>
      <c r="B333" s="489" t="s">
        <v>186</v>
      </c>
      <c r="C333" s="490">
        <v>1440</v>
      </c>
      <c r="D333" s="490">
        <v>0</v>
      </c>
      <c r="E333" s="490">
        <v>0</v>
      </c>
      <c r="F333" s="490">
        <v>0</v>
      </c>
      <c r="G333" s="490">
        <v>0</v>
      </c>
      <c r="H333" s="489" t="str">
        <f>VLOOKUP(A333,'TB - Expense Data'!$H$3:$I$757,2,FALSE)</f>
        <v>IOP EXPENSE</v>
      </c>
    </row>
    <row r="334" spans="1:8" x14ac:dyDescent="0.25">
      <c r="A334" s="489" t="s">
        <v>676</v>
      </c>
      <c r="B334" s="489" t="s">
        <v>178</v>
      </c>
      <c r="C334" s="490">
        <v>80</v>
      </c>
      <c r="D334" s="490">
        <v>0</v>
      </c>
      <c r="E334" s="490">
        <v>0</v>
      </c>
      <c r="F334" s="490">
        <v>0</v>
      </c>
      <c r="G334" s="490">
        <v>0</v>
      </c>
      <c r="H334" s="489" t="str">
        <f>VLOOKUP(A334,'TB - Expense Data'!$H$3:$I$757,2,FALSE)</f>
        <v>BAD DEBT EXPENSE</v>
      </c>
    </row>
    <row r="335" spans="1:8" x14ac:dyDescent="0.25">
      <c r="A335" s="489" t="s">
        <v>243</v>
      </c>
      <c r="B335" s="489" t="s">
        <v>76</v>
      </c>
      <c r="C335" s="490">
        <v>164344.04</v>
      </c>
      <c r="D335" s="490">
        <v>0</v>
      </c>
      <c r="E335" s="490">
        <v>71628.94</v>
      </c>
      <c r="F335" s="490">
        <v>2594.2199999999998</v>
      </c>
      <c r="G335" s="490">
        <v>69034.720000000001</v>
      </c>
      <c r="H335" s="489" t="str">
        <f>VLOOKUP(A335,'TB - Expense Data'!$H$3:$I$757,2,FALSE)</f>
        <v>WAGES - OPM</v>
      </c>
    </row>
    <row r="336" spans="1:8" x14ac:dyDescent="0.25">
      <c r="A336" s="489" t="s">
        <v>244</v>
      </c>
      <c r="B336" s="489" t="s">
        <v>37</v>
      </c>
      <c r="C336" s="490">
        <v>5159.28</v>
      </c>
      <c r="D336" s="490">
        <v>0</v>
      </c>
      <c r="E336" s="490">
        <v>190.13</v>
      </c>
      <c r="F336" s="490">
        <v>0</v>
      </c>
      <c r="G336" s="490">
        <v>190.13</v>
      </c>
      <c r="H336" s="489" t="str">
        <f>VLOOKUP(A336,'TB - Expense Data'!$H$3:$I$757,2,FALSE)</f>
        <v>OVERTIME</v>
      </c>
    </row>
    <row r="337" spans="1:8" x14ac:dyDescent="0.25">
      <c r="A337" s="489" t="s">
        <v>245</v>
      </c>
      <c r="B337" s="489" t="s">
        <v>1076</v>
      </c>
      <c r="C337" s="490">
        <v>4076.8</v>
      </c>
      <c r="D337" s="490">
        <v>0</v>
      </c>
      <c r="E337" s="490">
        <v>3640</v>
      </c>
      <c r="F337" s="490">
        <v>280</v>
      </c>
      <c r="G337" s="490">
        <v>3360</v>
      </c>
      <c r="H337" s="489" t="str">
        <f>VLOOKUP(A337,'TB - Expense Data'!$H$3:$I$757,2,FALSE)</f>
        <v>STANDBY WAGES</v>
      </c>
    </row>
    <row r="338" spans="1:8" x14ac:dyDescent="0.25">
      <c r="A338" s="489" t="s">
        <v>246</v>
      </c>
      <c r="B338" s="489" t="s">
        <v>153</v>
      </c>
      <c r="C338" s="490">
        <v>10761.94</v>
      </c>
      <c r="D338" s="490">
        <v>0</v>
      </c>
      <c r="E338" s="490">
        <v>4505.7</v>
      </c>
      <c r="F338" s="490">
        <v>163.96</v>
      </c>
      <c r="G338" s="490">
        <v>4341.74</v>
      </c>
      <c r="H338" s="489" t="str">
        <f>VLOOKUP(A338,'TB - Expense Data'!$H$3:$I$757,2,FALSE)</f>
        <v>FICA EXPENSE</v>
      </c>
    </row>
    <row r="339" spans="1:8" x14ac:dyDescent="0.25">
      <c r="A339" s="489" t="s">
        <v>247</v>
      </c>
      <c r="B339" s="489" t="s">
        <v>154</v>
      </c>
      <c r="C339" s="490">
        <v>2516.92</v>
      </c>
      <c r="D339" s="490">
        <v>0</v>
      </c>
      <c r="E339" s="490">
        <v>1075.54</v>
      </c>
      <c r="F339" s="490">
        <v>38.33</v>
      </c>
      <c r="G339" s="490">
        <v>1037.21</v>
      </c>
      <c r="H339" s="489" t="str">
        <f>VLOOKUP(A339,'TB - Expense Data'!$H$3:$I$757,2,FALSE)</f>
        <v>MEDI EXPENSE</v>
      </c>
    </row>
    <row r="340" spans="1:8" x14ac:dyDescent="0.25">
      <c r="A340" s="489" t="s">
        <v>248</v>
      </c>
      <c r="B340" s="489" t="s">
        <v>38</v>
      </c>
      <c r="C340" s="490">
        <v>47837.86</v>
      </c>
      <c r="D340" s="490">
        <v>0</v>
      </c>
      <c r="E340" s="490">
        <v>17953.88</v>
      </c>
      <c r="F340" s="490">
        <v>0</v>
      </c>
      <c r="G340" s="490">
        <v>17953.88</v>
      </c>
      <c r="H340" s="489" t="str">
        <f>VLOOKUP(A340,'TB - Expense Data'!$H$3:$I$757,2,FALSE)</f>
        <v>MEDICAL INSURANCE</v>
      </c>
    </row>
    <row r="341" spans="1:8" x14ac:dyDescent="0.25">
      <c r="A341" s="489" t="s">
        <v>249</v>
      </c>
      <c r="B341" s="489" t="s">
        <v>77</v>
      </c>
      <c r="C341" s="490">
        <v>2734.2</v>
      </c>
      <c r="D341" s="490">
        <v>0</v>
      </c>
      <c r="E341" s="490">
        <v>1013.6</v>
      </c>
      <c r="F341" s="490">
        <v>0</v>
      </c>
      <c r="G341" s="490">
        <v>1013.6</v>
      </c>
      <c r="H341" s="489" t="str">
        <f>VLOOKUP(A341,'TB - Expense Data'!$H$3:$I$757,2,FALSE)</f>
        <v>DENTAL INSURANCE</v>
      </c>
    </row>
    <row r="342" spans="1:8" x14ac:dyDescent="0.25">
      <c r="A342" s="489" t="s">
        <v>250</v>
      </c>
      <c r="B342" s="489" t="s">
        <v>78</v>
      </c>
      <c r="C342" s="490">
        <v>482.86</v>
      </c>
      <c r="D342" s="490">
        <v>0</v>
      </c>
      <c r="E342" s="490">
        <v>204.64</v>
      </c>
      <c r="F342" s="490">
        <v>0</v>
      </c>
      <c r="G342" s="490">
        <v>204.64</v>
      </c>
      <c r="H342" s="489" t="str">
        <f>VLOOKUP(A342,'TB - Expense Data'!$H$3:$I$757,2,FALSE)</f>
        <v>VISION INSURANCE</v>
      </c>
    </row>
    <row r="343" spans="1:8" x14ac:dyDescent="0.25">
      <c r="A343" s="489" t="s">
        <v>251</v>
      </c>
      <c r="B343" s="489" t="s">
        <v>893</v>
      </c>
      <c r="C343" s="490">
        <v>6701.8</v>
      </c>
      <c r="D343" s="490">
        <v>0</v>
      </c>
      <c r="E343" s="490">
        <v>2943.39</v>
      </c>
      <c r="F343" s="490">
        <v>151.29</v>
      </c>
      <c r="G343" s="490">
        <v>2792.1</v>
      </c>
      <c r="H343" s="489" t="str">
        <f>VLOOKUP(A343,'TB - Expense Data'!$H$3:$I$757,2,FALSE)</f>
        <v>WORKERS COMP INSURANCE</v>
      </c>
    </row>
    <row r="344" spans="1:8" x14ac:dyDescent="0.25">
      <c r="A344" s="489" t="s">
        <v>252</v>
      </c>
      <c r="B344" s="489" t="s">
        <v>2249</v>
      </c>
      <c r="C344" s="490">
        <v>650.86</v>
      </c>
      <c r="D344" s="490">
        <v>0</v>
      </c>
      <c r="E344" s="490">
        <v>248.99</v>
      </c>
      <c r="F344" s="490">
        <v>69.709999999999994</v>
      </c>
      <c r="G344" s="490">
        <v>179.28</v>
      </c>
      <c r="H344" s="489" t="str">
        <f>VLOOKUP(A344,'TB - Expense Data'!$H$3:$I$757,2,FALSE)</f>
        <v>LIFE INSURANCE EXPENSE</v>
      </c>
    </row>
    <row r="345" spans="1:8" x14ac:dyDescent="0.25">
      <c r="A345" s="489" t="s">
        <v>253</v>
      </c>
      <c r="B345" s="489" t="s">
        <v>64</v>
      </c>
      <c r="C345" s="490">
        <v>952</v>
      </c>
      <c r="D345" s="490">
        <v>0</v>
      </c>
      <c r="E345" s="490">
        <v>263.43</v>
      </c>
      <c r="F345" s="490">
        <v>0</v>
      </c>
      <c r="G345" s="490">
        <v>263.43</v>
      </c>
      <c r="H345" s="489" t="str">
        <f>VLOOKUP(A345,'TB - Expense Data'!$H$3:$I$757,2,FALSE)</f>
        <v>UNIFORM BENEFIT</v>
      </c>
    </row>
    <row r="346" spans="1:8" x14ac:dyDescent="0.25">
      <c r="A346" s="489" t="s">
        <v>254</v>
      </c>
      <c r="B346" s="489" t="s">
        <v>65</v>
      </c>
      <c r="C346" s="490">
        <v>476</v>
      </c>
      <c r="D346" s="490">
        <v>0</v>
      </c>
      <c r="E346" s="490">
        <v>69.680000000000007</v>
      </c>
      <c r="F346" s="490">
        <v>0</v>
      </c>
      <c r="G346" s="490">
        <v>69.680000000000007</v>
      </c>
      <c r="H346" s="489" t="str">
        <f>VLOOKUP(A346,'TB - Expense Data'!$H$3:$I$757,2,FALSE)</f>
        <v>BOOT BENEFIT</v>
      </c>
    </row>
    <row r="347" spans="1:8" x14ac:dyDescent="0.25">
      <c r="A347" s="489" t="s">
        <v>255</v>
      </c>
      <c r="B347" s="489" t="s">
        <v>40</v>
      </c>
      <c r="C347" s="490">
        <v>736.54</v>
      </c>
      <c r="D347" s="490">
        <v>0</v>
      </c>
      <c r="E347" s="490">
        <v>1.92</v>
      </c>
      <c r="F347" s="490">
        <v>0</v>
      </c>
      <c r="G347" s="490">
        <v>1.92</v>
      </c>
      <c r="H347" s="489" t="str">
        <f>VLOOKUP(A347,'TB - Expense Data'!$H$3:$I$757,2,FALSE)</f>
        <v>SUI EXPENSE</v>
      </c>
    </row>
    <row r="348" spans="1:8" x14ac:dyDescent="0.25">
      <c r="A348" s="489" t="s">
        <v>256</v>
      </c>
      <c r="B348" s="489" t="s">
        <v>41</v>
      </c>
      <c r="C348" s="490">
        <v>16.38</v>
      </c>
      <c r="D348" s="490">
        <v>0</v>
      </c>
      <c r="E348" s="490">
        <v>0</v>
      </c>
      <c r="F348" s="490">
        <v>0</v>
      </c>
      <c r="G348" s="490">
        <v>0</v>
      </c>
      <c r="H348" s="489" t="str">
        <f>VLOOKUP(A348,'TB - Expense Data'!$H$3:$I$757,2,FALSE)</f>
        <v>ETT EXPENSE</v>
      </c>
    </row>
    <row r="349" spans="1:8" x14ac:dyDescent="0.25">
      <c r="A349" s="489" t="s">
        <v>257</v>
      </c>
      <c r="B349" s="489" t="s">
        <v>42</v>
      </c>
      <c r="C349" s="490">
        <v>511.56</v>
      </c>
      <c r="D349" s="490">
        <v>0</v>
      </c>
      <c r="E349" s="490">
        <v>132.44999999999999</v>
      </c>
      <c r="F349" s="490">
        <v>7.11</v>
      </c>
      <c r="G349" s="490">
        <v>125.34</v>
      </c>
      <c r="H349" s="489" t="str">
        <f>VLOOKUP(A349,'TB - Expense Data'!$H$3:$I$757,2,FALSE)</f>
        <v>DISABILITY PLAN</v>
      </c>
    </row>
    <row r="350" spans="1:8" x14ac:dyDescent="0.25">
      <c r="A350" s="489" t="s">
        <v>258</v>
      </c>
      <c r="B350" s="489" t="s">
        <v>2252</v>
      </c>
      <c r="C350" s="490">
        <v>14900.76</v>
      </c>
      <c r="D350" s="490">
        <v>0</v>
      </c>
      <c r="E350" s="490">
        <v>6168.12</v>
      </c>
      <c r="F350" s="490">
        <v>203.42</v>
      </c>
      <c r="G350" s="490">
        <v>5964.7</v>
      </c>
      <c r="H350" s="489" t="str">
        <f>VLOOKUP(A350,'TB - Expense Data'!$H$3:$I$757,2,FALSE)</f>
        <v>CALPERS RETIREMENT</v>
      </c>
    </row>
    <row r="351" spans="1:8" x14ac:dyDescent="0.25">
      <c r="A351" s="489" t="s">
        <v>259</v>
      </c>
      <c r="B351" s="489" t="s">
        <v>44</v>
      </c>
      <c r="C351" s="490">
        <v>12309.36</v>
      </c>
      <c r="D351" s="490">
        <v>0</v>
      </c>
      <c r="E351" s="490">
        <v>5119.8</v>
      </c>
      <c r="F351" s="490">
        <v>168.85</v>
      </c>
      <c r="G351" s="490">
        <v>4950.95</v>
      </c>
      <c r="H351" s="489" t="str">
        <f>VLOOKUP(A351,'TB - Expense Data'!$H$3:$I$757,2,FALSE)</f>
        <v>CALPERS RETIREMENT (EE)</v>
      </c>
    </row>
    <row r="352" spans="1:8" x14ac:dyDescent="0.25">
      <c r="A352" s="489" t="s">
        <v>260</v>
      </c>
      <c r="B352" s="489" t="s">
        <v>183</v>
      </c>
      <c r="C352" s="490">
        <v>6300</v>
      </c>
      <c r="D352" s="490">
        <v>0</v>
      </c>
      <c r="E352" s="490">
        <v>0</v>
      </c>
      <c r="F352" s="490">
        <v>0</v>
      </c>
      <c r="G352" s="490">
        <v>0</v>
      </c>
      <c r="H352" s="489" t="str">
        <f>VLOOKUP(A352,'TB - Expense Data'!$H$3:$I$757,2,FALSE)</f>
        <v>OPEB EXPENSE</v>
      </c>
    </row>
    <row r="353" spans="1:8" x14ac:dyDescent="0.25">
      <c r="A353" s="489" t="s">
        <v>261</v>
      </c>
      <c r="B353" s="489" t="s">
        <v>1161</v>
      </c>
      <c r="C353" s="490">
        <v>136</v>
      </c>
      <c r="D353" s="490">
        <v>0</v>
      </c>
      <c r="E353" s="490">
        <v>0</v>
      </c>
      <c r="F353" s="490">
        <v>0</v>
      </c>
      <c r="G353" s="490">
        <v>0</v>
      </c>
      <c r="H353" s="489" t="str">
        <f>VLOOKUP(A353,'TB - Expense Data'!$H$3:$I$757,2,FALSE)</f>
        <v>BOOKS &amp; REF MATERIALS</v>
      </c>
    </row>
    <row r="354" spans="1:8" x14ac:dyDescent="0.25">
      <c r="A354" s="489" t="s">
        <v>262</v>
      </c>
      <c r="B354" s="489" t="s">
        <v>48</v>
      </c>
      <c r="C354" s="490">
        <v>80</v>
      </c>
      <c r="D354" s="490">
        <v>0</v>
      </c>
      <c r="E354" s="490">
        <v>0</v>
      </c>
      <c r="F354" s="490">
        <v>0</v>
      </c>
      <c r="G354" s="490">
        <v>0</v>
      </c>
      <c r="H354" s="489" t="str">
        <f>VLOOKUP(A354,'TB - Expense Data'!$H$3:$I$757,2,FALSE)</f>
        <v>OFFICE SUPPLY</v>
      </c>
    </row>
    <row r="355" spans="1:8" x14ac:dyDescent="0.25">
      <c r="A355" s="489" t="s">
        <v>264</v>
      </c>
      <c r="B355" s="489" t="s">
        <v>54</v>
      </c>
      <c r="C355" s="490">
        <v>520</v>
      </c>
      <c r="D355" s="490">
        <v>0</v>
      </c>
      <c r="E355" s="490">
        <v>468.88</v>
      </c>
      <c r="F355" s="490">
        <v>0</v>
      </c>
      <c r="G355" s="490">
        <v>468.88</v>
      </c>
      <c r="H355" s="489" t="str">
        <f>VLOOKUP(A355,'TB - Expense Data'!$H$3:$I$757,2,FALSE)</f>
        <v>MEMBERSHIPS &amp; DUES</v>
      </c>
    </row>
    <row r="356" spans="1:8" x14ac:dyDescent="0.25">
      <c r="A356" s="489" t="s">
        <v>265</v>
      </c>
      <c r="B356" s="489" t="s">
        <v>71</v>
      </c>
      <c r="C356" s="490">
        <v>960</v>
      </c>
      <c r="D356" s="490">
        <v>0</v>
      </c>
      <c r="E356" s="490">
        <v>267.70999999999998</v>
      </c>
      <c r="F356" s="490">
        <v>0</v>
      </c>
      <c r="G356" s="490">
        <v>267.70999999999998</v>
      </c>
      <c r="H356" s="489" t="str">
        <f>VLOOKUP(A356,'TB - Expense Data'!$H$3:$I$757,2,FALSE)</f>
        <v>SAFETY</v>
      </c>
    </row>
    <row r="357" spans="1:8" x14ac:dyDescent="0.25">
      <c r="A357" s="489" t="s">
        <v>266</v>
      </c>
      <c r="B357" s="489" t="s">
        <v>80</v>
      </c>
      <c r="C357" s="490">
        <v>400</v>
      </c>
      <c r="D357" s="490">
        <v>0</v>
      </c>
      <c r="E357" s="490">
        <v>278.36</v>
      </c>
      <c r="F357" s="490">
        <v>0</v>
      </c>
      <c r="G357" s="490">
        <v>278.36</v>
      </c>
      <c r="H357" s="489" t="str">
        <f>VLOOKUP(A357,'TB - Expense Data'!$H$3:$I$757,2,FALSE)</f>
        <v>SUPPLIES</v>
      </c>
    </row>
    <row r="358" spans="1:8" x14ac:dyDescent="0.25">
      <c r="A358" s="489" t="s">
        <v>267</v>
      </c>
      <c r="B358" s="489" t="s">
        <v>1163</v>
      </c>
      <c r="C358" s="490">
        <v>13200</v>
      </c>
      <c r="D358" s="490">
        <v>0</v>
      </c>
      <c r="E358" s="490">
        <v>2426.41</v>
      </c>
      <c r="F358" s="490">
        <v>4.32</v>
      </c>
      <c r="G358" s="490">
        <v>2422.09</v>
      </c>
      <c r="H358" s="489" t="str">
        <f>VLOOKUP(A358,'TB - Expense Data'!$H$3:$I$757,2,FALSE)</f>
        <v>GENERAL O&amp;M MAINT/ EQUIP</v>
      </c>
    </row>
    <row r="359" spans="1:8" x14ac:dyDescent="0.25">
      <c r="A359" s="489" t="s">
        <v>268</v>
      </c>
      <c r="B359" s="489" t="s">
        <v>81</v>
      </c>
      <c r="C359" s="490">
        <v>12</v>
      </c>
      <c r="D359" s="490">
        <v>0</v>
      </c>
      <c r="E359" s="490">
        <v>0</v>
      </c>
      <c r="F359" s="490">
        <v>0</v>
      </c>
      <c r="G359" s="490">
        <v>0</v>
      </c>
      <c r="H359" s="489" t="str">
        <f>VLOOKUP(A359,'TB - Expense Data'!$H$3:$I$757,2,FALSE)</f>
        <v>O&amp;M POWER/GAS</v>
      </c>
    </row>
    <row r="360" spans="1:8" x14ac:dyDescent="0.25">
      <c r="A360" s="489" t="s">
        <v>269</v>
      </c>
      <c r="B360" s="489" t="s">
        <v>82</v>
      </c>
      <c r="C360" s="490">
        <v>1320</v>
      </c>
      <c r="D360" s="490">
        <v>0</v>
      </c>
      <c r="E360" s="490">
        <v>456.13</v>
      </c>
      <c r="F360" s="490">
        <v>0</v>
      </c>
      <c r="G360" s="490">
        <v>456.13</v>
      </c>
      <c r="H360" s="489" t="str">
        <f>VLOOKUP(A360,'TB - Expense Data'!$H$3:$I$757,2,FALSE)</f>
        <v>LUBRICANTS</v>
      </c>
    </row>
    <row r="361" spans="1:8" x14ac:dyDescent="0.25">
      <c r="A361" s="489" t="s">
        <v>892</v>
      </c>
      <c r="B361" s="489" t="s">
        <v>83</v>
      </c>
      <c r="C361" s="490">
        <v>280</v>
      </c>
      <c r="D361" s="490">
        <v>0</v>
      </c>
      <c r="E361" s="490">
        <v>31.16</v>
      </c>
      <c r="F361" s="490">
        <v>0</v>
      </c>
      <c r="G361" s="490">
        <v>31.16</v>
      </c>
      <c r="H361" s="489" t="str">
        <f>VLOOKUP(A361,'TB - Expense Data'!$H$3:$I$757,2,FALSE)</f>
        <v>PHONE</v>
      </c>
    </row>
    <row r="362" spans="1:8" x14ac:dyDescent="0.25">
      <c r="A362" s="489" t="s">
        <v>957</v>
      </c>
      <c r="B362" s="489" t="s">
        <v>1086</v>
      </c>
      <c r="C362" s="490">
        <v>3200</v>
      </c>
      <c r="D362" s="490">
        <v>0</v>
      </c>
      <c r="E362" s="490">
        <v>303.8</v>
      </c>
      <c r="F362" s="490">
        <v>0</v>
      </c>
      <c r="G362" s="490">
        <v>303.8</v>
      </c>
      <c r="H362" s="489" t="str">
        <f>VLOOKUP(A362,'TB - Expense Data'!$H$3:$I$757,2,FALSE)</f>
        <v>MAINTENANCE MANAGEMENT SYSTEM</v>
      </c>
    </row>
    <row r="363" spans="1:8" x14ac:dyDescent="0.25">
      <c r="A363" s="489" t="s">
        <v>271</v>
      </c>
      <c r="B363" s="489" t="s">
        <v>85</v>
      </c>
      <c r="C363" s="490">
        <v>3200</v>
      </c>
      <c r="D363" s="490">
        <v>0</v>
      </c>
      <c r="E363" s="490">
        <v>912.93</v>
      </c>
      <c r="F363" s="490">
        <v>0</v>
      </c>
      <c r="G363" s="490">
        <v>912.93</v>
      </c>
      <c r="H363" s="489" t="str">
        <f>VLOOKUP(A363,'TB - Expense Data'!$H$3:$I$757,2,FALSE)</f>
        <v>ANNUAL MAINTENANCE PROGRAM</v>
      </c>
    </row>
    <row r="364" spans="1:8" x14ac:dyDescent="0.25">
      <c r="A364" s="489" t="s">
        <v>272</v>
      </c>
      <c r="B364" s="489" t="s">
        <v>1170</v>
      </c>
      <c r="C364" s="490">
        <v>3200</v>
      </c>
      <c r="D364" s="490">
        <v>0</v>
      </c>
      <c r="E364" s="490">
        <v>605.09</v>
      </c>
      <c r="F364" s="490">
        <v>0</v>
      </c>
      <c r="G364" s="490">
        <v>605.09</v>
      </c>
      <c r="H364" s="489" t="str">
        <f>VLOOKUP(A364,'TB - Expense Data'!$H$3:$I$757,2,FALSE)</f>
        <v>REAL PROPERTY MAINT</v>
      </c>
    </row>
    <row r="365" spans="1:8" x14ac:dyDescent="0.25">
      <c r="A365" s="489" t="s">
        <v>273</v>
      </c>
      <c r="B365" s="489" t="s">
        <v>94</v>
      </c>
      <c r="C365" s="490">
        <v>5000</v>
      </c>
      <c r="D365" s="490">
        <v>0</v>
      </c>
      <c r="E365" s="490">
        <v>0</v>
      </c>
      <c r="F365" s="490">
        <v>0</v>
      </c>
      <c r="G365" s="490">
        <v>0</v>
      </c>
      <c r="H365" s="489" t="str">
        <f>VLOOKUP(A365,'TB - Expense Data'!$H$3:$I$757,2,FALSE)</f>
        <v>L/S 2 MAINT &amp; EQUIP</v>
      </c>
    </row>
    <row r="366" spans="1:8" x14ac:dyDescent="0.25">
      <c r="A366" s="489" t="s">
        <v>274</v>
      </c>
      <c r="B366" s="489" t="s">
        <v>95</v>
      </c>
      <c r="C366" s="490">
        <v>8000</v>
      </c>
      <c r="D366" s="490">
        <v>0</v>
      </c>
      <c r="E366" s="490">
        <v>4213.05</v>
      </c>
      <c r="F366" s="490">
        <v>0</v>
      </c>
      <c r="G366" s="490">
        <v>4213.05</v>
      </c>
      <c r="H366" s="489" t="str">
        <f>VLOOKUP(A366,'TB - Expense Data'!$H$3:$I$757,2,FALSE)</f>
        <v>L/S 2 POWER</v>
      </c>
    </row>
    <row r="367" spans="1:8" x14ac:dyDescent="0.25">
      <c r="A367" s="489" t="s">
        <v>275</v>
      </c>
      <c r="B367" s="489" t="s">
        <v>96</v>
      </c>
      <c r="C367" s="490">
        <v>1000</v>
      </c>
      <c r="D367" s="490">
        <v>0</v>
      </c>
      <c r="E367" s="490">
        <v>0</v>
      </c>
      <c r="F367" s="490">
        <v>0</v>
      </c>
      <c r="G367" s="490">
        <v>0</v>
      </c>
      <c r="H367" s="489" t="str">
        <f>VLOOKUP(A367,'TB - Expense Data'!$H$3:$I$757,2,FALSE)</f>
        <v>L/S 3 MAINT &amp; EQUIP</v>
      </c>
    </row>
    <row r="368" spans="1:8" x14ac:dyDescent="0.25">
      <c r="A368" s="489" t="s">
        <v>276</v>
      </c>
      <c r="B368" s="489" t="s">
        <v>97</v>
      </c>
      <c r="C368" s="490">
        <v>1350</v>
      </c>
      <c r="D368" s="490">
        <v>0</v>
      </c>
      <c r="E368" s="490">
        <v>541.97</v>
      </c>
      <c r="F368" s="490">
        <v>0</v>
      </c>
      <c r="G368" s="490">
        <v>541.97</v>
      </c>
      <c r="H368" s="489" t="str">
        <f>VLOOKUP(A368,'TB - Expense Data'!$H$3:$I$757,2,FALSE)</f>
        <v>L/S 3 POWER</v>
      </c>
    </row>
    <row r="369" spans="1:8" x14ac:dyDescent="0.25">
      <c r="A369" s="489" t="s">
        <v>277</v>
      </c>
      <c r="B369" s="489" t="s">
        <v>98</v>
      </c>
      <c r="C369" s="490">
        <v>500</v>
      </c>
      <c r="D369" s="490">
        <v>0</v>
      </c>
      <c r="E369" s="490">
        <v>0</v>
      </c>
      <c r="F369" s="490">
        <v>0</v>
      </c>
      <c r="G369" s="490">
        <v>0</v>
      </c>
      <c r="H369" s="489" t="str">
        <f>VLOOKUP(A369,'TB - Expense Data'!$H$3:$I$757,2,FALSE)</f>
        <v>L/S 5 MAINT &amp; EQUIP</v>
      </c>
    </row>
    <row r="370" spans="1:8" x14ac:dyDescent="0.25">
      <c r="A370" s="489" t="s">
        <v>278</v>
      </c>
      <c r="B370" s="489" t="s">
        <v>99</v>
      </c>
      <c r="C370" s="490">
        <v>750</v>
      </c>
      <c r="D370" s="490">
        <v>0</v>
      </c>
      <c r="E370" s="490">
        <v>286.87</v>
      </c>
      <c r="F370" s="490">
        <v>0</v>
      </c>
      <c r="G370" s="490">
        <v>286.87</v>
      </c>
      <c r="H370" s="489" t="str">
        <f>VLOOKUP(A370,'TB - Expense Data'!$H$3:$I$757,2,FALSE)</f>
        <v>L/S 5 POWER</v>
      </c>
    </row>
    <row r="371" spans="1:8" x14ac:dyDescent="0.25">
      <c r="A371" s="489" t="s">
        <v>279</v>
      </c>
      <c r="B371" s="489" t="s">
        <v>100</v>
      </c>
      <c r="C371" s="490">
        <v>1000</v>
      </c>
      <c r="D371" s="490">
        <v>0</v>
      </c>
      <c r="E371" s="490">
        <v>0</v>
      </c>
      <c r="F371" s="490">
        <v>0</v>
      </c>
      <c r="G371" s="490">
        <v>0</v>
      </c>
      <c r="H371" s="489" t="str">
        <f>VLOOKUP(A371,'TB - Expense Data'!$H$3:$I$757,2,FALSE)</f>
        <v>L/S 6 MAINT &amp; EQUIP</v>
      </c>
    </row>
    <row r="372" spans="1:8" x14ac:dyDescent="0.25">
      <c r="A372" s="489" t="s">
        <v>280</v>
      </c>
      <c r="B372" s="489" t="s">
        <v>101</v>
      </c>
      <c r="C372" s="490">
        <v>550</v>
      </c>
      <c r="D372" s="490">
        <v>0</v>
      </c>
      <c r="E372" s="490">
        <v>216.82</v>
      </c>
      <c r="F372" s="490">
        <v>0</v>
      </c>
      <c r="G372" s="490">
        <v>216.82</v>
      </c>
      <c r="H372" s="489" t="str">
        <f>VLOOKUP(A372,'TB - Expense Data'!$H$3:$I$757,2,FALSE)</f>
        <v>L/S 6 POWER</v>
      </c>
    </row>
    <row r="373" spans="1:8" x14ac:dyDescent="0.25">
      <c r="A373" s="489" t="s">
        <v>281</v>
      </c>
      <c r="B373" s="489" t="s">
        <v>55</v>
      </c>
      <c r="C373" s="490">
        <v>4800</v>
      </c>
      <c r="D373" s="490">
        <v>0</v>
      </c>
      <c r="E373" s="490">
        <v>3678.64</v>
      </c>
      <c r="F373" s="490">
        <v>66.239999999999995</v>
      </c>
      <c r="G373" s="490">
        <v>3612.4</v>
      </c>
      <c r="H373" s="489" t="str">
        <f>VLOOKUP(A373,'TB - Expense Data'!$H$3:$I$757,2,FALSE)</f>
        <v>FLEET MAINTENANCE</v>
      </c>
    </row>
    <row r="374" spans="1:8" x14ac:dyDescent="0.25">
      <c r="A374" s="489" t="s">
        <v>282</v>
      </c>
      <c r="B374" s="489" t="s">
        <v>104</v>
      </c>
      <c r="C374" s="490">
        <v>6000</v>
      </c>
      <c r="D374" s="490">
        <v>0</v>
      </c>
      <c r="E374" s="490">
        <v>0</v>
      </c>
      <c r="F374" s="490">
        <v>0</v>
      </c>
      <c r="G374" s="490">
        <v>0</v>
      </c>
      <c r="H374" s="489" t="str">
        <f>VLOOKUP(A374,'TB - Expense Data'!$H$3:$I$757,2,FALSE)</f>
        <v>TELEMETRY SYSTEM</v>
      </c>
    </row>
    <row r="375" spans="1:8" x14ac:dyDescent="0.25">
      <c r="A375" s="489" t="s">
        <v>562</v>
      </c>
      <c r="B375" s="489" t="s">
        <v>150</v>
      </c>
      <c r="C375" s="490">
        <v>49660</v>
      </c>
      <c r="D375" s="490">
        <v>0</v>
      </c>
      <c r="E375" s="490">
        <v>20056.53</v>
      </c>
      <c r="F375" s="490">
        <v>1645.6</v>
      </c>
      <c r="G375" s="490">
        <v>18410.93</v>
      </c>
      <c r="H375" s="489" t="str">
        <f>VLOOKUP(A375,'TB - Expense Data'!$H$3:$I$757,2,FALSE)</f>
        <v>WAGES - ENG</v>
      </c>
    </row>
    <row r="376" spans="1:8" x14ac:dyDescent="0.25">
      <c r="A376" s="489" t="s">
        <v>563</v>
      </c>
      <c r="B376" s="489" t="s">
        <v>667</v>
      </c>
      <c r="C376" s="490">
        <v>-25433.8</v>
      </c>
      <c r="D376" s="490">
        <v>0</v>
      </c>
      <c r="E376" s="490">
        <v>0</v>
      </c>
      <c r="F376" s="490">
        <v>3686.59</v>
      </c>
      <c r="G376" s="490">
        <v>-3686.59</v>
      </c>
      <c r="H376" s="489" t="str">
        <f>VLOOKUP(A376,'TB - Expense Data'!$H$3:$I$757,2,FALSE)</f>
        <v>WAGES ALLOCATED TO CAPITAL</v>
      </c>
    </row>
    <row r="377" spans="1:8" x14ac:dyDescent="0.25">
      <c r="A377" s="489" t="s">
        <v>557</v>
      </c>
      <c r="B377" s="489" t="s">
        <v>37</v>
      </c>
      <c r="C377" s="490">
        <v>254</v>
      </c>
      <c r="D377" s="490">
        <v>0</v>
      </c>
      <c r="E377" s="490">
        <v>0</v>
      </c>
      <c r="F377" s="490">
        <v>0</v>
      </c>
      <c r="G377" s="490">
        <v>0</v>
      </c>
      <c r="H377" s="489" t="str">
        <f>VLOOKUP(A377,'TB - Expense Data'!$H$3:$I$757,2,FALSE)</f>
        <v>OVERTIME</v>
      </c>
    </row>
    <row r="378" spans="1:8" x14ac:dyDescent="0.25">
      <c r="A378" s="489" t="s">
        <v>551</v>
      </c>
      <c r="B378" s="489" t="s">
        <v>153</v>
      </c>
      <c r="C378" s="490">
        <v>2823</v>
      </c>
      <c r="D378" s="490">
        <v>0</v>
      </c>
      <c r="E378" s="490">
        <v>1049.51</v>
      </c>
      <c r="F378" s="490">
        <v>95.87</v>
      </c>
      <c r="G378" s="490">
        <v>953.64</v>
      </c>
      <c r="H378" s="489" t="str">
        <f>VLOOKUP(A378,'TB - Expense Data'!$H$3:$I$757,2,FALSE)</f>
        <v>FICA EXPENSE</v>
      </c>
    </row>
    <row r="379" spans="1:8" x14ac:dyDescent="0.25">
      <c r="A379" s="489" t="s">
        <v>550</v>
      </c>
      <c r="B379" s="489" t="s">
        <v>154</v>
      </c>
      <c r="C379" s="490">
        <v>724</v>
      </c>
      <c r="D379" s="490">
        <v>0</v>
      </c>
      <c r="E379" s="490">
        <v>285.19</v>
      </c>
      <c r="F379" s="490">
        <v>22.34</v>
      </c>
      <c r="G379" s="490">
        <v>262.85000000000002</v>
      </c>
      <c r="H379" s="489" t="str">
        <f>VLOOKUP(A379,'TB - Expense Data'!$H$3:$I$757,2,FALSE)</f>
        <v>MEDI EXPENSE</v>
      </c>
    </row>
    <row r="380" spans="1:8" x14ac:dyDescent="0.25">
      <c r="A380" s="489" t="s">
        <v>553</v>
      </c>
      <c r="B380" s="489" t="s">
        <v>38</v>
      </c>
      <c r="C380" s="490">
        <v>9632</v>
      </c>
      <c r="D380" s="490">
        <v>0</v>
      </c>
      <c r="E380" s="490">
        <v>3917.9</v>
      </c>
      <c r="F380" s="490">
        <v>0</v>
      </c>
      <c r="G380" s="490">
        <v>3917.9</v>
      </c>
      <c r="H380" s="489" t="str">
        <f>VLOOKUP(A380,'TB - Expense Data'!$H$3:$I$757,2,FALSE)</f>
        <v>MEDICAL INSURANCE</v>
      </c>
    </row>
    <row r="381" spans="1:8" x14ac:dyDescent="0.25">
      <c r="A381" s="489" t="s">
        <v>545</v>
      </c>
      <c r="B381" s="489" t="s">
        <v>77</v>
      </c>
      <c r="C381" s="490">
        <v>582</v>
      </c>
      <c r="D381" s="490">
        <v>0</v>
      </c>
      <c r="E381" s="490">
        <v>230.07</v>
      </c>
      <c r="F381" s="490">
        <v>0</v>
      </c>
      <c r="G381" s="490">
        <v>230.07</v>
      </c>
      <c r="H381" s="489" t="str">
        <f>VLOOKUP(A381,'TB - Expense Data'!$H$3:$I$757,2,FALSE)</f>
        <v>DENTAL INSURANCE</v>
      </c>
    </row>
    <row r="382" spans="1:8" x14ac:dyDescent="0.25">
      <c r="A382" s="489" t="s">
        <v>561</v>
      </c>
      <c r="B382" s="489" t="s">
        <v>78</v>
      </c>
      <c r="C382" s="490">
        <v>95</v>
      </c>
      <c r="D382" s="490">
        <v>0</v>
      </c>
      <c r="E382" s="490">
        <v>43.84</v>
      </c>
      <c r="F382" s="490">
        <v>0</v>
      </c>
      <c r="G382" s="490">
        <v>43.84</v>
      </c>
      <c r="H382" s="489" t="str">
        <f>VLOOKUP(A382,'TB - Expense Data'!$H$3:$I$757,2,FALSE)</f>
        <v>VISION INSURANCE</v>
      </c>
    </row>
    <row r="383" spans="1:8" x14ac:dyDescent="0.25">
      <c r="A383" s="489" t="s">
        <v>564</v>
      </c>
      <c r="B383" s="489" t="s">
        <v>893</v>
      </c>
      <c r="C383" s="490">
        <v>497</v>
      </c>
      <c r="D383" s="490">
        <v>0</v>
      </c>
      <c r="E383" s="490">
        <v>196.25</v>
      </c>
      <c r="F383" s="490">
        <v>11.28</v>
      </c>
      <c r="G383" s="490">
        <v>184.97</v>
      </c>
      <c r="H383" s="489" t="str">
        <f>VLOOKUP(A383,'TB - Expense Data'!$H$3:$I$757,2,FALSE)</f>
        <v>WORKERS COMP INSURANCE</v>
      </c>
    </row>
    <row r="384" spans="1:8" x14ac:dyDescent="0.25">
      <c r="A384" s="489" t="s">
        <v>552</v>
      </c>
      <c r="B384" s="489" t="s">
        <v>2249</v>
      </c>
      <c r="C384" s="490">
        <v>186</v>
      </c>
      <c r="D384" s="490">
        <v>0</v>
      </c>
      <c r="E384" s="490">
        <v>135.66</v>
      </c>
      <c r="F384" s="490">
        <v>41.45</v>
      </c>
      <c r="G384" s="490">
        <v>94.21</v>
      </c>
      <c r="H384" s="489" t="str">
        <f>VLOOKUP(A384,'TB - Expense Data'!$H$3:$I$757,2,FALSE)</f>
        <v>LIFE INSURANCE EXPENSE</v>
      </c>
    </row>
    <row r="385" spans="1:8" x14ac:dyDescent="0.25">
      <c r="A385" s="489" t="s">
        <v>542</v>
      </c>
      <c r="B385" s="489" t="s">
        <v>65</v>
      </c>
      <c r="C385" s="490">
        <v>64</v>
      </c>
      <c r="D385" s="490">
        <v>0</v>
      </c>
      <c r="E385" s="490">
        <v>10.96</v>
      </c>
      <c r="F385" s="490">
        <v>0</v>
      </c>
      <c r="G385" s="490">
        <v>10.96</v>
      </c>
      <c r="H385" s="489" t="str">
        <f>VLOOKUP(A385,'TB - Expense Data'!$H$3:$I$757,2,FALSE)</f>
        <v>BOOT BENEFIT</v>
      </c>
    </row>
    <row r="386" spans="1:8" x14ac:dyDescent="0.25">
      <c r="A386" s="489" t="s">
        <v>559</v>
      </c>
      <c r="B386" s="489" t="s">
        <v>40</v>
      </c>
      <c r="C386" s="490">
        <v>176</v>
      </c>
      <c r="D386" s="490">
        <v>0</v>
      </c>
      <c r="E386" s="490">
        <v>28.68</v>
      </c>
      <c r="F386" s="490">
        <v>1.32</v>
      </c>
      <c r="G386" s="490">
        <v>27.36</v>
      </c>
      <c r="H386" s="489" t="str">
        <f>VLOOKUP(A386,'TB - Expense Data'!$H$3:$I$757,2,FALSE)</f>
        <v>SUI EXPENSE</v>
      </c>
    </row>
    <row r="387" spans="1:8" x14ac:dyDescent="0.25">
      <c r="A387" s="489" t="s">
        <v>549</v>
      </c>
      <c r="B387" s="489" t="s">
        <v>41</v>
      </c>
      <c r="C387" s="490">
        <v>4</v>
      </c>
      <c r="D387" s="490">
        <v>0</v>
      </c>
      <c r="E387" s="490">
        <v>0.6</v>
      </c>
      <c r="F387" s="490">
        <v>0.04</v>
      </c>
      <c r="G387" s="490">
        <v>0.56000000000000005</v>
      </c>
      <c r="H387" s="489" t="str">
        <f>VLOOKUP(A387,'TB - Expense Data'!$H$3:$I$757,2,FALSE)</f>
        <v>ETT EXPENSE</v>
      </c>
    </row>
    <row r="388" spans="1:8" x14ac:dyDescent="0.25">
      <c r="A388" s="489" t="s">
        <v>546</v>
      </c>
      <c r="B388" s="489" t="s">
        <v>42</v>
      </c>
      <c r="C388" s="490">
        <v>151</v>
      </c>
      <c r="D388" s="490">
        <v>0</v>
      </c>
      <c r="E388" s="490">
        <v>74.25</v>
      </c>
      <c r="F388" s="490">
        <v>4.76</v>
      </c>
      <c r="G388" s="490">
        <v>69.489999999999995</v>
      </c>
      <c r="H388" s="489" t="str">
        <f>VLOOKUP(A388,'TB - Expense Data'!$H$3:$I$757,2,FALSE)</f>
        <v>DISABILITY PLAN</v>
      </c>
    </row>
    <row r="389" spans="1:8" x14ac:dyDescent="0.25">
      <c r="A389" s="489" t="s">
        <v>543</v>
      </c>
      <c r="B389" s="489" t="s">
        <v>2252</v>
      </c>
      <c r="C389" s="490">
        <v>4405</v>
      </c>
      <c r="D389" s="490">
        <v>0</v>
      </c>
      <c r="E389" s="490">
        <v>1584.74</v>
      </c>
      <c r="F389" s="490">
        <v>139.91999999999999</v>
      </c>
      <c r="G389" s="490">
        <v>1444.82</v>
      </c>
      <c r="H389" s="489" t="str">
        <f>VLOOKUP(A389,'TB - Expense Data'!$H$3:$I$757,2,FALSE)</f>
        <v>CALPERS RETIREMENT</v>
      </c>
    </row>
    <row r="390" spans="1:8" x14ac:dyDescent="0.25">
      <c r="A390" s="489" t="s">
        <v>544</v>
      </c>
      <c r="B390" s="489" t="s">
        <v>44</v>
      </c>
      <c r="C390" s="490">
        <v>3639</v>
      </c>
      <c r="D390" s="490">
        <v>0</v>
      </c>
      <c r="E390" s="490">
        <v>1313.9</v>
      </c>
      <c r="F390" s="490">
        <v>115.26</v>
      </c>
      <c r="G390" s="490">
        <v>1198.6400000000001</v>
      </c>
      <c r="H390" s="489" t="str">
        <f>VLOOKUP(A390,'TB - Expense Data'!$H$3:$I$757,2,FALSE)</f>
        <v>CALPERS RETIREMENT (EE)</v>
      </c>
    </row>
    <row r="391" spans="1:8" x14ac:dyDescent="0.25">
      <c r="A391" s="489" t="s">
        <v>556</v>
      </c>
      <c r="B391" s="489" t="s">
        <v>183</v>
      </c>
      <c r="C391" s="490">
        <v>2168</v>
      </c>
      <c r="D391" s="490">
        <v>0</v>
      </c>
      <c r="E391" s="490">
        <v>0</v>
      </c>
      <c r="F391" s="490">
        <v>0</v>
      </c>
      <c r="G391" s="490">
        <v>0</v>
      </c>
      <c r="H391" s="489" t="str">
        <f>VLOOKUP(A391,'TB - Expense Data'!$H$3:$I$757,2,FALSE)</f>
        <v>OPEB EXPENSE</v>
      </c>
    </row>
    <row r="392" spans="1:8" x14ac:dyDescent="0.25">
      <c r="A392" s="489" t="s">
        <v>2514</v>
      </c>
      <c r="B392" s="489" t="s">
        <v>2254</v>
      </c>
      <c r="C392" s="490">
        <v>0</v>
      </c>
      <c r="D392" s="490">
        <v>0</v>
      </c>
      <c r="E392" s="490">
        <v>94.97</v>
      </c>
      <c r="F392" s="490">
        <v>0</v>
      </c>
      <c r="G392" s="490">
        <v>94.97</v>
      </c>
      <c r="H392" s="489" t="str">
        <f>VLOOKUP(A392,'TB - Expense Data'!$H$3:$I$757,2,FALSE)</f>
        <v>CALPERS-62 RETIREMENT (ER)</v>
      </c>
    </row>
    <row r="393" spans="1:8" x14ac:dyDescent="0.25">
      <c r="A393" s="489" t="s">
        <v>2515</v>
      </c>
      <c r="B393" s="489" t="s">
        <v>2256</v>
      </c>
      <c r="C393" s="490">
        <v>0</v>
      </c>
      <c r="D393" s="490">
        <v>0</v>
      </c>
      <c r="E393" s="490">
        <v>120.8</v>
      </c>
      <c r="F393" s="490">
        <v>0</v>
      </c>
      <c r="G393" s="490">
        <v>120.8</v>
      </c>
      <c r="H393" s="489" t="str">
        <f>VLOOKUP(A393,'TB - Expense Data'!$H$3:$I$757,2,FALSE)</f>
        <v>CALPERS-62 RETIREMENT (EE)</v>
      </c>
    </row>
    <row r="394" spans="1:8" x14ac:dyDescent="0.25">
      <c r="A394" s="489" t="s">
        <v>2516</v>
      </c>
      <c r="B394" s="489" t="s">
        <v>1161</v>
      </c>
      <c r="C394" s="490">
        <v>28</v>
      </c>
      <c r="D394" s="490">
        <v>0</v>
      </c>
      <c r="E394" s="490">
        <v>0</v>
      </c>
      <c r="F394" s="490">
        <v>0</v>
      </c>
      <c r="G394" s="490">
        <v>0</v>
      </c>
      <c r="H394" s="489" t="str">
        <f>VLOOKUP(A394,'TB - Expense Data'!$H$3:$I$757,2,FALSE)</f>
        <v>BOOKS &amp; REF MATERIALS</v>
      </c>
    </row>
    <row r="395" spans="1:8" x14ac:dyDescent="0.25">
      <c r="A395" s="489" t="s">
        <v>554</v>
      </c>
      <c r="B395" s="489" t="s">
        <v>54</v>
      </c>
      <c r="C395" s="490">
        <v>52.5</v>
      </c>
      <c r="D395" s="490">
        <v>0</v>
      </c>
      <c r="E395" s="490">
        <v>0</v>
      </c>
      <c r="F395" s="490">
        <v>0</v>
      </c>
      <c r="G395" s="490">
        <v>0</v>
      </c>
      <c r="H395" s="489" t="str">
        <f>VLOOKUP(A395,'TB - Expense Data'!$H$3:$I$757,2,FALSE)</f>
        <v>MEMBERSHIPS &amp; DUES</v>
      </c>
    </row>
    <row r="396" spans="1:8" x14ac:dyDescent="0.25">
      <c r="A396" s="489" t="s">
        <v>547</v>
      </c>
      <c r="B396" s="489" t="s">
        <v>152</v>
      </c>
      <c r="C396" s="490">
        <v>14000</v>
      </c>
      <c r="D396" s="490">
        <v>0</v>
      </c>
      <c r="E396" s="490">
        <v>711.67</v>
      </c>
      <c r="F396" s="490">
        <v>0</v>
      </c>
      <c r="G396" s="490">
        <v>711.67</v>
      </c>
      <c r="H396" s="489" t="str">
        <f>VLOOKUP(A396,'TB - Expense Data'!$H$3:$I$757,2,FALSE)</f>
        <v>ENGINEERING CONSULTANTS</v>
      </c>
    </row>
    <row r="397" spans="1:8" x14ac:dyDescent="0.25">
      <c r="A397" s="489" t="s">
        <v>548</v>
      </c>
      <c r="B397" s="489" t="s">
        <v>1177</v>
      </c>
      <c r="C397" s="490">
        <v>7000</v>
      </c>
      <c r="D397" s="490">
        <v>0</v>
      </c>
      <c r="E397" s="490">
        <v>0</v>
      </c>
      <c r="F397" s="490">
        <v>0</v>
      </c>
      <c r="G397" s="490">
        <v>0</v>
      </c>
      <c r="H397" s="489" t="str">
        <f>VLOOKUP(A397,'TB - Expense Data'!$H$3:$I$757,2,FALSE)</f>
        <v>DEVELOPER EXPENSES (NOT MCWD)</v>
      </c>
    </row>
    <row r="398" spans="1:8" x14ac:dyDescent="0.25">
      <c r="A398" s="489" t="s">
        <v>1615</v>
      </c>
      <c r="B398" s="489" t="s">
        <v>1470</v>
      </c>
      <c r="C398" s="490">
        <v>0</v>
      </c>
      <c r="D398" s="490">
        <v>561541.1</v>
      </c>
      <c r="E398" s="490">
        <v>0</v>
      </c>
      <c r="F398" s="490">
        <v>0</v>
      </c>
      <c r="G398" s="490">
        <v>561541.1</v>
      </c>
      <c r="H398" s="489" t="str">
        <f>VLOOKUP(A398,'TB - Fixed Assets and CIP'!$C$2:$D$207,2,FALSE)</f>
        <v>LAND 12TH STREET (FORA)</v>
      </c>
    </row>
    <row r="399" spans="1:8" x14ac:dyDescent="0.25">
      <c r="A399" s="489" t="s">
        <v>1616</v>
      </c>
      <c r="B399" s="489" t="s">
        <v>1472</v>
      </c>
      <c r="C399" s="490">
        <v>0</v>
      </c>
      <c r="D399" s="490">
        <v>107383.8</v>
      </c>
      <c r="E399" s="490">
        <v>0</v>
      </c>
      <c r="F399" s="490">
        <v>0</v>
      </c>
      <c r="G399" s="490">
        <v>107383.8</v>
      </c>
      <c r="H399" s="489" t="str">
        <f>VLOOKUP(A399,'TB - Fixed Assets and CIP'!$C$2:$D$207,2,FALSE)</f>
        <v>LAND 12TH STREET (AMBAG)</v>
      </c>
    </row>
    <row r="400" spans="1:8" x14ac:dyDescent="0.25">
      <c r="A400" s="489" t="s">
        <v>1617</v>
      </c>
      <c r="B400" s="489" t="s">
        <v>1474</v>
      </c>
      <c r="C400" s="490">
        <v>0</v>
      </c>
      <c r="D400" s="490">
        <v>57450000</v>
      </c>
      <c r="E400" s="490">
        <v>0</v>
      </c>
      <c r="F400" s="490">
        <v>0</v>
      </c>
      <c r="G400" s="490">
        <v>57450000</v>
      </c>
      <c r="H400" s="489" t="str">
        <f>VLOOKUP(A400,'TB - Fixed Assets and CIP'!$C$2:$D$207,2,FALSE)</f>
        <v>WATER RIGHTS</v>
      </c>
    </row>
    <row r="401" spans="1:8" x14ac:dyDescent="0.25">
      <c r="A401" s="509" t="s">
        <v>1618</v>
      </c>
      <c r="B401" s="509" t="s">
        <v>1476</v>
      </c>
      <c r="C401" s="490">
        <v>0</v>
      </c>
      <c r="D401" s="490">
        <v>14100000</v>
      </c>
      <c r="E401" s="490">
        <v>0</v>
      </c>
      <c r="F401" s="490">
        <v>0</v>
      </c>
      <c r="G401" s="490">
        <v>14100000</v>
      </c>
      <c r="H401" s="489" t="str">
        <f>VLOOKUP(A401,'TB - Fixed Assets and CIP'!$C$2:$D$207,2,FALSE)</f>
        <v>PROPERTY EASEMENT ACCESS</v>
      </c>
    </row>
    <row r="402" spans="1:8" x14ac:dyDescent="0.25">
      <c r="A402" s="489" t="s">
        <v>1619</v>
      </c>
      <c r="B402" s="489" t="s">
        <v>1478</v>
      </c>
      <c r="C402" s="490">
        <v>0</v>
      </c>
      <c r="D402" s="490">
        <v>3675893</v>
      </c>
      <c r="E402" s="490">
        <v>0</v>
      </c>
      <c r="F402" s="490">
        <v>0</v>
      </c>
      <c r="G402" s="490">
        <v>3675893</v>
      </c>
      <c r="H402" s="489" t="str">
        <f>VLOOKUP(A402,'TB - Fixed Assets and CIP'!$C$2:$D$207,2,FALSE)</f>
        <v>LAND - ARMSTRONG RANCH</v>
      </c>
    </row>
    <row r="403" spans="1:8" x14ac:dyDescent="0.25">
      <c r="A403" s="489" t="s">
        <v>1621</v>
      </c>
      <c r="B403" s="489" t="s">
        <v>1484</v>
      </c>
      <c r="C403" s="490">
        <v>4608</v>
      </c>
      <c r="D403" s="490">
        <v>28155.51</v>
      </c>
      <c r="E403" s="490">
        <v>0</v>
      </c>
      <c r="F403" s="490">
        <v>0</v>
      </c>
      <c r="G403" s="490">
        <v>28155.51</v>
      </c>
      <c r="H403" s="489" t="str">
        <f>VLOOKUP(A403,'TB - Fixed Assets and CIP'!$C$2:$D$207,2,FALSE)</f>
        <v>LABORATORY EQUIPMENT</v>
      </c>
    </row>
    <row r="404" spans="1:8" x14ac:dyDescent="0.25">
      <c r="A404" s="489" t="s">
        <v>1622</v>
      </c>
      <c r="B404" s="489" t="s">
        <v>1486</v>
      </c>
      <c r="C404" s="490">
        <v>36699</v>
      </c>
      <c r="D404" s="490">
        <v>101865.04</v>
      </c>
      <c r="E404" s="490">
        <v>5372.31</v>
      </c>
      <c r="F404" s="490">
        <v>0</v>
      </c>
      <c r="G404" s="490">
        <v>107237.35</v>
      </c>
      <c r="H404" s="489" t="str">
        <f>VLOOKUP(A404,'TB - Fixed Assets and CIP'!$C$2:$D$207,2,FALSE)</f>
        <v>NETWORK COMPUTER SYSTEM</v>
      </c>
    </row>
    <row r="405" spans="1:8" x14ac:dyDescent="0.25">
      <c r="A405" s="489" t="s">
        <v>1623</v>
      </c>
      <c r="B405" s="489" t="s">
        <v>1488</v>
      </c>
      <c r="C405" s="490">
        <v>0</v>
      </c>
      <c r="D405" s="490">
        <v>7974.62</v>
      </c>
      <c r="E405" s="490">
        <v>0</v>
      </c>
      <c r="F405" s="490">
        <v>0</v>
      </c>
      <c r="G405" s="490">
        <v>7974.62</v>
      </c>
      <c r="H405" s="489" t="str">
        <f>VLOOKUP(A405,'TB - Fixed Assets and CIP'!$C$2:$D$207,2,FALSE)</f>
        <v>OFFICE EQUIPMENT</v>
      </c>
    </row>
    <row r="406" spans="1:8" x14ac:dyDescent="0.25">
      <c r="A406" s="489" t="s">
        <v>1624</v>
      </c>
      <c r="B406" s="489" t="s">
        <v>1625</v>
      </c>
      <c r="C406" s="490">
        <v>0</v>
      </c>
      <c r="D406" s="490">
        <v>13599.52</v>
      </c>
      <c r="E406" s="490">
        <v>0</v>
      </c>
      <c r="F406" s="490">
        <v>0</v>
      </c>
      <c r="G406" s="490">
        <v>13599.52</v>
      </c>
      <c r="H406" s="489" t="str">
        <f>VLOOKUP(A406,'TB - Fixed Assets and CIP'!$C$2:$D$207,2,FALSE)</f>
        <v>ADT SECURITY SYSTEM</v>
      </c>
    </row>
    <row r="407" spans="1:8" x14ac:dyDescent="0.25">
      <c r="A407" s="489" t="s">
        <v>1626</v>
      </c>
      <c r="B407" s="489" t="s">
        <v>84</v>
      </c>
      <c r="C407" s="490">
        <v>0</v>
      </c>
      <c r="D407" s="490">
        <v>253761.74</v>
      </c>
      <c r="E407" s="490">
        <v>0</v>
      </c>
      <c r="F407" s="490">
        <v>0</v>
      </c>
      <c r="G407" s="490">
        <v>253761.74</v>
      </c>
      <c r="H407" s="489" t="str">
        <f>VLOOKUP(A407,'TB - Fixed Assets and CIP'!$C$2:$D$207,2,FALSE)</f>
        <v>METERS</v>
      </c>
    </row>
    <row r="408" spans="1:8" x14ac:dyDescent="0.25">
      <c r="A408" s="489" t="s">
        <v>1627</v>
      </c>
      <c r="B408" s="489" t="s">
        <v>1491</v>
      </c>
      <c r="C408" s="490">
        <v>0</v>
      </c>
      <c r="D408" s="490">
        <v>1669865.01</v>
      </c>
      <c r="E408" s="490">
        <v>0</v>
      </c>
      <c r="F408" s="490">
        <v>0</v>
      </c>
      <c r="G408" s="490">
        <v>1669865.01</v>
      </c>
      <c r="H408" s="489" t="str">
        <f>VLOOKUP(A408,'TB - Fixed Assets and CIP'!$C$2:$D$207,2,FALSE)</f>
        <v>GENERAL PLANT</v>
      </c>
    </row>
    <row r="409" spans="1:8" x14ac:dyDescent="0.25">
      <c r="A409" s="489" t="s">
        <v>1628</v>
      </c>
      <c r="B409" s="489" t="s">
        <v>1493</v>
      </c>
      <c r="C409" s="490">
        <v>52000</v>
      </c>
      <c r="D409" s="490">
        <v>232986.95</v>
      </c>
      <c r="E409" s="490">
        <v>10606.91</v>
      </c>
      <c r="F409" s="490">
        <v>0</v>
      </c>
      <c r="G409" s="490">
        <v>243593.86</v>
      </c>
      <c r="H409" s="489" t="str">
        <f>VLOOKUP(A409,'TB - Fixed Assets and CIP'!$C$2:$D$207,2,FALSE)</f>
        <v>VEHICLES</v>
      </c>
    </row>
    <row r="410" spans="1:8" x14ac:dyDescent="0.25">
      <c r="A410" s="489" t="s">
        <v>1630</v>
      </c>
      <c r="B410" s="489" t="s">
        <v>1497</v>
      </c>
      <c r="C410" s="490">
        <v>101400</v>
      </c>
      <c r="D410" s="490">
        <v>135321.18</v>
      </c>
      <c r="E410" s="490">
        <v>0</v>
      </c>
      <c r="F410" s="490">
        <v>0</v>
      </c>
      <c r="G410" s="490">
        <v>135321.18</v>
      </c>
      <c r="H410" s="489" t="str">
        <f>VLOOKUP(A410,'TB - Fixed Assets and CIP'!$C$2:$D$207,2,FALSE)</f>
        <v>O&amp;M EQUIPMENT</v>
      </c>
    </row>
    <row r="411" spans="1:8" x14ac:dyDescent="0.25">
      <c r="A411" s="489" t="s">
        <v>1631</v>
      </c>
      <c r="B411" s="489" t="s">
        <v>1499</v>
      </c>
      <c r="C411" s="490">
        <v>0</v>
      </c>
      <c r="D411" s="490">
        <v>8798157.1699999999</v>
      </c>
      <c r="E411" s="490">
        <v>0</v>
      </c>
      <c r="F411" s="490">
        <v>0</v>
      </c>
      <c r="G411" s="490">
        <v>8798157.1699999999</v>
      </c>
      <c r="H411" s="489" t="str">
        <f>VLOOKUP(A411,'TB - Fixed Assets and CIP'!$C$2:$D$207,2,FALSE)</f>
        <v>CAPITAL - CONST IN PROGRESS</v>
      </c>
    </row>
    <row r="412" spans="1:8" x14ac:dyDescent="0.25">
      <c r="A412" s="489" t="s">
        <v>1633</v>
      </c>
      <c r="B412" s="489" t="s">
        <v>1634</v>
      </c>
      <c r="C412" s="490">
        <v>0</v>
      </c>
      <c r="D412" s="490">
        <v>551703.42000000004</v>
      </c>
      <c r="E412" s="490">
        <v>0</v>
      </c>
      <c r="F412" s="490">
        <v>0</v>
      </c>
      <c r="G412" s="490">
        <v>551703.42000000004</v>
      </c>
      <c r="H412" s="489" t="str">
        <f>VLOOKUP(A412,'TB - Fixed Assets and CIP'!$C$2:$D$207,2,FALSE)</f>
        <v>OW - 0117 18" LINE TO MBEST</v>
      </c>
    </row>
    <row r="413" spans="1:8" x14ac:dyDescent="0.25">
      <c r="A413" s="489" t="s">
        <v>1635</v>
      </c>
      <c r="B413" s="489" t="s">
        <v>1523</v>
      </c>
      <c r="C413" s="490">
        <v>0</v>
      </c>
      <c r="D413" s="490">
        <v>37542.269999999997</v>
      </c>
      <c r="E413" s="490">
        <v>0</v>
      </c>
      <c r="F413" s="490">
        <v>0</v>
      </c>
      <c r="G413" s="490">
        <v>37542.269999999997</v>
      </c>
      <c r="H413" s="489" t="str">
        <f>VLOOKUP(A413,'TB - Fixed Assets and CIP'!$C$2:$D$207,2,FALSE)</f>
        <v>CA ST EXTENTION INTERTIE</v>
      </c>
    </row>
    <row r="414" spans="1:8" x14ac:dyDescent="0.25">
      <c r="A414" s="489" t="s">
        <v>1638</v>
      </c>
      <c r="B414" s="489" t="s">
        <v>1639</v>
      </c>
      <c r="C414" s="490">
        <v>0</v>
      </c>
      <c r="D414" s="490">
        <v>216830.94</v>
      </c>
      <c r="E414" s="490">
        <v>0</v>
      </c>
      <c r="F414" s="490">
        <v>0</v>
      </c>
      <c r="G414" s="490">
        <v>216830.94</v>
      </c>
      <c r="H414" s="489" t="str">
        <f>VLOOKUP(A414,'TB - Fixed Assets and CIP'!$C$2:$D$207,2,FALSE)</f>
        <v>IMJIN STAGE I</v>
      </c>
    </row>
    <row r="415" spans="1:8" x14ac:dyDescent="0.25">
      <c r="A415" s="489" t="s">
        <v>1640</v>
      </c>
      <c r="B415" s="489" t="s">
        <v>1641</v>
      </c>
      <c r="C415" s="490">
        <v>0</v>
      </c>
      <c r="D415" s="490">
        <v>713498.5</v>
      </c>
      <c r="E415" s="490">
        <v>0</v>
      </c>
      <c r="F415" s="490">
        <v>0</v>
      </c>
      <c r="G415" s="490">
        <v>713498.5</v>
      </c>
      <c r="H415" s="489" t="str">
        <f>VLOOKUP(A415,'TB - Fixed Assets and CIP'!$C$2:$D$207,2,FALSE)</f>
        <v>12TH ST PROJECT</v>
      </c>
    </row>
    <row r="416" spans="1:8" x14ac:dyDescent="0.25">
      <c r="A416" s="489" t="s">
        <v>1642</v>
      </c>
      <c r="B416" s="489" t="s">
        <v>1643</v>
      </c>
      <c r="C416" s="490">
        <v>0</v>
      </c>
      <c r="D416" s="490">
        <v>574119</v>
      </c>
      <c r="E416" s="490">
        <v>0</v>
      </c>
      <c r="F416" s="490">
        <v>0</v>
      </c>
      <c r="G416" s="490">
        <v>574119</v>
      </c>
      <c r="H416" s="489" t="str">
        <f>VLOOKUP(A416,'TB - Fixed Assets and CIP'!$C$2:$D$207,2,FALSE)</f>
        <v>2ND AVE PROJECT</v>
      </c>
    </row>
    <row r="417" spans="1:8" x14ac:dyDescent="0.25">
      <c r="A417" s="489" t="s">
        <v>1644</v>
      </c>
      <c r="B417" s="489" t="s">
        <v>1645</v>
      </c>
      <c r="C417" s="490">
        <v>0</v>
      </c>
      <c r="D417" s="490">
        <v>0</v>
      </c>
      <c r="E417" s="490">
        <v>959975.36</v>
      </c>
      <c r="F417" s="490">
        <v>0</v>
      </c>
      <c r="G417" s="490">
        <v>959975.36</v>
      </c>
      <c r="H417" s="489" t="str">
        <f>VLOOKUP(A417,'TB - Fixed Assets and CIP'!$C$2:$D$207,2,FALSE)</f>
        <v>SEASIDE LAND TRANSFER</v>
      </c>
    </row>
    <row r="418" spans="1:8" x14ac:dyDescent="0.25">
      <c r="A418" s="489" t="s">
        <v>1646</v>
      </c>
      <c r="B418" s="489" t="s">
        <v>1647</v>
      </c>
      <c r="C418" s="490">
        <v>0</v>
      </c>
      <c r="D418" s="490">
        <v>8010</v>
      </c>
      <c r="E418" s="490">
        <v>0</v>
      </c>
      <c r="F418" s="490">
        <v>0</v>
      </c>
      <c r="G418" s="490">
        <v>8010</v>
      </c>
      <c r="H418" s="489" t="str">
        <f>VLOOKUP(A418,'TB - Fixed Assets and CIP'!$C$2:$D$207,2,FALSE)</f>
        <v>WELL/RESERVOIR REHABILITATION</v>
      </c>
    </row>
    <row r="419" spans="1:8" x14ac:dyDescent="0.25">
      <c r="A419" s="489" t="s">
        <v>1648</v>
      </c>
      <c r="B419" s="489" t="s">
        <v>1649</v>
      </c>
      <c r="C419" s="490">
        <v>0</v>
      </c>
      <c r="D419" s="490">
        <v>959294.61</v>
      </c>
      <c r="E419" s="490">
        <v>0</v>
      </c>
      <c r="F419" s="490">
        <v>0</v>
      </c>
      <c r="G419" s="490">
        <v>959294.61</v>
      </c>
      <c r="H419" s="489" t="str">
        <f>VLOOKUP(A419,'TB - Fixed Assets and CIP'!$C$2:$D$207,2,FALSE)</f>
        <v>REPLACE PRV &amp; VALVES</v>
      </c>
    </row>
    <row r="420" spans="1:8" x14ac:dyDescent="0.25">
      <c r="A420" s="489" t="s">
        <v>1650</v>
      </c>
      <c r="B420" s="489" t="s">
        <v>1651</v>
      </c>
      <c r="C420" s="490">
        <v>0</v>
      </c>
      <c r="D420" s="490">
        <v>2017087.27</v>
      </c>
      <c r="E420" s="490">
        <v>0</v>
      </c>
      <c r="F420" s="490">
        <v>0</v>
      </c>
      <c r="G420" s="490">
        <v>2017087.27</v>
      </c>
      <c r="H420" s="489" t="str">
        <f>VLOOKUP(A420,'TB - Fixed Assets and CIP'!$C$2:$D$207,2,FALSE)</f>
        <v>OW - 0116 WELL 33/ FIELD RESV</v>
      </c>
    </row>
    <row r="421" spans="1:8" x14ac:dyDescent="0.25">
      <c r="A421" s="489" t="s">
        <v>1653</v>
      </c>
      <c r="B421" s="489" t="s">
        <v>1654</v>
      </c>
      <c r="C421" s="490">
        <v>0</v>
      </c>
      <c r="D421" s="490">
        <v>3829220.11</v>
      </c>
      <c r="E421" s="490">
        <v>0</v>
      </c>
      <c r="F421" s="490">
        <v>0</v>
      </c>
      <c r="G421" s="490">
        <v>3829220.11</v>
      </c>
      <c r="H421" s="489" t="str">
        <f>VLOOKUP(A421,'TB - Fixed Assets and CIP'!$C$2:$D$207,2,FALSE)</f>
        <v>OW - 0124 GJM BLVD PIPELINE</v>
      </c>
    </row>
    <row r="422" spans="1:8" x14ac:dyDescent="0.25">
      <c r="A422" s="489" t="s">
        <v>1655</v>
      </c>
      <c r="B422" s="489" t="s">
        <v>1527</v>
      </c>
      <c r="C422" s="486">
        <v>175464</v>
      </c>
      <c r="D422" s="490">
        <v>0</v>
      </c>
      <c r="E422" s="490">
        <v>9264.02</v>
      </c>
      <c r="F422" s="490">
        <v>0</v>
      </c>
      <c r="G422" s="490">
        <v>9264.02</v>
      </c>
      <c r="H422" s="489" t="str">
        <f>VLOOKUP(A422,'TB - Fixed Assets and CIP'!$C$2:$D$207,2,FALSE)</f>
        <v>GW - 0112 A1/A2 TANK  B/C BSTR</v>
      </c>
    </row>
    <row r="423" spans="1:8" x14ac:dyDescent="0.25">
      <c r="A423" s="489" t="s">
        <v>1656</v>
      </c>
      <c r="B423" s="489" t="s">
        <v>1657</v>
      </c>
      <c r="C423" s="490">
        <v>0</v>
      </c>
      <c r="D423" s="490">
        <v>8052102.5499999998</v>
      </c>
      <c r="E423" s="490">
        <v>0</v>
      </c>
      <c r="F423" s="490">
        <v>0</v>
      </c>
      <c r="G423" s="490">
        <v>8052102.5499999998</v>
      </c>
      <c r="H423" s="489" t="str">
        <f>VLOOKUP(A423,'TB - Fixed Assets and CIP'!$C$2:$D$207,2,FALSE)</f>
        <v>OW - 0119 D/E RESERVOIR PROJ</v>
      </c>
    </row>
    <row r="424" spans="1:8" x14ac:dyDescent="0.25">
      <c r="A424" s="489" t="s">
        <v>1668</v>
      </c>
      <c r="B424" s="489" t="s">
        <v>1669</v>
      </c>
      <c r="C424" s="490">
        <v>0</v>
      </c>
      <c r="D424" s="490">
        <v>116135.29</v>
      </c>
      <c r="E424" s="490">
        <v>0</v>
      </c>
      <c r="F424" s="490">
        <v>0</v>
      </c>
      <c r="G424" s="490">
        <v>116135.29</v>
      </c>
      <c r="H424" s="489" t="str">
        <f>VLOOKUP(A424,'TB - Fixed Assets and CIP'!$C$2:$D$207,2,FALSE)</f>
        <v>OW - 0170 WELL 34</v>
      </c>
    </row>
    <row r="425" spans="1:8" x14ac:dyDescent="0.25">
      <c r="A425" s="489" t="s">
        <v>3456</v>
      </c>
      <c r="B425" s="489" t="s">
        <v>3457</v>
      </c>
      <c r="C425" s="486">
        <v>1800</v>
      </c>
      <c r="D425" s="490">
        <v>0</v>
      </c>
      <c r="E425" s="490">
        <v>0</v>
      </c>
      <c r="F425" s="490">
        <v>0</v>
      </c>
      <c r="G425" s="490">
        <v>0</v>
      </c>
      <c r="H425" s="489" t="str">
        <f>VLOOKUP(A425,'TB - Fixed Assets and CIP'!$C$2:$D$207,2,FALSE)</f>
        <v>OW - 0201 GIGLING PIPELINE</v>
      </c>
    </row>
    <row r="426" spans="1:8" x14ac:dyDescent="0.25">
      <c r="A426" s="489" t="s">
        <v>1670</v>
      </c>
      <c r="B426" s="489" t="s">
        <v>1671</v>
      </c>
      <c r="C426" s="490">
        <v>0</v>
      </c>
      <c r="D426" s="490">
        <v>327542.82</v>
      </c>
      <c r="E426" s="490">
        <v>0</v>
      </c>
      <c r="F426" s="490">
        <v>0</v>
      </c>
      <c r="G426" s="490">
        <v>327542.82</v>
      </c>
      <c r="H426" s="489" t="str">
        <f>VLOOKUP(A426,'TB - Fixed Assets and CIP'!$C$2:$D$207,2,FALSE)</f>
        <v>OW - 0202 S/BOUNDARY RD PIPE</v>
      </c>
    </row>
    <row r="427" spans="1:8" x14ac:dyDescent="0.25">
      <c r="A427" s="489" t="s">
        <v>1672</v>
      </c>
      <c r="B427" s="489" t="s">
        <v>1673</v>
      </c>
      <c r="C427" s="490">
        <v>0</v>
      </c>
      <c r="D427" s="490">
        <v>28149.45</v>
      </c>
      <c r="E427" s="490">
        <v>0</v>
      </c>
      <c r="F427" s="490">
        <v>0</v>
      </c>
      <c r="G427" s="490">
        <v>28149.45</v>
      </c>
      <c r="H427" s="489" t="str">
        <f>VLOOKUP(A427,'TB - Fixed Assets and CIP'!$C$2:$D$207,2,FALSE)</f>
        <v>OW - 0207 FIRE FLOW 3RD AVE</v>
      </c>
    </row>
    <row r="428" spans="1:8" x14ac:dyDescent="0.25">
      <c r="A428" s="489" t="s">
        <v>2590</v>
      </c>
      <c r="B428" s="489" t="s">
        <v>2591</v>
      </c>
      <c r="C428" s="486">
        <v>210000</v>
      </c>
      <c r="D428" s="490">
        <v>0</v>
      </c>
      <c r="E428" s="490">
        <v>1391.2</v>
      </c>
      <c r="F428" s="490">
        <v>0</v>
      </c>
      <c r="G428" s="490">
        <v>1391.2</v>
      </c>
      <c r="H428" s="489" t="str">
        <f>VLOOKUP(A428,'TB - Fixed Assets and CIP'!$C$2:$D$207,2,FALSE)</f>
        <v>OW-0223 WELL 30/ REPLACE PUMP</v>
      </c>
    </row>
    <row r="429" spans="1:8" x14ac:dyDescent="0.25">
      <c r="A429" s="489" t="s">
        <v>1678</v>
      </c>
      <c r="B429" s="489" t="s">
        <v>1531</v>
      </c>
      <c r="C429" s="486">
        <v>9100</v>
      </c>
      <c r="D429" s="490">
        <v>5942.96</v>
      </c>
      <c r="E429" s="490">
        <v>0</v>
      </c>
      <c r="F429" s="490">
        <v>0</v>
      </c>
      <c r="G429" s="490">
        <v>5942.96</v>
      </c>
      <c r="H429" s="489" t="str">
        <f>VLOOKUP(A429,'TB - Fixed Assets and CIP'!$C$2:$D$207,2,FALSE)</f>
        <v>WD - 0115 SCADA SYSTEM</v>
      </c>
    </row>
    <row r="430" spans="1:8" x14ac:dyDescent="0.25">
      <c r="A430" s="489" t="s">
        <v>1679</v>
      </c>
      <c r="B430" s="489" t="s">
        <v>1680</v>
      </c>
      <c r="C430" s="490">
        <v>0</v>
      </c>
      <c r="D430" s="490">
        <v>298962.46999999997</v>
      </c>
      <c r="E430" s="490">
        <v>0</v>
      </c>
      <c r="F430" s="490">
        <v>0</v>
      </c>
      <c r="G430" s="490">
        <v>298962.46999999997</v>
      </c>
      <c r="H430" s="489" t="str">
        <f>VLOOKUP(A430,'TB - Fixed Assets and CIP'!$C$2:$D$207,2,FALSE)</f>
        <v>OW SYSTEM IMPROVEMENTS</v>
      </c>
    </row>
    <row r="431" spans="1:8" x14ac:dyDescent="0.25">
      <c r="A431" s="509" t="s">
        <v>1682</v>
      </c>
      <c r="B431" s="509" t="s">
        <v>1537</v>
      </c>
      <c r="C431" s="490">
        <v>0</v>
      </c>
      <c r="D431" s="490">
        <v>108039.84</v>
      </c>
      <c r="E431" s="490">
        <v>0</v>
      </c>
      <c r="F431" s="490">
        <v>0</v>
      </c>
      <c r="G431" s="490">
        <v>108039.84</v>
      </c>
      <c r="H431" s="489" t="str">
        <f>VLOOKUP(A431,'TB - Fixed Assets and CIP'!$C$2:$D$207,2,FALSE)</f>
        <v>WD - 0110 ASSET MGMT PROGRAM</v>
      </c>
    </row>
    <row r="432" spans="1:8" x14ac:dyDescent="0.25">
      <c r="A432" s="506" t="s">
        <v>1683</v>
      </c>
      <c r="B432" s="506" t="s">
        <v>1539</v>
      </c>
      <c r="C432" s="486">
        <v>10660</v>
      </c>
      <c r="D432" s="490">
        <v>0</v>
      </c>
      <c r="E432" s="490">
        <v>0</v>
      </c>
      <c r="F432" s="490">
        <v>0</v>
      </c>
      <c r="G432" s="490">
        <v>0</v>
      </c>
      <c r="H432" s="489" t="str">
        <f>VLOOKUP(A432,'TB - Fixed Assets and CIP'!$C$2:$D$207,2,FALSE)</f>
        <v>WD - 0203 ORD OFFICE LANDSCAPE</v>
      </c>
    </row>
    <row r="433" spans="1:8" x14ac:dyDescent="0.25">
      <c r="A433" s="506" t="s">
        <v>3452</v>
      </c>
      <c r="B433" s="489" t="s">
        <v>3455</v>
      </c>
      <c r="C433" s="486">
        <v>36540</v>
      </c>
      <c r="D433" s="490">
        <v>0</v>
      </c>
      <c r="E433" s="490">
        <v>0</v>
      </c>
      <c r="F433" s="490">
        <v>0</v>
      </c>
      <c r="G433" s="490">
        <v>0</v>
      </c>
      <c r="H433" s="489" t="str">
        <f>VLOOKUP(A433,'TB - Fixed Assets and CIP'!$C$2:$D$207,2,FALSE)</f>
        <v>GW - 0212 WTR TANK COMPLIANCE</v>
      </c>
    </row>
    <row r="434" spans="1:8" x14ac:dyDescent="0.25">
      <c r="A434" s="489" t="s">
        <v>1684</v>
      </c>
      <c r="B434" s="489" t="s">
        <v>1685</v>
      </c>
      <c r="C434" s="490">
        <v>0</v>
      </c>
      <c r="D434" s="490">
        <v>950779.59</v>
      </c>
      <c r="E434" s="490">
        <v>0</v>
      </c>
      <c r="F434" s="490">
        <v>0</v>
      </c>
      <c r="G434" s="490">
        <v>950779.59</v>
      </c>
      <c r="H434" s="489" t="str">
        <f>VLOOKUP(A434,'TB - Fixed Assets and CIP'!$C$2:$D$207,2,FALSE)</f>
        <v>REGIONAL WATER AUGMENTATION</v>
      </c>
    </row>
    <row r="435" spans="1:8" x14ac:dyDescent="0.25">
      <c r="A435" s="489" t="s">
        <v>1687</v>
      </c>
      <c r="B435" s="489" t="s">
        <v>1545</v>
      </c>
      <c r="C435" s="490">
        <v>0</v>
      </c>
      <c r="D435" s="490">
        <v>101201.87</v>
      </c>
      <c r="E435" s="490">
        <v>0</v>
      </c>
      <c r="F435" s="490">
        <v>0</v>
      </c>
      <c r="G435" s="490">
        <v>101201.87</v>
      </c>
      <c r="H435" s="489" t="str">
        <f>VLOOKUP(A435,'TB - Fixed Assets and CIP'!$C$2:$D$207,2,FALSE)</f>
        <v>CORPORATION YARD</v>
      </c>
    </row>
    <row r="436" spans="1:8" x14ac:dyDescent="0.25">
      <c r="A436" s="489" t="s">
        <v>1688</v>
      </c>
      <c r="B436" s="489" t="s">
        <v>1547</v>
      </c>
      <c r="C436" s="490">
        <v>0</v>
      </c>
      <c r="D436" s="490">
        <v>1779033.64</v>
      </c>
      <c r="E436" s="490">
        <v>2250.25</v>
      </c>
      <c r="F436" s="490">
        <v>2250.25</v>
      </c>
      <c r="G436" s="490">
        <v>1779033.64</v>
      </c>
      <c r="H436" s="489" t="str">
        <f>VLOOKUP(A436,'TB - Fixed Assets and CIP'!$C$2:$D$207,2,FALSE)</f>
        <v>BUILDINGS - 920 2ND AVE, STE A</v>
      </c>
    </row>
    <row r="437" spans="1:8" x14ac:dyDescent="0.25">
      <c r="A437" s="489" t="s">
        <v>1689</v>
      </c>
      <c r="B437" s="489" t="s">
        <v>2060</v>
      </c>
      <c r="C437" s="486">
        <v>1131200</v>
      </c>
      <c r="D437" s="490">
        <v>0</v>
      </c>
      <c r="E437" s="490">
        <v>27756.36</v>
      </c>
      <c r="F437" s="490">
        <v>0</v>
      </c>
      <c r="G437" s="490">
        <v>27756.36</v>
      </c>
      <c r="H437" s="489" t="str">
        <f>VLOOKUP(A437,'TB - Fixed Assets and CIP'!$C$2:$D$207,2,FALSE)</f>
        <v>WD - 0202 BUILDINGS - 940 2ND AVENUE</v>
      </c>
    </row>
    <row r="438" spans="1:8" x14ac:dyDescent="0.25">
      <c r="A438" s="489" t="s">
        <v>1696</v>
      </c>
      <c r="B438" s="489" t="s">
        <v>1560</v>
      </c>
      <c r="C438" s="490">
        <v>0</v>
      </c>
      <c r="D438" s="490">
        <v>277479.65000000002</v>
      </c>
      <c r="E438" s="490">
        <v>0</v>
      </c>
      <c r="F438" s="490">
        <v>0</v>
      </c>
      <c r="G438" s="490">
        <v>277479.65000000002</v>
      </c>
      <c r="H438" s="489" t="str">
        <f>VLOOKUP(A438,'TB - Fixed Assets and CIP'!$C$2:$D$207,2,FALSE)</f>
        <v>TRANS/DISTRIBUTION PLANT</v>
      </c>
    </row>
    <row r="439" spans="1:8" x14ac:dyDescent="0.25">
      <c r="A439" s="489" t="s">
        <v>901</v>
      </c>
      <c r="B439" s="489" t="s">
        <v>24</v>
      </c>
      <c r="C439" s="490">
        <v>4238977</v>
      </c>
      <c r="D439" s="490">
        <v>0</v>
      </c>
      <c r="E439" s="490">
        <v>3854.81</v>
      </c>
      <c r="F439" s="490">
        <v>1731864</v>
      </c>
      <c r="G439" s="490">
        <v>-1728009.19</v>
      </c>
      <c r="H439" s="489" t="str">
        <f>VLOOKUP(A439,'TB - Revenue Data'!$B$5:C498,2,FALSE)</f>
        <v>WATER SALES</v>
      </c>
    </row>
    <row r="440" spans="1:8" x14ac:dyDescent="0.25">
      <c r="A440" s="489" t="s">
        <v>899</v>
      </c>
      <c r="B440" s="489" t="s">
        <v>6</v>
      </c>
      <c r="C440" s="490">
        <v>141964</v>
      </c>
      <c r="D440" s="490">
        <v>0</v>
      </c>
      <c r="E440" s="490">
        <v>0</v>
      </c>
      <c r="F440" s="490">
        <v>58139.81</v>
      </c>
      <c r="G440" s="490">
        <v>-58139.81</v>
      </c>
      <c r="H440" s="489" t="str">
        <f>VLOOKUP(A440,'TB - Revenue Data'!$B$5:C499,2,FALSE)</f>
        <v>FIRE SYSTEM CHARGE</v>
      </c>
    </row>
    <row r="441" spans="1:8" x14ac:dyDescent="0.25">
      <c r="A441" s="489" t="s">
        <v>907</v>
      </c>
      <c r="B441" s="489" t="s">
        <v>1126</v>
      </c>
      <c r="C441" s="490">
        <v>17370</v>
      </c>
      <c r="D441" s="490">
        <v>0</v>
      </c>
      <c r="E441" s="490">
        <v>888.25</v>
      </c>
      <c r="F441" s="490">
        <v>24927.91</v>
      </c>
      <c r="G441" s="490">
        <v>-24039.66</v>
      </c>
      <c r="H441" s="489" t="str">
        <f>VLOOKUP(A441,'TB - Revenue Data'!$B$5:C500,2,FALSE)</f>
        <v>LATE CHARGE/PENALTY FEES</v>
      </c>
    </row>
    <row r="442" spans="1:8" x14ac:dyDescent="0.25">
      <c r="A442" s="489" t="s">
        <v>902</v>
      </c>
      <c r="B442" s="489" t="s">
        <v>8</v>
      </c>
      <c r="C442" s="490">
        <v>12300</v>
      </c>
      <c r="D442" s="490">
        <v>0</v>
      </c>
      <c r="E442" s="490">
        <v>0</v>
      </c>
      <c r="F442" s="490">
        <v>1605</v>
      </c>
      <c r="G442" s="490">
        <v>-1605</v>
      </c>
      <c r="H442" s="489" t="str">
        <f>VLOOKUP(A442,'TB - Revenue Data'!$B$5:C501,2,FALSE)</f>
        <v>BACKFLOW REVENUE</v>
      </c>
    </row>
    <row r="443" spans="1:8" x14ac:dyDescent="0.25">
      <c r="A443" s="489" t="s">
        <v>903</v>
      </c>
      <c r="B443" s="489" t="s">
        <v>188</v>
      </c>
      <c r="C443" s="490">
        <v>1006500</v>
      </c>
      <c r="D443" s="490">
        <v>0</v>
      </c>
      <c r="E443" s="490">
        <v>0</v>
      </c>
      <c r="F443" s="490">
        <v>959975.36</v>
      </c>
      <c r="G443" s="490">
        <v>-959975.36</v>
      </c>
      <c r="H443" s="489" t="str">
        <f>VLOOKUP(A443,'TB - Revenue Data'!$B$5:C502,2,FALSE)</f>
        <v>OTHER WATER SALES</v>
      </c>
    </row>
    <row r="444" spans="1:8" x14ac:dyDescent="0.25">
      <c r="A444" s="489" t="s">
        <v>904</v>
      </c>
      <c r="B444" s="489" t="s">
        <v>9</v>
      </c>
      <c r="C444" s="490">
        <v>967270</v>
      </c>
      <c r="D444" s="490">
        <v>0</v>
      </c>
      <c r="E444" s="490">
        <v>0</v>
      </c>
      <c r="F444" s="490">
        <v>485566.75</v>
      </c>
      <c r="G444" s="490">
        <v>-485566.75</v>
      </c>
      <c r="H444" s="489" t="str">
        <f>VLOOKUP(A444,'TB - Revenue Data'!$B$5:C503,2,FALSE)</f>
        <v>FLAT RATE ACCOUNTS</v>
      </c>
    </row>
    <row r="445" spans="1:8" x14ac:dyDescent="0.25">
      <c r="A445" s="489" t="s">
        <v>905</v>
      </c>
      <c r="B445" s="489" t="s">
        <v>11</v>
      </c>
      <c r="C445" s="490">
        <v>110000</v>
      </c>
      <c r="D445" s="490">
        <v>0</v>
      </c>
      <c r="E445" s="490">
        <v>0</v>
      </c>
      <c r="F445" s="490">
        <v>78963.53</v>
      </c>
      <c r="G445" s="490">
        <v>-78963.53</v>
      </c>
      <c r="H445" s="489" t="str">
        <f>VLOOKUP(A445,'TB - Revenue Data'!$B$5:C504,2,FALSE)</f>
        <v>CAPITAL SURCHARGE</v>
      </c>
    </row>
    <row r="446" spans="1:8" x14ac:dyDescent="0.25">
      <c r="A446" s="489" t="s">
        <v>906</v>
      </c>
      <c r="B446" s="489" t="s">
        <v>12</v>
      </c>
      <c r="C446" s="490">
        <v>1922400</v>
      </c>
      <c r="D446" s="490">
        <v>0</v>
      </c>
      <c r="E446" s="490">
        <v>0</v>
      </c>
      <c r="F446" s="490">
        <v>111287</v>
      </c>
      <c r="G446" s="490">
        <v>-111287</v>
      </c>
      <c r="H446" s="489" t="str">
        <f>VLOOKUP(A446,'TB - Revenue Data'!$B$5:C505,2,FALSE)</f>
        <v>CAPACITY CHARGES</v>
      </c>
    </row>
    <row r="447" spans="1:8" x14ac:dyDescent="0.25">
      <c r="A447" s="489" t="s">
        <v>916</v>
      </c>
      <c r="B447" s="489" t="s">
        <v>13</v>
      </c>
      <c r="C447" s="490">
        <v>14250</v>
      </c>
      <c r="D447" s="490">
        <v>0</v>
      </c>
      <c r="E447" s="490">
        <v>0</v>
      </c>
      <c r="F447" s="490">
        <v>7095.22</v>
      </c>
      <c r="G447" s="490">
        <v>-7095.22</v>
      </c>
      <c r="H447" s="489" t="str">
        <f>VLOOKUP(A447,'TB - Revenue Data'!$B$5:C506,2,FALSE)</f>
        <v>INTEREST INCOME</v>
      </c>
    </row>
    <row r="448" spans="1:8" x14ac:dyDescent="0.25">
      <c r="A448" s="489" t="s">
        <v>917</v>
      </c>
      <c r="B448" s="489" t="s">
        <v>15</v>
      </c>
      <c r="C448" s="490">
        <v>68000</v>
      </c>
      <c r="D448" s="490">
        <v>0</v>
      </c>
      <c r="E448" s="490">
        <v>6911</v>
      </c>
      <c r="F448" s="490">
        <v>40776.870000000003</v>
      </c>
      <c r="G448" s="490">
        <v>-33865.870000000003</v>
      </c>
      <c r="H448" s="489" t="str">
        <f>VLOOKUP(A448,'TB - Revenue Data'!$B$5:C507,2,FALSE)</f>
        <v>INTEREST INCOME - 2006 BOND</v>
      </c>
    </row>
    <row r="449" spans="1:8" x14ac:dyDescent="0.25">
      <c r="A449" s="489" t="s">
        <v>946</v>
      </c>
      <c r="B449" s="489" t="s">
        <v>843</v>
      </c>
      <c r="C449" s="490">
        <v>65</v>
      </c>
      <c r="D449" s="490">
        <v>0</v>
      </c>
      <c r="E449" s="490">
        <v>0</v>
      </c>
      <c r="F449" s="490">
        <v>30.92</v>
      </c>
      <c r="G449" s="490">
        <v>-30.92</v>
      </c>
      <c r="H449" s="489" t="str">
        <f>VLOOKUP(A449,'TB - Revenue Data'!$B$5:C508,2,FALSE)</f>
        <v>INTEREST INCOME - 2010 BOND</v>
      </c>
    </row>
    <row r="450" spans="1:8" x14ac:dyDescent="0.25">
      <c r="A450" s="489" t="s">
        <v>908</v>
      </c>
      <c r="B450" s="489" t="s">
        <v>16</v>
      </c>
      <c r="C450" s="490">
        <v>10000</v>
      </c>
      <c r="D450" s="490">
        <v>0</v>
      </c>
      <c r="E450" s="490">
        <v>0</v>
      </c>
      <c r="F450" s="490">
        <v>2237</v>
      </c>
      <c r="G450" s="490">
        <v>-2237</v>
      </c>
      <c r="H450" s="489" t="str">
        <f>VLOOKUP(A450,'TB - Revenue Data'!$B$5:C509,2,FALSE)</f>
        <v>PLAN CHECK/PERMIT FEES</v>
      </c>
    </row>
    <row r="451" spans="1:8" x14ac:dyDescent="0.25">
      <c r="A451" s="489" t="s">
        <v>909</v>
      </c>
      <c r="B451" s="489" t="s">
        <v>17</v>
      </c>
      <c r="C451" s="490">
        <v>22100</v>
      </c>
      <c r="D451" s="490">
        <v>0</v>
      </c>
      <c r="E451" s="490">
        <v>0</v>
      </c>
      <c r="F451" s="490">
        <v>5538.41</v>
      </c>
      <c r="G451" s="490">
        <v>-5538.41</v>
      </c>
      <c r="H451" s="489" t="str">
        <f>VLOOKUP(A451,'TB - Revenue Data'!$B$5:C510,2,FALSE)</f>
        <v>OTHER INCOME</v>
      </c>
    </row>
    <row r="452" spans="1:8" x14ac:dyDescent="0.25">
      <c r="A452" s="489" t="s">
        <v>910</v>
      </c>
      <c r="B452" s="489" t="s">
        <v>19</v>
      </c>
      <c r="C452" s="490">
        <v>5000</v>
      </c>
      <c r="D452" s="490">
        <v>0</v>
      </c>
      <c r="E452" s="490">
        <v>226.47</v>
      </c>
      <c r="F452" s="490">
        <v>7668</v>
      </c>
      <c r="G452" s="490">
        <v>-7441.53</v>
      </c>
      <c r="H452" s="489" t="str">
        <f>VLOOKUP(A452,'TB - Revenue Data'!$B$5:C511,2,FALSE)</f>
        <v>METER FEES</v>
      </c>
    </row>
    <row r="453" spans="1:8" x14ac:dyDescent="0.25">
      <c r="A453" s="489" t="s">
        <v>911</v>
      </c>
      <c r="B453" s="489" t="s">
        <v>1128</v>
      </c>
      <c r="C453" s="490">
        <v>19550</v>
      </c>
      <c r="D453" s="490">
        <v>0</v>
      </c>
      <c r="E453" s="490">
        <v>0</v>
      </c>
      <c r="F453" s="490">
        <v>0</v>
      </c>
      <c r="G453" s="490">
        <v>0</v>
      </c>
      <c r="H453" s="489" t="str">
        <f>VLOOKUP(A453,'TB - Revenue Data'!$B$5:C512,2,FALSE)</f>
        <v>DEFERRED REVENUE - 2006 BOND</v>
      </c>
    </row>
    <row r="454" spans="1:8" x14ac:dyDescent="0.25">
      <c r="A454" s="489" t="s">
        <v>950</v>
      </c>
      <c r="B454" s="489" t="s">
        <v>1129</v>
      </c>
      <c r="C454" s="490">
        <v>5650</v>
      </c>
      <c r="D454" s="490">
        <v>0</v>
      </c>
      <c r="E454" s="490">
        <v>0</v>
      </c>
      <c r="F454" s="490">
        <v>0</v>
      </c>
      <c r="G454" s="490">
        <v>0</v>
      </c>
      <c r="H454" s="489" t="str">
        <f>VLOOKUP(A454,'TB - Revenue Data'!$B$5:C513,2,FALSE)</f>
        <v>DEFERRED REVENUE - 2010 BOND</v>
      </c>
    </row>
    <row r="455" spans="1:8" x14ac:dyDescent="0.25">
      <c r="A455" s="489" t="s">
        <v>912</v>
      </c>
      <c r="B455" s="489" t="s">
        <v>181</v>
      </c>
      <c r="C455" s="490">
        <v>24000</v>
      </c>
      <c r="D455" s="490">
        <v>0</v>
      </c>
      <c r="E455" s="490">
        <v>0</v>
      </c>
      <c r="F455" s="490">
        <v>12000</v>
      </c>
      <c r="G455" s="490">
        <v>-12000</v>
      </c>
      <c r="H455" s="489" t="str">
        <f>VLOOKUP(A455,'TB - Revenue Data'!$B$5:C514,2,FALSE)</f>
        <v>WHEELING CHARGE</v>
      </c>
    </row>
    <row r="456" spans="1:8" x14ac:dyDescent="0.25">
      <c r="A456" s="489" t="s">
        <v>913</v>
      </c>
      <c r="B456" s="489" t="s">
        <v>21</v>
      </c>
      <c r="C456" s="490">
        <v>0</v>
      </c>
      <c r="D456" s="490">
        <v>0</v>
      </c>
      <c r="E456" s="490">
        <v>8040.62</v>
      </c>
      <c r="F456" s="490">
        <v>198658.95</v>
      </c>
      <c r="G456" s="490">
        <v>-190618.33</v>
      </c>
      <c r="H456" s="489" t="str">
        <f>VLOOKUP(A456,'TB - Revenue Data'!$B$5:C515,2,FALSE)</f>
        <v>DEVELOPER FEES</v>
      </c>
    </row>
    <row r="457" spans="1:8" x14ac:dyDescent="0.25">
      <c r="A457" s="489" t="s">
        <v>1138</v>
      </c>
      <c r="B457" s="489" t="s">
        <v>1131</v>
      </c>
      <c r="C457" s="490">
        <v>93307.97</v>
      </c>
      <c r="D457" s="490">
        <v>0</v>
      </c>
      <c r="E457" s="490">
        <v>0</v>
      </c>
      <c r="F457" s="490">
        <v>44859.6</v>
      </c>
      <c r="G457" s="490">
        <v>-44859.6</v>
      </c>
      <c r="H457" s="489" t="str">
        <f>VLOOKUP(A457,'TB - Revenue Data'!$B$5:C516,2,FALSE)</f>
        <v>RENTAL REVENUE</v>
      </c>
    </row>
    <row r="458" spans="1:8" x14ac:dyDescent="0.25">
      <c r="A458" s="489" t="s">
        <v>781</v>
      </c>
      <c r="B458" s="489" t="s">
        <v>665</v>
      </c>
      <c r="C458" s="490">
        <v>542049</v>
      </c>
      <c r="D458" s="490">
        <v>0</v>
      </c>
      <c r="E458" s="490">
        <v>254206.23</v>
      </c>
      <c r="F458" s="490">
        <v>18804.28</v>
      </c>
      <c r="G458" s="490">
        <v>235401.95</v>
      </c>
      <c r="H458" s="489" t="str">
        <f>VLOOKUP(A458,'TB - Expense Data'!$H$3:$I$757,2,FALSE)</f>
        <v>WAGES - ADM</v>
      </c>
    </row>
    <row r="459" spans="1:8" x14ac:dyDescent="0.25">
      <c r="A459" s="489" t="s">
        <v>768</v>
      </c>
      <c r="B459" s="489" t="s">
        <v>37</v>
      </c>
      <c r="C459" s="490">
        <v>9555.52</v>
      </c>
      <c r="D459" s="490">
        <v>0</v>
      </c>
      <c r="E459" s="490">
        <v>6261.59</v>
      </c>
      <c r="F459" s="490">
        <v>171.28</v>
      </c>
      <c r="G459" s="490">
        <v>6090.31</v>
      </c>
      <c r="H459" s="489" t="str">
        <f>VLOOKUP(A459,'TB - Expense Data'!$H$3:$I$757,2,FALSE)</f>
        <v>OVERTIME</v>
      </c>
    </row>
    <row r="460" spans="1:8" x14ac:dyDescent="0.25">
      <c r="A460" s="489" t="s">
        <v>747</v>
      </c>
      <c r="B460" s="489" t="s">
        <v>153</v>
      </c>
      <c r="C460" s="490">
        <v>31343</v>
      </c>
      <c r="D460" s="490">
        <v>0</v>
      </c>
      <c r="E460" s="490">
        <v>13254.27</v>
      </c>
      <c r="F460" s="490">
        <v>1116.46</v>
      </c>
      <c r="G460" s="490">
        <v>12137.81</v>
      </c>
      <c r="H460" s="489" t="str">
        <f>VLOOKUP(A460,'TB - Expense Data'!$H$3:$I$757,2,FALSE)</f>
        <v>FICA EXPENSE</v>
      </c>
    </row>
    <row r="461" spans="1:8" x14ac:dyDescent="0.25">
      <c r="A461" s="489" t="s">
        <v>761</v>
      </c>
      <c r="B461" s="489" t="s">
        <v>154</v>
      </c>
      <c r="C461" s="490">
        <v>7998</v>
      </c>
      <c r="D461" s="490">
        <v>0</v>
      </c>
      <c r="E461" s="490">
        <v>3697.6</v>
      </c>
      <c r="F461" s="490">
        <v>261.06</v>
      </c>
      <c r="G461" s="490">
        <v>3436.54</v>
      </c>
      <c r="H461" s="489" t="str">
        <f>VLOOKUP(A461,'TB - Expense Data'!$H$3:$I$757,2,FALSE)</f>
        <v>MEDI EXPENSE</v>
      </c>
    </row>
    <row r="462" spans="1:8" x14ac:dyDescent="0.25">
      <c r="A462" s="489" t="s">
        <v>762</v>
      </c>
      <c r="B462" s="489" t="s">
        <v>38</v>
      </c>
      <c r="C462" s="490">
        <v>103201</v>
      </c>
      <c r="D462" s="490">
        <v>0</v>
      </c>
      <c r="E462" s="490">
        <v>44053.69</v>
      </c>
      <c r="F462" s="490">
        <v>437.14</v>
      </c>
      <c r="G462" s="490">
        <v>43616.55</v>
      </c>
      <c r="H462" s="489" t="str">
        <f>VLOOKUP(A462,'TB - Expense Data'!$H$3:$I$757,2,FALSE)</f>
        <v>MEDICAL INSURANCE</v>
      </c>
    </row>
    <row r="463" spans="1:8" x14ac:dyDescent="0.25">
      <c r="A463" s="489" t="s">
        <v>743</v>
      </c>
      <c r="B463" s="489" t="s">
        <v>77</v>
      </c>
      <c r="C463" s="490">
        <v>6362</v>
      </c>
      <c r="D463" s="490">
        <v>0</v>
      </c>
      <c r="E463" s="490">
        <v>2273.77</v>
      </c>
      <c r="F463" s="490">
        <v>50.82</v>
      </c>
      <c r="G463" s="490">
        <v>2222.9499999999998</v>
      </c>
      <c r="H463" s="489" t="str">
        <f>VLOOKUP(A463,'TB - Expense Data'!$H$3:$I$757,2,FALSE)</f>
        <v>DENTAL INSURANCE</v>
      </c>
    </row>
    <row r="464" spans="1:8" x14ac:dyDescent="0.25">
      <c r="A464" s="489" t="s">
        <v>780</v>
      </c>
      <c r="B464" s="489" t="s">
        <v>78</v>
      </c>
      <c r="C464" s="490">
        <v>1181</v>
      </c>
      <c r="D464" s="490">
        <v>0</v>
      </c>
      <c r="E464" s="490">
        <v>620.32000000000005</v>
      </c>
      <c r="F464" s="490">
        <v>0</v>
      </c>
      <c r="G464" s="490">
        <v>620.32000000000005</v>
      </c>
      <c r="H464" s="489" t="str">
        <f>VLOOKUP(A464,'TB - Expense Data'!$H$3:$I$757,2,FALSE)</f>
        <v>VISION INSURANCE</v>
      </c>
    </row>
    <row r="465" spans="1:8" x14ac:dyDescent="0.25">
      <c r="A465" s="489" t="s">
        <v>783</v>
      </c>
      <c r="B465" s="489" t="s">
        <v>893</v>
      </c>
      <c r="C465" s="490">
        <v>5678</v>
      </c>
      <c r="D465" s="490">
        <v>0</v>
      </c>
      <c r="E465" s="490">
        <v>2150.85</v>
      </c>
      <c r="F465" s="490">
        <v>128.25</v>
      </c>
      <c r="G465" s="490">
        <v>2022.6</v>
      </c>
      <c r="H465" s="489" t="str">
        <f>VLOOKUP(A465,'TB - Expense Data'!$H$3:$I$757,2,FALSE)</f>
        <v>WORKERS COMP INSURANCE</v>
      </c>
    </row>
    <row r="466" spans="1:8" x14ac:dyDescent="0.25">
      <c r="A466" s="489" t="s">
        <v>759</v>
      </c>
      <c r="B466" s="489" t="s">
        <v>2249</v>
      </c>
      <c r="C466" s="490">
        <v>2011</v>
      </c>
      <c r="D466" s="490">
        <v>0</v>
      </c>
      <c r="E466" s="490">
        <v>1198.98</v>
      </c>
      <c r="F466" s="490">
        <v>338.16</v>
      </c>
      <c r="G466" s="490">
        <v>860.82</v>
      </c>
      <c r="H466" s="489" t="str">
        <f>VLOOKUP(A466,'TB - Expense Data'!$H$3:$I$757,2,FALSE)</f>
        <v>LIFE INSURANCE EXPENSE</v>
      </c>
    </row>
    <row r="467" spans="1:8" x14ac:dyDescent="0.25">
      <c r="A467" s="489" t="s">
        <v>777</v>
      </c>
      <c r="B467" s="489" t="s">
        <v>40</v>
      </c>
      <c r="C467" s="490">
        <v>1966</v>
      </c>
      <c r="D467" s="490">
        <v>0</v>
      </c>
      <c r="E467" s="490">
        <v>77.3</v>
      </c>
      <c r="F467" s="490">
        <v>42.53</v>
      </c>
      <c r="G467" s="490">
        <v>34.770000000000003</v>
      </c>
      <c r="H467" s="489" t="str">
        <f>VLOOKUP(A467,'TB - Expense Data'!$H$3:$I$757,2,FALSE)</f>
        <v>SUI EXPENSE</v>
      </c>
    </row>
    <row r="468" spans="1:8" x14ac:dyDescent="0.25">
      <c r="A468" s="489" t="s">
        <v>746</v>
      </c>
      <c r="B468" s="489" t="s">
        <v>41</v>
      </c>
      <c r="C468" s="490">
        <v>44</v>
      </c>
      <c r="D468" s="490">
        <v>0</v>
      </c>
      <c r="E468" s="490">
        <v>1.5</v>
      </c>
      <c r="F468" s="490">
        <v>1.05</v>
      </c>
      <c r="G468" s="490">
        <v>0.45</v>
      </c>
      <c r="H468" s="489" t="str">
        <f>VLOOKUP(A468,'TB - Expense Data'!$H$3:$I$757,2,FALSE)</f>
        <v>ETT EXPENSE</v>
      </c>
    </row>
    <row r="469" spans="1:8" x14ac:dyDescent="0.25">
      <c r="A469" s="489" t="s">
        <v>738</v>
      </c>
      <c r="B469" s="489" t="s">
        <v>155</v>
      </c>
      <c r="C469" s="490">
        <v>3744</v>
      </c>
      <c r="D469" s="490">
        <v>0</v>
      </c>
      <c r="E469" s="490">
        <v>1550</v>
      </c>
      <c r="F469" s="490">
        <v>250</v>
      </c>
      <c r="G469" s="490">
        <v>1300</v>
      </c>
      <c r="H469" s="489" t="str">
        <f>VLOOKUP(A469,'TB - Expense Data'!$H$3:$I$757,2,FALSE)</f>
        <v>CAR ALLOWANCE EXPENSE</v>
      </c>
    </row>
    <row r="470" spans="1:8" x14ac:dyDescent="0.25">
      <c r="A470" s="489" t="s">
        <v>744</v>
      </c>
      <c r="B470" s="489" t="s">
        <v>42</v>
      </c>
      <c r="C470" s="490">
        <v>1645</v>
      </c>
      <c r="D470" s="490">
        <v>0</v>
      </c>
      <c r="E470" s="490">
        <v>636.27</v>
      </c>
      <c r="F470" s="490">
        <v>34.28</v>
      </c>
      <c r="G470" s="490">
        <v>601.99</v>
      </c>
      <c r="H470" s="489" t="str">
        <f>VLOOKUP(A470,'TB - Expense Data'!$H$3:$I$757,2,FALSE)</f>
        <v>DISABILITY PLAN</v>
      </c>
    </row>
    <row r="471" spans="1:8" x14ac:dyDescent="0.25">
      <c r="A471" s="489" t="s">
        <v>736</v>
      </c>
      <c r="B471" s="489" t="s">
        <v>2252</v>
      </c>
      <c r="C471" s="490">
        <v>47921</v>
      </c>
      <c r="D471" s="490">
        <v>0</v>
      </c>
      <c r="E471" s="490">
        <v>19815.05</v>
      </c>
      <c r="F471" s="490">
        <v>1495.41</v>
      </c>
      <c r="G471" s="490">
        <v>18319.64</v>
      </c>
      <c r="H471" s="489" t="str">
        <f>VLOOKUP(A471,'TB - Expense Data'!$H$3:$I$757,2,FALSE)</f>
        <v>CALPERS RETIREMENT</v>
      </c>
    </row>
    <row r="472" spans="1:8" x14ac:dyDescent="0.25">
      <c r="A472" s="489" t="s">
        <v>737</v>
      </c>
      <c r="B472" s="489" t="s">
        <v>44</v>
      </c>
      <c r="C472" s="490">
        <v>39587</v>
      </c>
      <c r="D472" s="490">
        <v>0</v>
      </c>
      <c r="E472" s="490">
        <v>16439</v>
      </c>
      <c r="F472" s="490">
        <v>1234.05</v>
      </c>
      <c r="G472" s="490">
        <v>15204.95</v>
      </c>
      <c r="H472" s="489" t="str">
        <f>VLOOKUP(A472,'TB - Expense Data'!$H$3:$I$757,2,FALSE)</f>
        <v>CALPERS RETIREMENT (EE)</v>
      </c>
    </row>
    <row r="473" spans="1:8" x14ac:dyDescent="0.25">
      <c r="A473" s="489" t="s">
        <v>767</v>
      </c>
      <c r="B473" s="489" t="s">
        <v>183</v>
      </c>
      <c r="C473" s="490">
        <v>27560</v>
      </c>
      <c r="D473" s="490">
        <v>0</v>
      </c>
      <c r="E473" s="490">
        <v>0</v>
      </c>
      <c r="F473" s="490">
        <v>0</v>
      </c>
      <c r="G473" s="490">
        <v>0</v>
      </c>
      <c r="H473" s="489" t="str">
        <f>VLOOKUP(A473,'TB - Expense Data'!$H$3:$I$757,2,FALSE)</f>
        <v>OPEB EXPENSE</v>
      </c>
    </row>
    <row r="474" spans="1:8" x14ac:dyDescent="0.25">
      <c r="A474" s="489" t="s">
        <v>2721</v>
      </c>
      <c r="B474" s="489" t="s">
        <v>2254</v>
      </c>
      <c r="C474" s="490">
        <v>0</v>
      </c>
      <c r="D474" s="490">
        <v>0</v>
      </c>
      <c r="E474" s="490">
        <v>659.36</v>
      </c>
      <c r="F474" s="490">
        <v>48.04</v>
      </c>
      <c r="G474" s="490">
        <v>611.32000000000005</v>
      </c>
      <c r="H474" s="489" t="str">
        <f>VLOOKUP(A474,'TB - Expense Data'!$H$3:$I$757,2,FALSE)</f>
        <v>CALPERS-62 RETIREMENT (ER)</v>
      </c>
    </row>
    <row r="475" spans="1:8" x14ac:dyDescent="0.25">
      <c r="A475" s="489" t="s">
        <v>2722</v>
      </c>
      <c r="B475" s="489" t="s">
        <v>2256</v>
      </c>
      <c r="C475" s="490">
        <v>0</v>
      </c>
      <c r="D475" s="490">
        <v>0</v>
      </c>
      <c r="E475" s="490">
        <v>839.33</v>
      </c>
      <c r="F475" s="490">
        <v>61.15</v>
      </c>
      <c r="G475" s="490">
        <v>778.18</v>
      </c>
      <c r="H475" s="489" t="str">
        <f>VLOOKUP(A475,'TB - Expense Data'!$H$3:$I$757,2,FALSE)</f>
        <v>CALPERS-62 RETIREMENT (EE)</v>
      </c>
    </row>
    <row r="476" spans="1:8" x14ac:dyDescent="0.25">
      <c r="A476" s="489" t="s">
        <v>1082</v>
      </c>
      <c r="B476" s="489" t="s">
        <v>1079</v>
      </c>
      <c r="C476" s="490">
        <v>68548.479999999996</v>
      </c>
      <c r="D476" s="490">
        <v>0</v>
      </c>
      <c r="E476" s="490">
        <v>67124.09</v>
      </c>
      <c r="F476" s="490">
        <v>0</v>
      </c>
      <c r="G476" s="490">
        <v>67124.09</v>
      </c>
      <c r="H476" s="489" t="str">
        <f>VLOOKUP(A476,'TB - Expense Data'!$H$3:$I$757,2,FALSE)</f>
        <v>PARS RETIREMENT</v>
      </c>
    </row>
    <row r="477" spans="1:8" x14ac:dyDescent="0.25">
      <c r="A477" s="489" t="s">
        <v>758</v>
      </c>
      <c r="B477" s="489" t="s">
        <v>156</v>
      </c>
      <c r="C477" s="490">
        <v>49400</v>
      </c>
      <c r="D477" s="490">
        <v>0</v>
      </c>
      <c r="E477" s="490">
        <v>25642.799999999999</v>
      </c>
      <c r="F477" s="490">
        <v>0</v>
      </c>
      <c r="G477" s="490">
        <v>25642.799999999999</v>
      </c>
      <c r="H477" s="489" t="str">
        <f>VLOOKUP(A477,'TB - Expense Data'!$H$3:$I$757,2,FALSE)</f>
        <v>LIABILITY INSURANCE</v>
      </c>
    </row>
    <row r="478" spans="1:8" x14ac:dyDescent="0.25">
      <c r="A478" s="489" t="s">
        <v>773</v>
      </c>
      <c r="B478" s="489" t="s">
        <v>157</v>
      </c>
      <c r="C478" s="490">
        <v>13000</v>
      </c>
      <c r="D478" s="490">
        <v>0</v>
      </c>
      <c r="E478" s="490">
        <v>7996.98</v>
      </c>
      <c r="F478" s="490">
        <v>0</v>
      </c>
      <c r="G478" s="490">
        <v>7996.98</v>
      </c>
      <c r="H478" s="489" t="str">
        <f>VLOOKUP(A478,'TB - Expense Data'!$H$3:$I$757,2,FALSE)</f>
        <v>PROPERTY INSURANCE</v>
      </c>
    </row>
    <row r="479" spans="1:8" x14ac:dyDescent="0.25">
      <c r="A479" s="489" t="s">
        <v>730</v>
      </c>
      <c r="B479" s="489" t="s">
        <v>158</v>
      </c>
      <c r="C479" s="490">
        <v>3120</v>
      </c>
      <c r="D479" s="490">
        <v>0</v>
      </c>
      <c r="E479" s="490">
        <v>1449.48</v>
      </c>
      <c r="F479" s="490">
        <v>0</v>
      </c>
      <c r="G479" s="490">
        <v>1449.48</v>
      </c>
      <c r="H479" s="489" t="str">
        <f>VLOOKUP(A479,'TB - Expense Data'!$H$3:$I$757,2,FALSE)</f>
        <v>AUTO INSURANCE</v>
      </c>
    </row>
    <row r="480" spans="1:8" x14ac:dyDescent="0.25">
      <c r="A480" s="489" t="s">
        <v>765</v>
      </c>
      <c r="B480" s="489" t="s">
        <v>159</v>
      </c>
      <c r="C480" s="490">
        <v>7800</v>
      </c>
      <c r="D480" s="490">
        <v>0</v>
      </c>
      <c r="E480" s="490">
        <v>3343.39</v>
      </c>
      <c r="F480" s="490">
        <v>0</v>
      </c>
      <c r="G480" s="490">
        <v>3343.39</v>
      </c>
      <c r="H480" s="489" t="str">
        <f>VLOOKUP(A480,'TB - Expense Data'!$H$3:$I$757,2,FALSE)</f>
        <v>OFFICE POWER/GAS</v>
      </c>
    </row>
    <row r="481" spans="1:8" x14ac:dyDescent="0.25">
      <c r="A481" s="489" t="s">
        <v>735</v>
      </c>
      <c r="B481" s="489" t="s">
        <v>160</v>
      </c>
      <c r="C481" s="490">
        <v>2340</v>
      </c>
      <c r="D481" s="490">
        <v>0</v>
      </c>
      <c r="E481" s="490">
        <v>8422.9</v>
      </c>
      <c r="F481" s="490">
        <v>0</v>
      </c>
      <c r="G481" s="490">
        <v>8422.9</v>
      </c>
      <c r="H481" s="489" t="str">
        <f>VLOOKUP(A481,'TB - Expense Data'!$H$3:$I$757,2,FALSE)</f>
        <v>BUILDING SECURITY</v>
      </c>
    </row>
    <row r="482" spans="1:8" x14ac:dyDescent="0.25">
      <c r="A482" s="489" t="s">
        <v>778</v>
      </c>
      <c r="B482" s="489" t="s">
        <v>161</v>
      </c>
      <c r="C482" s="490">
        <v>3328</v>
      </c>
      <c r="D482" s="490">
        <v>0</v>
      </c>
      <c r="E482" s="490">
        <v>1634.36</v>
      </c>
      <c r="F482" s="490">
        <v>0</v>
      </c>
      <c r="G482" s="490">
        <v>1634.36</v>
      </c>
      <c r="H482" s="489" t="str">
        <f>VLOOKUP(A482,'TB - Expense Data'!$H$3:$I$757,2,FALSE)</f>
        <v>TRASH SERVICES</v>
      </c>
    </row>
    <row r="483" spans="1:8" x14ac:dyDescent="0.25">
      <c r="A483" s="489" t="s">
        <v>729</v>
      </c>
      <c r="B483" s="489" t="s">
        <v>162</v>
      </c>
      <c r="C483" s="490">
        <v>1300</v>
      </c>
      <c r="D483" s="490">
        <v>0</v>
      </c>
      <c r="E483" s="490">
        <v>613.29</v>
      </c>
      <c r="F483" s="490">
        <v>80.27</v>
      </c>
      <c r="G483" s="490">
        <v>533.02</v>
      </c>
      <c r="H483" s="489" t="str">
        <f>VLOOKUP(A483,'TB - Expense Data'!$H$3:$I$757,2,FALSE)</f>
        <v>ANSWERING SERVICE</v>
      </c>
    </row>
    <row r="484" spans="1:8" x14ac:dyDescent="0.25">
      <c r="A484" s="489" t="s">
        <v>770</v>
      </c>
      <c r="B484" s="489" t="s">
        <v>83</v>
      </c>
      <c r="C484" s="490">
        <v>23400</v>
      </c>
      <c r="D484" s="490">
        <v>0</v>
      </c>
      <c r="E484" s="490">
        <v>10440.969999999999</v>
      </c>
      <c r="F484" s="490">
        <v>116.93</v>
      </c>
      <c r="G484" s="490">
        <v>10324.040000000001</v>
      </c>
      <c r="H484" s="489" t="str">
        <f>VLOOKUP(A484,'TB - Expense Data'!$H$3:$I$757,2,FALSE)</f>
        <v>PHONE</v>
      </c>
    </row>
    <row r="485" spans="1:8" x14ac:dyDescent="0.25">
      <c r="A485" s="489" t="s">
        <v>774</v>
      </c>
      <c r="B485" s="489" t="s">
        <v>163</v>
      </c>
      <c r="C485" s="490">
        <v>13520</v>
      </c>
      <c r="D485" s="490">
        <v>0</v>
      </c>
      <c r="E485" s="490">
        <v>7010.68</v>
      </c>
      <c r="F485" s="490">
        <v>0</v>
      </c>
      <c r="G485" s="490">
        <v>7010.68</v>
      </c>
      <c r="H485" s="489" t="str">
        <f>VLOOKUP(A485,'TB - Expense Data'!$H$3:$I$757,2,FALSE)</f>
        <v>RENT/LEASE EQUIPMENT</v>
      </c>
    </row>
    <row r="486" spans="1:8" x14ac:dyDescent="0.25">
      <c r="A486" s="489" t="s">
        <v>771</v>
      </c>
      <c r="B486" s="489" t="s">
        <v>70</v>
      </c>
      <c r="C486" s="490">
        <v>30160</v>
      </c>
      <c r="D486" s="490">
        <v>0</v>
      </c>
      <c r="E486" s="490">
        <v>5536.72</v>
      </c>
      <c r="F486" s="490">
        <v>25.37</v>
      </c>
      <c r="G486" s="490">
        <v>5511.35</v>
      </c>
      <c r="H486" s="489" t="str">
        <f>VLOOKUP(A486,'TB - Expense Data'!$H$3:$I$757,2,FALSE)</f>
        <v>POSTAGE</v>
      </c>
    </row>
    <row r="487" spans="1:8" x14ac:dyDescent="0.25">
      <c r="A487" s="489" t="s">
        <v>772</v>
      </c>
      <c r="B487" s="489" t="s">
        <v>47</v>
      </c>
      <c r="C487" s="490">
        <v>2600</v>
      </c>
      <c r="D487" s="490">
        <v>0</v>
      </c>
      <c r="E487" s="490">
        <v>2045.46</v>
      </c>
      <c r="F487" s="490">
        <v>170</v>
      </c>
      <c r="G487" s="490">
        <v>1875.46</v>
      </c>
      <c r="H487" s="489" t="str">
        <f>VLOOKUP(A487,'TB - Expense Data'!$H$3:$I$757,2,FALSE)</f>
        <v>PRINTING</v>
      </c>
    </row>
    <row r="488" spans="1:8" x14ac:dyDescent="0.25">
      <c r="A488" s="489" t="s">
        <v>766</v>
      </c>
      <c r="B488" s="489" t="s">
        <v>48</v>
      </c>
      <c r="C488" s="490">
        <v>3900</v>
      </c>
      <c r="D488" s="490">
        <v>0</v>
      </c>
      <c r="E488" s="490">
        <v>1457.65</v>
      </c>
      <c r="F488" s="490">
        <v>504</v>
      </c>
      <c r="G488" s="490">
        <v>953.65</v>
      </c>
      <c r="H488" s="489" t="str">
        <f>VLOOKUP(A488,'TB - Expense Data'!$H$3:$I$757,2,FALSE)</f>
        <v>OFFICE SUPPLY</v>
      </c>
    </row>
    <row r="489" spans="1:8" x14ac:dyDescent="0.25">
      <c r="A489" s="489" t="s">
        <v>750</v>
      </c>
      <c r="B489" s="489" t="s">
        <v>49</v>
      </c>
      <c r="C489" s="490">
        <v>10400</v>
      </c>
      <c r="D489" s="490">
        <v>0</v>
      </c>
      <c r="E489" s="490">
        <v>2555.1799999999998</v>
      </c>
      <c r="F489" s="490">
        <v>0</v>
      </c>
      <c r="G489" s="490">
        <v>2555.1799999999998</v>
      </c>
      <c r="H489" s="489" t="str">
        <f>VLOOKUP(A489,'TB - Expense Data'!$H$3:$I$757,2,FALSE)</f>
        <v>GENERAL SUPPLY</v>
      </c>
    </row>
    <row r="490" spans="1:8" x14ac:dyDescent="0.25">
      <c r="A490" s="489" t="s">
        <v>739</v>
      </c>
      <c r="B490" s="489" t="s">
        <v>50</v>
      </c>
      <c r="C490" s="490">
        <v>14560</v>
      </c>
      <c r="D490" s="490">
        <v>0</v>
      </c>
      <c r="E490" s="490">
        <v>4498.38</v>
      </c>
      <c r="F490" s="490">
        <v>0</v>
      </c>
      <c r="G490" s="490">
        <v>4498.38</v>
      </c>
      <c r="H490" s="489" t="str">
        <f>VLOOKUP(A490,'TB - Expense Data'!$H$3:$I$757,2,FALSE)</f>
        <v>COMPUTERS/DATA PROCESSING</v>
      </c>
    </row>
    <row r="491" spans="1:8" x14ac:dyDescent="0.25">
      <c r="A491" s="489" t="s">
        <v>1068</v>
      </c>
      <c r="B491" s="489" t="s">
        <v>1061</v>
      </c>
      <c r="C491" s="490">
        <v>15600</v>
      </c>
      <c r="D491" s="490">
        <v>0</v>
      </c>
      <c r="E491" s="490">
        <v>8809.9500000000007</v>
      </c>
      <c r="F491" s="490">
        <v>0</v>
      </c>
      <c r="G491" s="490">
        <v>8809.9500000000007</v>
      </c>
      <c r="H491" s="489" t="str">
        <f>VLOOKUP(A491,'TB - Expense Data'!$H$3:$I$757,2,FALSE)</f>
        <v>SOFTWARE AND LICENSING</v>
      </c>
    </row>
    <row r="492" spans="1:8" x14ac:dyDescent="0.25">
      <c r="A492" s="489" t="s">
        <v>728</v>
      </c>
      <c r="B492" s="489" t="s">
        <v>51</v>
      </c>
      <c r="C492" s="490">
        <v>6240</v>
      </c>
      <c r="D492" s="490">
        <v>0</v>
      </c>
      <c r="E492" s="490">
        <v>1963.97</v>
      </c>
      <c r="F492" s="490">
        <v>0</v>
      </c>
      <c r="G492" s="490">
        <v>1963.97</v>
      </c>
      <c r="H492" s="489" t="str">
        <f>VLOOKUP(A492,'TB - Expense Data'!$H$3:$I$757,2,FALSE)</f>
        <v>ADVERTISEMENT</v>
      </c>
    </row>
    <row r="493" spans="1:8" x14ac:dyDescent="0.25">
      <c r="A493" s="489" t="s">
        <v>760</v>
      </c>
      <c r="B493" s="489" t="s">
        <v>164</v>
      </c>
      <c r="C493" s="490">
        <v>31200</v>
      </c>
      <c r="D493" s="490">
        <v>0</v>
      </c>
      <c r="E493" s="490">
        <v>20238.53</v>
      </c>
      <c r="F493" s="490">
        <v>0</v>
      </c>
      <c r="G493" s="490">
        <v>20238.53</v>
      </c>
      <c r="H493" s="489" t="str">
        <f>VLOOKUP(A493,'TB - Expense Data'!$H$3:$I$757,2,FALSE)</f>
        <v>MAINTENANCE AGREEMENTS</v>
      </c>
    </row>
    <row r="494" spans="1:8" x14ac:dyDescent="0.25">
      <c r="A494" s="489" t="s">
        <v>751</v>
      </c>
      <c r="B494" s="489" t="s">
        <v>165</v>
      </c>
      <c r="C494" s="490">
        <v>3120</v>
      </c>
      <c r="D494" s="490">
        <v>0</v>
      </c>
      <c r="E494" s="490">
        <v>980.29</v>
      </c>
      <c r="F494" s="490">
        <v>43.43</v>
      </c>
      <c r="G494" s="490">
        <v>936.86</v>
      </c>
      <c r="H494" s="489" t="str">
        <f>VLOOKUP(A494,'TB - Expense Data'!$H$3:$I$757,2,FALSE)</f>
        <v>HOSPITALITY &amp; AWARDS</v>
      </c>
    </row>
    <row r="495" spans="1:8" x14ac:dyDescent="0.25">
      <c r="A495" s="489" t="s">
        <v>1069</v>
      </c>
      <c r="B495" s="489" t="s">
        <v>1063</v>
      </c>
      <c r="C495" s="490">
        <v>4940</v>
      </c>
      <c r="D495" s="490">
        <v>0</v>
      </c>
      <c r="E495" s="490">
        <v>1866.8</v>
      </c>
      <c r="F495" s="490">
        <v>0</v>
      </c>
      <c r="G495" s="490">
        <v>1866.8</v>
      </c>
      <c r="H495" s="489" t="str">
        <f>VLOOKUP(A495,'TB - Expense Data'!$H$3:$I$757,2,FALSE)</f>
        <v>BOARD MEETING VIDEO RECORDING</v>
      </c>
    </row>
    <row r="496" spans="1:8" x14ac:dyDescent="0.25">
      <c r="A496" s="489" t="s">
        <v>727</v>
      </c>
      <c r="B496" s="489" t="s">
        <v>166</v>
      </c>
      <c r="C496" s="490">
        <v>18200</v>
      </c>
      <c r="D496" s="490">
        <v>0</v>
      </c>
      <c r="E496" s="490">
        <v>12838.45</v>
      </c>
      <c r="F496" s="490">
        <v>0</v>
      </c>
      <c r="G496" s="490">
        <v>12838.45</v>
      </c>
      <c r="H496" s="489" t="str">
        <f>VLOOKUP(A496,'TB - Expense Data'!$H$3:$I$757,2,FALSE)</f>
        <v>ACCOUNTING SERVICES</v>
      </c>
    </row>
    <row r="497" spans="1:8" x14ac:dyDescent="0.25">
      <c r="A497" s="489" t="s">
        <v>742</v>
      </c>
      <c r="B497" s="489" t="s">
        <v>52</v>
      </c>
      <c r="C497" s="490">
        <v>89680</v>
      </c>
      <c r="D497" s="490">
        <v>0</v>
      </c>
      <c r="E497" s="490">
        <v>37325.129999999997</v>
      </c>
      <c r="F497" s="490">
        <v>1989</v>
      </c>
      <c r="G497" s="490">
        <v>35336.129999999997</v>
      </c>
      <c r="H497" s="489" t="str">
        <f>VLOOKUP(A497,'TB - Expense Data'!$H$3:$I$757,2,FALSE)</f>
        <v>CONSULTING SERVICES</v>
      </c>
    </row>
    <row r="498" spans="1:8" x14ac:dyDescent="0.25">
      <c r="A498" s="489" t="s">
        <v>757</v>
      </c>
      <c r="B498" s="489" t="s">
        <v>167</v>
      </c>
      <c r="C498" s="490">
        <v>108560</v>
      </c>
      <c r="D498" s="490">
        <v>0</v>
      </c>
      <c r="E498" s="490">
        <v>74531.289999999994</v>
      </c>
      <c r="F498" s="490">
        <v>7042.86</v>
      </c>
      <c r="G498" s="490">
        <v>67488.429999999993</v>
      </c>
      <c r="H498" s="489" t="str">
        <f>VLOOKUP(A498,'TB - Expense Data'!$H$3:$I$757,2,FALSE)</f>
        <v>LEGAL FEES</v>
      </c>
    </row>
    <row r="499" spans="1:8" x14ac:dyDescent="0.25">
      <c r="A499" s="489" t="s">
        <v>2727</v>
      </c>
      <c r="B499" s="489" t="s">
        <v>2267</v>
      </c>
      <c r="C499" s="490">
        <v>16000</v>
      </c>
      <c r="D499" s="490">
        <v>0</v>
      </c>
      <c r="E499" s="490">
        <v>0</v>
      </c>
      <c r="F499" s="490">
        <v>0</v>
      </c>
      <c r="G499" s="490">
        <v>0</v>
      </c>
      <c r="H499" s="489" t="str">
        <f>VLOOKUP(A499,'TB - Expense Data'!$H$3:$I$757,2,FALSE)</f>
        <v>WATER AUGMENTATION EXPENSE</v>
      </c>
    </row>
    <row r="500" spans="1:8" x14ac:dyDescent="0.25">
      <c r="A500" s="489" t="s">
        <v>741</v>
      </c>
      <c r="B500" s="489" t="s">
        <v>1151</v>
      </c>
      <c r="C500" s="490">
        <v>4400</v>
      </c>
      <c r="D500" s="490">
        <v>0</v>
      </c>
      <c r="E500" s="490">
        <v>1142.4000000000001</v>
      </c>
      <c r="F500" s="490">
        <v>0</v>
      </c>
      <c r="G500" s="490">
        <v>1142.4000000000001</v>
      </c>
      <c r="H500" s="489" t="str">
        <f>VLOOKUP(A500,'TB - Expense Data'!$H$3:$I$757,2,FALSE)</f>
        <v>CONFERENCES</v>
      </c>
    </row>
    <row r="501" spans="1:8" x14ac:dyDescent="0.25">
      <c r="A501" s="489" t="s">
        <v>740</v>
      </c>
      <c r="B501" s="489" t="s">
        <v>180</v>
      </c>
      <c r="C501" s="490">
        <v>1560</v>
      </c>
      <c r="D501" s="490">
        <v>0</v>
      </c>
      <c r="E501" s="490">
        <v>655.20000000000005</v>
      </c>
      <c r="F501" s="490">
        <v>0</v>
      </c>
      <c r="G501" s="490">
        <v>655.20000000000005</v>
      </c>
      <c r="H501" s="489" t="str">
        <f>VLOOKUP(A501,'TB - Expense Data'!$H$3:$I$757,2,FALSE)</f>
        <v>CONFERENCE (BOD)</v>
      </c>
    </row>
    <row r="502" spans="1:8" x14ac:dyDescent="0.25">
      <c r="A502" s="489" t="s">
        <v>745</v>
      </c>
      <c r="B502" s="489" t="s">
        <v>1152</v>
      </c>
      <c r="C502" s="490">
        <v>25500</v>
      </c>
      <c r="D502" s="490">
        <v>0</v>
      </c>
      <c r="E502" s="490">
        <v>3780.36</v>
      </c>
      <c r="F502" s="490">
        <v>0</v>
      </c>
      <c r="G502" s="490">
        <v>3780.36</v>
      </c>
      <c r="H502" s="489" t="str">
        <f>VLOOKUP(A502,'TB - Expense Data'!$H$3:$I$757,2,FALSE)</f>
        <v>EDUCATION/ TRAINING</v>
      </c>
    </row>
    <row r="503" spans="1:8" x14ac:dyDescent="0.25">
      <c r="A503" s="489" t="s">
        <v>779</v>
      </c>
      <c r="B503" s="489" t="s">
        <v>53</v>
      </c>
      <c r="C503" s="490">
        <v>5750</v>
      </c>
      <c r="D503" s="490">
        <v>0</v>
      </c>
      <c r="E503" s="490">
        <v>2705.42</v>
      </c>
      <c r="F503" s="490">
        <v>403.89</v>
      </c>
      <c r="G503" s="490">
        <v>2301.5300000000002</v>
      </c>
      <c r="H503" s="489" t="str">
        <f>VLOOKUP(A503,'TB - Expense Data'!$H$3:$I$757,2,FALSE)</f>
        <v>TRAVEL</v>
      </c>
    </row>
    <row r="504" spans="1:8" x14ac:dyDescent="0.25">
      <c r="A504" s="489" t="s">
        <v>775</v>
      </c>
      <c r="B504" s="489" t="s">
        <v>71</v>
      </c>
      <c r="C504" s="490">
        <v>2600</v>
      </c>
      <c r="D504" s="490">
        <v>0</v>
      </c>
      <c r="E504" s="490">
        <v>663.44</v>
      </c>
      <c r="F504" s="490">
        <v>0</v>
      </c>
      <c r="G504" s="490">
        <v>663.44</v>
      </c>
      <c r="H504" s="489" t="str">
        <f>VLOOKUP(A504,'TB - Expense Data'!$H$3:$I$757,2,FALSE)</f>
        <v>SAFETY</v>
      </c>
    </row>
    <row r="505" spans="1:8" x14ac:dyDescent="0.25">
      <c r="A505" s="489" t="s">
        <v>764</v>
      </c>
      <c r="B505" s="489" t="s">
        <v>54</v>
      </c>
      <c r="C505" s="490">
        <v>15000</v>
      </c>
      <c r="D505" s="490">
        <v>0</v>
      </c>
      <c r="E505" s="490">
        <v>1242.32</v>
      </c>
      <c r="F505" s="490">
        <v>0</v>
      </c>
      <c r="G505" s="490">
        <v>1242.32</v>
      </c>
      <c r="H505" s="489" t="str">
        <f>VLOOKUP(A505,'TB - Expense Data'!$H$3:$I$757,2,FALSE)</f>
        <v>MEMBERSHIPS &amp; DUES</v>
      </c>
    </row>
    <row r="506" spans="1:8" x14ac:dyDescent="0.25">
      <c r="A506" s="489" t="s">
        <v>769</v>
      </c>
      <c r="B506" s="489" t="s">
        <v>170</v>
      </c>
      <c r="C506" s="490">
        <v>29120</v>
      </c>
      <c r="D506" s="490">
        <v>0</v>
      </c>
      <c r="E506" s="490">
        <v>13145.19</v>
      </c>
      <c r="F506" s="490">
        <v>0</v>
      </c>
      <c r="G506" s="490">
        <v>13145.19</v>
      </c>
      <c r="H506" s="489" t="str">
        <f>VLOOKUP(A506,'TB - Expense Data'!$H$3:$I$757,2,FALSE)</f>
        <v>PERMITS</v>
      </c>
    </row>
    <row r="507" spans="1:8" x14ac:dyDescent="0.25">
      <c r="A507" s="489" t="s">
        <v>732</v>
      </c>
      <c r="B507" s="489" t="s">
        <v>171</v>
      </c>
      <c r="C507" s="490">
        <v>28600</v>
      </c>
      <c r="D507" s="490">
        <v>0</v>
      </c>
      <c r="E507" s="490">
        <v>17007.5</v>
      </c>
      <c r="F507" s="490">
        <v>108.37</v>
      </c>
      <c r="G507" s="490">
        <v>16899.13</v>
      </c>
      <c r="H507" s="489" t="str">
        <f>VLOOKUP(A507,'TB - Expense Data'!$H$3:$I$757,2,FALSE)</f>
        <v>BANK &amp; ADMINISTRATION FEE</v>
      </c>
    </row>
    <row r="508" spans="1:8" x14ac:dyDescent="0.25">
      <c r="A508" s="489" t="s">
        <v>733</v>
      </c>
      <c r="B508" s="489" t="s">
        <v>172</v>
      </c>
      <c r="C508" s="490">
        <v>624</v>
      </c>
      <c r="D508" s="490">
        <v>0</v>
      </c>
      <c r="E508" s="490">
        <v>0</v>
      </c>
      <c r="F508" s="490">
        <v>0</v>
      </c>
      <c r="G508" s="490">
        <v>0</v>
      </c>
      <c r="H508" s="489" t="str">
        <f>VLOOKUP(A508,'TB - Expense Data'!$H$3:$I$757,2,FALSE)</f>
        <v>BANK FEE -  2006 BOND</v>
      </c>
    </row>
    <row r="509" spans="1:8" x14ac:dyDescent="0.25">
      <c r="A509" s="489" t="s">
        <v>734</v>
      </c>
      <c r="B509" s="489" t="s">
        <v>621</v>
      </c>
      <c r="C509" s="490">
        <v>624</v>
      </c>
      <c r="D509" s="490">
        <v>0</v>
      </c>
      <c r="E509" s="490">
        <v>0</v>
      </c>
      <c r="F509" s="490">
        <v>0</v>
      </c>
      <c r="G509" s="490">
        <v>0</v>
      </c>
      <c r="H509" s="489" t="str">
        <f>VLOOKUP(A509,'TB - Expense Data'!$H$3:$I$757,2,FALSE)</f>
        <v>BANK FEE - 2010 BOND</v>
      </c>
    </row>
    <row r="510" spans="1:8" x14ac:dyDescent="0.25">
      <c r="A510" s="489" t="s">
        <v>753</v>
      </c>
      <c r="B510" s="489" t="s">
        <v>2272</v>
      </c>
      <c r="C510" s="490">
        <v>520</v>
      </c>
      <c r="D510" s="490">
        <v>0</v>
      </c>
      <c r="E510" s="490">
        <v>61.57</v>
      </c>
      <c r="F510" s="490">
        <v>0</v>
      </c>
      <c r="G510" s="490">
        <v>61.57</v>
      </c>
      <c r="H510" s="489" t="str">
        <f>VLOOKUP(A510,'TB - Expense Data'!$H$3:$I$757,2,FALSE)</f>
        <v>INTEREST EXPENSE</v>
      </c>
    </row>
    <row r="511" spans="1:8" x14ac:dyDescent="0.25">
      <c r="A511" s="489" t="s">
        <v>726</v>
      </c>
      <c r="B511" s="489" t="s">
        <v>612</v>
      </c>
      <c r="C511" s="490">
        <v>130425</v>
      </c>
      <c r="D511" s="490">
        <v>0</v>
      </c>
      <c r="E511" s="490">
        <v>65212.5</v>
      </c>
      <c r="F511" s="490">
        <v>10869</v>
      </c>
      <c r="G511" s="490">
        <v>54343.5</v>
      </c>
      <c r="H511" s="489" t="str">
        <f>VLOOKUP(A511,'TB - Expense Data'!$H$3:$I$757,2,FALSE)</f>
        <v>2010 BOND INTEREST EXPENSE</v>
      </c>
    </row>
    <row r="512" spans="1:8" x14ac:dyDescent="0.25">
      <c r="A512" s="489" t="s">
        <v>752</v>
      </c>
      <c r="B512" s="489" t="s">
        <v>173</v>
      </c>
      <c r="C512" s="490">
        <v>2800</v>
      </c>
      <c r="D512" s="490">
        <v>0</v>
      </c>
      <c r="E512" s="490">
        <v>85.61</v>
      </c>
      <c r="F512" s="490">
        <v>0</v>
      </c>
      <c r="G512" s="490">
        <v>85.61</v>
      </c>
      <c r="H512" s="489" t="str">
        <f>VLOOKUP(A512,'TB - Expense Data'!$H$3:$I$757,2,FALSE)</f>
        <v>INTEREST - INTERNAL LOAN</v>
      </c>
    </row>
    <row r="513" spans="1:8" x14ac:dyDescent="0.25">
      <c r="A513" s="489" t="s">
        <v>725</v>
      </c>
      <c r="B513" s="489" t="s">
        <v>1075</v>
      </c>
      <c r="C513" s="490">
        <v>890457</v>
      </c>
      <c r="D513" s="490">
        <v>0</v>
      </c>
      <c r="E513" s="490">
        <v>445228.27</v>
      </c>
      <c r="F513" s="490">
        <v>75255</v>
      </c>
      <c r="G513" s="490">
        <v>369973.27</v>
      </c>
      <c r="H513" s="489" t="str">
        <f>VLOOKUP(A513,'TB - Expense Data'!$H$3:$I$757,2,FALSE)</f>
        <v>2006 BOND INTEREST EXPENSE</v>
      </c>
    </row>
    <row r="514" spans="1:8" x14ac:dyDescent="0.25">
      <c r="A514" s="489" t="s">
        <v>755</v>
      </c>
      <c r="B514" s="489" t="s">
        <v>185</v>
      </c>
      <c r="C514" s="490">
        <v>22000</v>
      </c>
      <c r="D514" s="490">
        <v>0</v>
      </c>
      <c r="E514" s="490">
        <v>11250.82</v>
      </c>
      <c r="F514" s="490">
        <v>0</v>
      </c>
      <c r="G514" s="490">
        <v>11250.82</v>
      </c>
      <c r="H514" s="489" t="str">
        <f>VLOOKUP(A514,'TB - Expense Data'!$H$3:$I$757,2,FALSE)</f>
        <v>IOP INTEREST EXPENSE</v>
      </c>
    </row>
    <row r="515" spans="1:8" x14ac:dyDescent="0.25">
      <c r="A515" s="489" t="s">
        <v>754</v>
      </c>
      <c r="B515" s="489" t="s">
        <v>186</v>
      </c>
      <c r="C515" s="490">
        <v>9360</v>
      </c>
      <c r="D515" s="490">
        <v>0</v>
      </c>
      <c r="E515" s="490">
        <v>0</v>
      </c>
      <c r="F515" s="490">
        <v>0</v>
      </c>
      <c r="G515" s="490">
        <v>0</v>
      </c>
      <c r="H515" s="489" t="str">
        <f>VLOOKUP(A515,'TB - Expense Data'!$H$3:$I$757,2,FALSE)</f>
        <v>IOP EXPENSE</v>
      </c>
    </row>
    <row r="516" spans="1:8" x14ac:dyDescent="0.25">
      <c r="A516" s="489" t="s">
        <v>749</v>
      </c>
      <c r="B516" s="489" t="s">
        <v>175</v>
      </c>
      <c r="C516" s="490">
        <v>270000</v>
      </c>
      <c r="D516" s="490">
        <v>0</v>
      </c>
      <c r="E516" s="490">
        <v>138650.09</v>
      </c>
      <c r="F516" s="490">
        <v>0</v>
      </c>
      <c r="G516" s="490">
        <v>138650.09</v>
      </c>
      <c r="H516" s="489" t="str">
        <f>VLOOKUP(A516,'TB - Expense Data'!$H$3:$I$757,2,FALSE)</f>
        <v>FRANCHISE FEE</v>
      </c>
    </row>
    <row r="517" spans="1:8" x14ac:dyDescent="0.25">
      <c r="A517" s="489" t="s">
        <v>748</v>
      </c>
      <c r="B517" s="489" t="s">
        <v>1192</v>
      </c>
      <c r="C517" s="490">
        <v>25000</v>
      </c>
      <c r="D517" s="490">
        <v>0</v>
      </c>
      <c r="E517" s="490">
        <v>25000</v>
      </c>
      <c r="F517" s="490">
        <v>0</v>
      </c>
      <c r="G517" s="490">
        <v>25000</v>
      </c>
      <c r="H517" s="489" t="str">
        <f>VLOOKUP(A517,'TB - Expense Data'!$H$3:$I$757,2,FALSE)</f>
        <v>FORA ADMIN/ LIAISON FEES</v>
      </c>
    </row>
    <row r="518" spans="1:8" x14ac:dyDescent="0.25">
      <c r="A518" s="489" t="s">
        <v>763</v>
      </c>
      <c r="B518" s="489" t="s">
        <v>1193</v>
      </c>
      <c r="C518" s="490">
        <v>37000</v>
      </c>
      <c r="D518" s="490">
        <v>0</v>
      </c>
      <c r="E518" s="490">
        <v>37000</v>
      </c>
      <c r="F518" s="490">
        <v>0</v>
      </c>
      <c r="G518" s="490">
        <v>37000</v>
      </c>
      <c r="H518" s="489" t="str">
        <f>VLOOKUP(A518,'TB - Expense Data'!$H$3:$I$757,2,FALSE)</f>
        <v>MEMBERSHIP - FORA BOARD</v>
      </c>
    </row>
    <row r="519" spans="1:8" x14ac:dyDescent="0.25">
      <c r="A519" s="489" t="s">
        <v>731</v>
      </c>
      <c r="B519" s="489" t="s">
        <v>178</v>
      </c>
      <c r="C519" s="490">
        <v>520</v>
      </c>
      <c r="D519" s="490">
        <v>0</v>
      </c>
      <c r="E519" s="490">
        <v>0</v>
      </c>
      <c r="F519" s="490">
        <v>0</v>
      </c>
      <c r="G519" s="490">
        <v>0</v>
      </c>
      <c r="H519" s="489" t="str">
        <f>VLOOKUP(A519,'TB - Expense Data'!$H$3:$I$757,2,FALSE)</f>
        <v>BAD DEBT EXPENSE</v>
      </c>
    </row>
    <row r="520" spans="1:8" x14ac:dyDescent="0.25">
      <c r="A520" s="489" t="s">
        <v>283</v>
      </c>
      <c r="B520" s="489" t="s">
        <v>76</v>
      </c>
      <c r="C520" s="490">
        <v>446076.68</v>
      </c>
      <c r="D520" s="490">
        <v>0</v>
      </c>
      <c r="E520" s="490">
        <v>236981.3</v>
      </c>
      <c r="F520" s="490">
        <v>19758.669999999998</v>
      </c>
      <c r="G520" s="490">
        <v>217222.63</v>
      </c>
      <c r="H520" s="489" t="str">
        <f>VLOOKUP(A520,'TB - Expense Data'!$H$3:$I$757,2,FALSE)</f>
        <v>WAGES - OPM</v>
      </c>
    </row>
    <row r="521" spans="1:8" x14ac:dyDescent="0.25">
      <c r="A521" s="489" t="s">
        <v>284</v>
      </c>
      <c r="B521" s="489" t="s">
        <v>37</v>
      </c>
      <c r="C521" s="490">
        <v>14003.76</v>
      </c>
      <c r="D521" s="490">
        <v>0</v>
      </c>
      <c r="E521" s="490">
        <v>4011.59</v>
      </c>
      <c r="F521" s="490">
        <v>92.28</v>
      </c>
      <c r="G521" s="490">
        <v>3919.31</v>
      </c>
      <c r="H521" s="489" t="str">
        <f>VLOOKUP(A521,'TB - Expense Data'!$H$3:$I$757,2,FALSE)</f>
        <v>OVERTIME</v>
      </c>
    </row>
    <row r="522" spans="1:8" x14ac:dyDescent="0.25">
      <c r="A522" s="489" t="s">
        <v>285</v>
      </c>
      <c r="B522" s="489" t="s">
        <v>1076</v>
      </c>
      <c r="C522" s="490">
        <v>11065.6</v>
      </c>
      <c r="D522" s="490">
        <v>0</v>
      </c>
      <c r="E522" s="490">
        <v>3640</v>
      </c>
      <c r="F522" s="490">
        <v>280</v>
      </c>
      <c r="G522" s="490">
        <v>3360</v>
      </c>
      <c r="H522" s="489" t="str">
        <f>VLOOKUP(A522,'TB - Expense Data'!$H$3:$I$757,2,FALSE)</f>
        <v>STANDBY WAGES</v>
      </c>
    </row>
    <row r="523" spans="1:8" x14ac:dyDescent="0.25">
      <c r="A523" s="489" t="s">
        <v>286</v>
      </c>
      <c r="B523" s="489" t="s">
        <v>153</v>
      </c>
      <c r="C523" s="490">
        <v>29210.98</v>
      </c>
      <c r="D523" s="490">
        <v>0</v>
      </c>
      <c r="E523" s="490">
        <v>14746.36</v>
      </c>
      <c r="F523" s="490">
        <v>1184.94</v>
      </c>
      <c r="G523" s="490">
        <v>13561.42</v>
      </c>
      <c r="H523" s="489" t="str">
        <f>VLOOKUP(A523,'TB - Expense Data'!$H$3:$I$757,2,FALSE)</f>
        <v>FICA EXPENSE</v>
      </c>
    </row>
    <row r="524" spans="1:8" x14ac:dyDescent="0.25">
      <c r="A524" s="489" t="s">
        <v>287</v>
      </c>
      <c r="B524" s="489" t="s">
        <v>154</v>
      </c>
      <c r="C524" s="490">
        <v>6831.64</v>
      </c>
      <c r="D524" s="490">
        <v>0</v>
      </c>
      <c r="E524" s="490">
        <v>3517.92</v>
      </c>
      <c r="F524" s="490">
        <v>277.13</v>
      </c>
      <c r="G524" s="490">
        <v>3240.79</v>
      </c>
      <c r="H524" s="489" t="str">
        <f>VLOOKUP(A524,'TB - Expense Data'!$H$3:$I$757,2,FALSE)</f>
        <v>MEDI EXPENSE</v>
      </c>
    </row>
    <row r="525" spans="1:8" x14ac:dyDescent="0.25">
      <c r="A525" s="489" t="s">
        <v>288</v>
      </c>
      <c r="B525" s="489" t="s">
        <v>38</v>
      </c>
      <c r="C525" s="490">
        <v>129845.62</v>
      </c>
      <c r="D525" s="490">
        <v>0</v>
      </c>
      <c r="E525" s="490">
        <v>64933.18</v>
      </c>
      <c r="F525" s="490">
        <v>0</v>
      </c>
      <c r="G525" s="490">
        <v>64933.18</v>
      </c>
      <c r="H525" s="489" t="str">
        <f>VLOOKUP(A525,'TB - Expense Data'!$H$3:$I$757,2,FALSE)</f>
        <v>MEDICAL INSURANCE</v>
      </c>
    </row>
    <row r="526" spans="1:8" x14ac:dyDescent="0.25">
      <c r="A526" s="489" t="s">
        <v>289</v>
      </c>
      <c r="B526" s="489" t="s">
        <v>77</v>
      </c>
      <c r="C526" s="490">
        <v>7421.4</v>
      </c>
      <c r="D526" s="490">
        <v>0</v>
      </c>
      <c r="E526" s="490">
        <v>3755.84</v>
      </c>
      <c r="F526" s="490">
        <v>0</v>
      </c>
      <c r="G526" s="490">
        <v>3755.84</v>
      </c>
      <c r="H526" s="489" t="str">
        <f>VLOOKUP(A526,'TB - Expense Data'!$H$3:$I$757,2,FALSE)</f>
        <v>DENTAL INSURANCE</v>
      </c>
    </row>
    <row r="527" spans="1:8" x14ac:dyDescent="0.25">
      <c r="A527" s="489" t="s">
        <v>290</v>
      </c>
      <c r="B527" s="489" t="s">
        <v>78</v>
      </c>
      <c r="C527" s="490">
        <v>1310.6199999999999</v>
      </c>
      <c r="D527" s="490">
        <v>0</v>
      </c>
      <c r="E527" s="490">
        <v>708.48</v>
      </c>
      <c r="F527" s="490">
        <v>0</v>
      </c>
      <c r="G527" s="490">
        <v>708.48</v>
      </c>
      <c r="H527" s="489" t="str">
        <f>VLOOKUP(A527,'TB - Expense Data'!$H$3:$I$757,2,FALSE)</f>
        <v>VISION INSURANCE</v>
      </c>
    </row>
    <row r="528" spans="1:8" x14ac:dyDescent="0.25">
      <c r="A528" s="489" t="s">
        <v>291</v>
      </c>
      <c r="B528" s="489" t="s">
        <v>893</v>
      </c>
      <c r="C528" s="490">
        <v>18190.599999999999</v>
      </c>
      <c r="D528" s="490">
        <v>0</v>
      </c>
      <c r="E528" s="490">
        <v>9887.2000000000007</v>
      </c>
      <c r="F528" s="490">
        <v>410.85</v>
      </c>
      <c r="G528" s="490">
        <v>9476.35</v>
      </c>
      <c r="H528" s="489" t="str">
        <f>VLOOKUP(A528,'TB - Expense Data'!$H$3:$I$757,2,FALSE)</f>
        <v>WORKERS COMP INSURANCE</v>
      </c>
    </row>
    <row r="529" spans="1:8" x14ac:dyDescent="0.25">
      <c r="A529" s="489" t="s">
        <v>292</v>
      </c>
      <c r="B529" s="489" t="s">
        <v>2249</v>
      </c>
      <c r="C529" s="490">
        <v>1766.62</v>
      </c>
      <c r="D529" s="490">
        <v>0</v>
      </c>
      <c r="E529" s="490">
        <v>1618.39</v>
      </c>
      <c r="F529" s="490">
        <v>453.11</v>
      </c>
      <c r="G529" s="490">
        <v>1165.28</v>
      </c>
      <c r="H529" s="489" t="str">
        <f>VLOOKUP(A529,'TB - Expense Data'!$H$3:$I$757,2,FALSE)</f>
        <v>LIFE INUSRANCE EXPENSE</v>
      </c>
    </row>
    <row r="530" spans="1:8" x14ac:dyDescent="0.25">
      <c r="A530" s="489" t="s">
        <v>293</v>
      </c>
      <c r="B530" s="489" t="s">
        <v>64</v>
      </c>
      <c r="C530" s="490">
        <v>2584</v>
      </c>
      <c r="D530" s="490">
        <v>0</v>
      </c>
      <c r="E530" s="490">
        <v>1711.51</v>
      </c>
      <c r="F530" s="490">
        <v>0</v>
      </c>
      <c r="G530" s="490">
        <v>1711.51</v>
      </c>
      <c r="H530" s="489" t="str">
        <f>VLOOKUP(A530,'TB - Expense Data'!$H$3:$I$757,2,FALSE)</f>
        <v>UNIFORM BENEFIT</v>
      </c>
    </row>
    <row r="531" spans="1:8" x14ac:dyDescent="0.25">
      <c r="A531" s="489" t="s">
        <v>294</v>
      </c>
      <c r="B531" s="489" t="s">
        <v>65</v>
      </c>
      <c r="C531" s="490">
        <v>1292</v>
      </c>
      <c r="D531" s="490">
        <v>0</v>
      </c>
      <c r="E531" s="490">
        <v>452.87</v>
      </c>
      <c r="F531" s="490">
        <v>0</v>
      </c>
      <c r="G531" s="490">
        <v>452.87</v>
      </c>
      <c r="H531" s="489" t="str">
        <f>VLOOKUP(A531,'TB - Expense Data'!$H$3:$I$757,2,FALSE)</f>
        <v>BOOT BENEFIT</v>
      </c>
    </row>
    <row r="532" spans="1:8" x14ac:dyDescent="0.25">
      <c r="A532" s="489" t="s">
        <v>295</v>
      </c>
      <c r="B532" s="489" t="s">
        <v>40</v>
      </c>
      <c r="C532" s="490">
        <v>1999.18</v>
      </c>
      <c r="D532" s="490">
        <v>0</v>
      </c>
      <c r="E532" s="490">
        <v>12.45</v>
      </c>
      <c r="F532" s="490">
        <v>0</v>
      </c>
      <c r="G532" s="490">
        <v>12.45</v>
      </c>
      <c r="H532" s="489" t="str">
        <f>VLOOKUP(A532,'TB - Expense Data'!$H$3:$I$757,2,FALSE)</f>
        <v>SUI EXPENSE</v>
      </c>
    </row>
    <row r="533" spans="1:8" x14ac:dyDescent="0.25">
      <c r="A533" s="489" t="s">
        <v>296</v>
      </c>
      <c r="B533" s="489" t="s">
        <v>41</v>
      </c>
      <c r="C533" s="490">
        <v>44.46</v>
      </c>
      <c r="D533" s="490">
        <v>0</v>
      </c>
      <c r="E533" s="490">
        <v>0</v>
      </c>
      <c r="F533" s="490">
        <v>0</v>
      </c>
      <c r="G533" s="490">
        <v>0</v>
      </c>
      <c r="H533" s="489" t="str">
        <f>VLOOKUP(A533,'TB - Expense Data'!$H$3:$I$757,2,FALSE)</f>
        <v>ETT EXPENSE</v>
      </c>
    </row>
    <row r="534" spans="1:8" x14ac:dyDescent="0.25">
      <c r="A534" s="489" t="s">
        <v>297</v>
      </c>
      <c r="B534" s="489" t="s">
        <v>42</v>
      </c>
      <c r="C534" s="490">
        <v>1388.52</v>
      </c>
      <c r="D534" s="490">
        <v>0</v>
      </c>
      <c r="E534" s="490">
        <v>860.84</v>
      </c>
      <c r="F534" s="490">
        <v>46.18</v>
      </c>
      <c r="G534" s="490">
        <v>814.66</v>
      </c>
      <c r="H534" s="489" t="str">
        <f>VLOOKUP(A534,'TB - Expense Data'!$H$3:$I$757,2,FALSE)</f>
        <v>DISABILITY PLAN</v>
      </c>
    </row>
    <row r="535" spans="1:8" x14ac:dyDescent="0.25">
      <c r="A535" s="489" t="s">
        <v>298</v>
      </c>
      <c r="B535" s="489" t="s">
        <v>2252</v>
      </c>
      <c r="C535" s="490">
        <v>40444.92</v>
      </c>
      <c r="D535" s="490">
        <v>0</v>
      </c>
      <c r="E535" s="490">
        <v>20610.48</v>
      </c>
      <c r="F535" s="490">
        <v>1699.61</v>
      </c>
      <c r="G535" s="490">
        <v>18910.87</v>
      </c>
      <c r="H535" s="489" t="str">
        <f>VLOOKUP(A535,'TB - Expense Data'!$H$3:$I$757,2,FALSE)</f>
        <v>CALPERS RETIREMENT</v>
      </c>
    </row>
    <row r="536" spans="1:8" x14ac:dyDescent="0.25">
      <c r="A536" s="489" t="s">
        <v>299</v>
      </c>
      <c r="B536" s="489" t="s">
        <v>44</v>
      </c>
      <c r="C536" s="490">
        <v>33411.120000000003</v>
      </c>
      <c r="D536" s="490">
        <v>0</v>
      </c>
      <c r="E536" s="490">
        <v>17078.23</v>
      </c>
      <c r="F536" s="490">
        <v>1399.96</v>
      </c>
      <c r="G536" s="490">
        <v>15678.27</v>
      </c>
      <c r="H536" s="489" t="str">
        <f>VLOOKUP(A536,'TB - Expense Data'!$H$3:$I$757,2,FALSE)</f>
        <v>CALPERS RETIREMENT (EE)</v>
      </c>
    </row>
    <row r="537" spans="1:8" x14ac:dyDescent="0.25">
      <c r="A537" s="489" t="s">
        <v>300</v>
      </c>
      <c r="B537" s="489" t="s">
        <v>183</v>
      </c>
      <c r="C537" s="490">
        <v>17100</v>
      </c>
      <c r="D537" s="490">
        <v>0</v>
      </c>
      <c r="E537" s="490">
        <v>0</v>
      </c>
      <c r="F537" s="490">
        <v>0</v>
      </c>
      <c r="G537" s="490">
        <v>0</v>
      </c>
      <c r="H537" s="489" t="str">
        <f>VLOOKUP(A537,'TB - Expense Data'!$H$3:$I$757,2,FALSE)</f>
        <v>OPEB EXPENSE</v>
      </c>
    </row>
    <row r="538" spans="1:8" x14ac:dyDescent="0.25">
      <c r="A538" s="489" t="s">
        <v>301</v>
      </c>
      <c r="B538" s="489" t="s">
        <v>1161</v>
      </c>
      <c r="C538" s="490">
        <v>884</v>
      </c>
      <c r="D538" s="490">
        <v>0</v>
      </c>
      <c r="E538" s="490">
        <v>0</v>
      </c>
      <c r="F538" s="490">
        <v>0</v>
      </c>
      <c r="G538" s="490">
        <v>0</v>
      </c>
      <c r="H538" s="489" t="str">
        <f>VLOOKUP(A538,'TB - Expense Data'!$H$3:$I$757,2,FALSE)</f>
        <v>BOOKS &amp; REF MATERIALS</v>
      </c>
    </row>
    <row r="539" spans="1:8" x14ac:dyDescent="0.25">
      <c r="A539" s="489" t="s">
        <v>302</v>
      </c>
      <c r="B539" s="489" t="s">
        <v>48</v>
      </c>
      <c r="C539" s="490">
        <v>520</v>
      </c>
      <c r="D539" s="490">
        <v>0</v>
      </c>
      <c r="E539" s="490">
        <v>0</v>
      </c>
      <c r="F539" s="490">
        <v>0</v>
      </c>
      <c r="G539" s="490">
        <v>0</v>
      </c>
      <c r="H539" s="489" t="str">
        <f>VLOOKUP(A539,'TB - Expense Data'!$H$3:$I$757,2,FALSE)</f>
        <v>OFFICE SUPPLY</v>
      </c>
    </row>
    <row r="540" spans="1:8" x14ac:dyDescent="0.25">
      <c r="A540" s="489" t="s">
        <v>304</v>
      </c>
      <c r="B540" s="489" t="s">
        <v>54</v>
      </c>
      <c r="C540" s="490">
        <v>3380</v>
      </c>
      <c r="D540" s="490">
        <v>0</v>
      </c>
      <c r="E540" s="490">
        <v>838.64</v>
      </c>
      <c r="F540" s="490">
        <v>0</v>
      </c>
      <c r="G540" s="490">
        <v>838.64</v>
      </c>
      <c r="H540" s="489" t="str">
        <f>VLOOKUP(A540,'TB - Expense Data'!$H$3:$I$757,2,FALSE)</f>
        <v>MEMBERSHIPS &amp; DUES</v>
      </c>
    </row>
    <row r="541" spans="1:8" x14ac:dyDescent="0.25">
      <c r="A541" s="489" t="s">
        <v>305</v>
      </c>
      <c r="B541" s="489" t="s">
        <v>71</v>
      </c>
      <c r="C541" s="490">
        <v>6240</v>
      </c>
      <c r="D541" s="490">
        <v>0</v>
      </c>
      <c r="E541" s="490">
        <v>1740.21</v>
      </c>
      <c r="F541" s="490">
        <v>0</v>
      </c>
      <c r="G541" s="490">
        <v>1740.21</v>
      </c>
      <c r="H541" s="489" t="str">
        <f>VLOOKUP(A541,'TB - Expense Data'!$H$3:$I$757,2,FALSE)</f>
        <v>SAFETY</v>
      </c>
    </row>
    <row r="542" spans="1:8" x14ac:dyDescent="0.25">
      <c r="A542" s="489" t="s">
        <v>306</v>
      </c>
      <c r="B542" s="489" t="s">
        <v>80</v>
      </c>
      <c r="C542" s="490">
        <v>2600</v>
      </c>
      <c r="D542" s="490">
        <v>0</v>
      </c>
      <c r="E542" s="490">
        <v>1705.42</v>
      </c>
      <c r="F542" s="490">
        <v>0</v>
      </c>
      <c r="G542" s="490">
        <v>1705.42</v>
      </c>
      <c r="H542" s="489" t="str">
        <f>VLOOKUP(A542,'TB - Expense Data'!$H$3:$I$757,2,FALSE)</f>
        <v>SUPPLIES</v>
      </c>
    </row>
    <row r="543" spans="1:8" x14ac:dyDescent="0.25">
      <c r="A543" s="489" t="s">
        <v>307</v>
      </c>
      <c r="B543" s="489" t="s">
        <v>1163</v>
      </c>
      <c r="C543" s="490">
        <v>85800</v>
      </c>
      <c r="D543" s="490">
        <v>0</v>
      </c>
      <c r="E543" s="490">
        <v>58984.02</v>
      </c>
      <c r="F543" s="490">
        <v>7452.96</v>
      </c>
      <c r="G543" s="490">
        <v>51531.06</v>
      </c>
      <c r="H543" s="489" t="str">
        <f>VLOOKUP(A543,'TB - Expense Data'!$H$3:$I$757,2,FALSE)</f>
        <v>GENERAL O&amp;M MAINT/ EQUIP</v>
      </c>
    </row>
    <row r="544" spans="1:8" x14ac:dyDescent="0.25">
      <c r="A544" s="489" t="s">
        <v>308</v>
      </c>
      <c r="B544" s="489" t="s">
        <v>81</v>
      </c>
      <c r="C544" s="490">
        <v>78</v>
      </c>
      <c r="D544" s="490">
        <v>0</v>
      </c>
      <c r="E544" s="490">
        <v>0</v>
      </c>
      <c r="F544" s="490">
        <v>0</v>
      </c>
      <c r="G544" s="490">
        <v>0</v>
      </c>
      <c r="H544" s="489" t="str">
        <f>VLOOKUP(A544,'TB - Expense Data'!$H$3:$I$757,2,FALSE)</f>
        <v>O&amp;M POWER/GAS</v>
      </c>
    </row>
    <row r="545" spans="1:8" x14ac:dyDescent="0.25">
      <c r="A545" s="489" t="s">
        <v>309</v>
      </c>
      <c r="B545" s="489" t="s">
        <v>82</v>
      </c>
      <c r="C545" s="490">
        <v>8580</v>
      </c>
      <c r="D545" s="490">
        <v>0</v>
      </c>
      <c r="E545" s="490">
        <v>5953.19</v>
      </c>
      <c r="F545" s="490">
        <v>0</v>
      </c>
      <c r="G545" s="490">
        <v>5953.19</v>
      </c>
      <c r="H545" s="489" t="str">
        <f>VLOOKUP(A545,'TB - Expense Data'!$H$3:$I$757,2,FALSE)</f>
        <v>LUBRICANTS</v>
      </c>
    </row>
    <row r="546" spans="1:8" x14ac:dyDescent="0.25">
      <c r="A546" s="489" t="s">
        <v>311</v>
      </c>
      <c r="B546" s="489" t="s">
        <v>83</v>
      </c>
      <c r="C546" s="490">
        <v>1820</v>
      </c>
      <c r="D546" s="490">
        <v>0</v>
      </c>
      <c r="E546" s="490">
        <v>864.53</v>
      </c>
      <c r="F546" s="490">
        <v>0</v>
      </c>
      <c r="G546" s="490">
        <v>864.53</v>
      </c>
      <c r="H546" s="489" t="str">
        <f>VLOOKUP(A546,'TB - Expense Data'!$H$3:$I$757,2,FALSE)</f>
        <v>PHONE</v>
      </c>
    </row>
    <row r="547" spans="1:8" x14ac:dyDescent="0.25">
      <c r="A547" s="489" t="s">
        <v>312</v>
      </c>
      <c r="B547" s="489" t="s">
        <v>84</v>
      </c>
      <c r="C547" s="490">
        <v>30000</v>
      </c>
      <c r="D547" s="490">
        <v>0</v>
      </c>
      <c r="E547" s="490">
        <v>20951.849999999999</v>
      </c>
      <c r="F547" s="490">
        <v>0</v>
      </c>
      <c r="G547" s="490">
        <v>20951.849999999999</v>
      </c>
      <c r="H547" s="489" t="str">
        <f>VLOOKUP(A547,'TB - Expense Data'!$H$3:$I$757,2,FALSE)</f>
        <v>METERS</v>
      </c>
    </row>
    <row r="548" spans="1:8" x14ac:dyDescent="0.25">
      <c r="A548" s="489" t="s">
        <v>958</v>
      </c>
      <c r="B548" s="489" t="s">
        <v>1086</v>
      </c>
      <c r="C548" s="490">
        <v>20800</v>
      </c>
      <c r="D548" s="490">
        <v>0</v>
      </c>
      <c r="E548" s="490">
        <v>1974.69</v>
      </c>
      <c r="F548" s="490">
        <v>0</v>
      </c>
      <c r="G548" s="490">
        <v>1974.69</v>
      </c>
      <c r="H548" s="489" t="str">
        <f>VLOOKUP(A548,'TB - Expense Data'!$H$3:$I$757,2,FALSE)</f>
        <v>MAINTENANCE MANAGEMENT SYSTEM</v>
      </c>
    </row>
    <row r="549" spans="1:8" x14ac:dyDescent="0.25">
      <c r="A549" s="489" t="s">
        <v>313</v>
      </c>
      <c r="B549" s="489" t="s">
        <v>85</v>
      </c>
      <c r="C549" s="490">
        <v>20800</v>
      </c>
      <c r="D549" s="490">
        <v>0</v>
      </c>
      <c r="E549" s="490">
        <v>5890.84</v>
      </c>
      <c r="F549" s="490">
        <v>0</v>
      </c>
      <c r="G549" s="490">
        <v>5890.84</v>
      </c>
      <c r="H549" s="489" t="str">
        <f>VLOOKUP(A549,'TB - Expense Data'!$H$3:$I$757,2,FALSE)</f>
        <v>ANNUAL MAINTENANCE PROGRAM</v>
      </c>
    </row>
    <row r="550" spans="1:8" x14ac:dyDescent="0.25">
      <c r="A550" s="489" t="s">
        <v>314</v>
      </c>
      <c r="B550" s="489" t="s">
        <v>1170</v>
      </c>
      <c r="C550" s="490">
        <v>20800</v>
      </c>
      <c r="D550" s="490">
        <v>0</v>
      </c>
      <c r="E550" s="490">
        <v>5507.52</v>
      </c>
      <c r="F550" s="490">
        <v>0</v>
      </c>
      <c r="G550" s="490">
        <v>5507.52</v>
      </c>
      <c r="H550" s="489" t="str">
        <f>VLOOKUP(A550,'TB - Expense Data'!$H$3:$I$757,2,FALSE)</f>
        <v>REAL PROPERTY MAINT</v>
      </c>
    </row>
    <row r="551" spans="1:8" x14ac:dyDescent="0.25">
      <c r="A551" s="489" t="s">
        <v>315</v>
      </c>
      <c r="B551" s="489" t="s">
        <v>55</v>
      </c>
      <c r="C551" s="490">
        <v>31200</v>
      </c>
      <c r="D551" s="490">
        <v>0</v>
      </c>
      <c r="E551" s="490">
        <v>12826.14</v>
      </c>
      <c r="F551" s="490">
        <v>430.55</v>
      </c>
      <c r="G551" s="490">
        <v>12395.59</v>
      </c>
      <c r="H551" s="489" t="str">
        <f>VLOOKUP(A551,'TB - Expense Data'!$H$3:$I$757,2,FALSE)</f>
        <v>FLEET MAINTENANCE</v>
      </c>
    </row>
    <row r="552" spans="1:8" x14ac:dyDescent="0.25">
      <c r="A552" s="489" t="s">
        <v>316</v>
      </c>
      <c r="B552" s="489" t="s">
        <v>104</v>
      </c>
      <c r="C552" s="490">
        <v>39000</v>
      </c>
      <c r="D552" s="490">
        <v>0</v>
      </c>
      <c r="E552" s="490">
        <v>0</v>
      </c>
      <c r="F552" s="490">
        <v>0</v>
      </c>
      <c r="G552" s="490">
        <v>0</v>
      </c>
      <c r="H552" s="489" t="str">
        <f>VLOOKUP(A552,'TB - Expense Data'!$H$3:$I$757,2,FALSE)</f>
        <v>TELEMETRY SYSTEM</v>
      </c>
    </row>
    <row r="553" spans="1:8" x14ac:dyDescent="0.25">
      <c r="A553" s="489" t="s">
        <v>317</v>
      </c>
      <c r="B553" s="489" t="s">
        <v>105</v>
      </c>
      <c r="C553" s="490">
        <v>5000</v>
      </c>
      <c r="D553" s="490">
        <v>0</v>
      </c>
      <c r="E553" s="490">
        <v>0</v>
      </c>
      <c r="F553" s="490">
        <v>0</v>
      </c>
      <c r="G553" s="490">
        <v>0</v>
      </c>
      <c r="H553" s="489" t="str">
        <f>VLOOKUP(A553,'TB - Expense Data'!$H$3:$I$757,2,FALSE)</f>
        <v>WELL #29 MAINT &amp; EQUIP</v>
      </c>
    </row>
    <row r="554" spans="1:8" x14ac:dyDescent="0.25">
      <c r="A554" s="489" t="s">
        <v>318</v>
      </c>
      <c r="B554" s="489" t="s">
        <v>106</v>
      </c>
      <c r="C554" s="490">
        <v>35000</v>
      </c>
      <c r="D554" s="490">
        <v>0</v>
      </c>
      <c r="E554" s="490">
        <v>14665.16</v>
      </c>
      <c r="F554" s="490">
        <v>0</v>
      </c>
      <c r="G554" s="490">
        <v>14665.16</v>
      </c>
      <c r="H554" s="489" t="str">
        <f>VLOOKUP(A554,'TB - Expense Data'!$H$3:$I$757,2,FALSE)</f>
        <v>WELL #29 POWER</v>
      </c>
    </row>
    <row r="555" spans="1:8" x14ac:dyDescent="0.25">
      <c r="A555" s="489" t="s">
        <v>319</v>
      </c>
      <c r="B555" s="489" t="s">
        <v>107</v>
      </c>
      <c r="C555" s="490">
        <v>5000</v>
      </c>
      <c r="D555" s="490">
        <v>0</v>
      </c>
      <c r="E555" s="490">
        <v>241</v>
      </c>
      <c r="F555" s="490">
        <v>0</v>
      </c>
      <c r="G555" s="490">
        <v>241</v>
      </c>
      <c r="H555" s="489" t="str">
        <f>VLOOKUP(A555,'TB - Expense Data'!$H$3:$I$757,2,FALSE)</f>
        <v>WELL #30 MAINT &amp; EQUIP</v>
      </c>
    </row>
    <row r="556" spans="1:8" x14ac:dyDescent="0.25">
      <c r="A556" s="489" t="s">
        <v>320</v>
      </c>
      <c r="B556" s="489" t="s">
        <v>108</v>
      </c>
      <c r="C556" s="490">
        <v>60000</v>
      </c>
      <c r="D556" s="490">
        <v>0</v>
      </c>
      <c r="E556" s="490">
        <v>286.94</v>
      </c>
      <c r="F556" s="490">
        <v>0</v>
      </c>
      <c r="G556" s="490">
        <v>286.94</v>
      </c>
      <c r="H556" s="489" t="str">
        <f>VLOOKUP(A556,'TB - Expense Data'!$H$3:$I$757,2,FALSE)</f>
        <v>WELL #30 POWER</v>
      </c>
    </row>
    <row r="557" spans="1:8" x14ac:dyDescent="0.25">
      <c r="A557" s="489" t="s">
        <v>321</v>
      </c>
      <c r="B557" s="489" t="s">
        <v>109</v>
      </c>
      <c r="C557" s="490">
        <v>5000</v>
      </c>
      <c r="D557" s="490">
        <v>0</v>
      </c>
      <c r="E557" s="490">
        <v>241</v>
      </c>
      <c r="F557" s="490">
        <v>0</v>
      </c>
      <c r="G557" s="490">
        <v>241</v>
      </c>
      <c r="H557" s="489" t="str">
        <f>VLOOKUP(A557,'TB - Expense Data'!$H$3:$I$757,2,FALSE)</f>
        <v>WELL #31 MAINT &amp; EQUIP</v>
      </c>
    </row>
    <row r="558" spans="1:8" x14ac:dyDescent="0.25">
      <c r="A558" s="489" t="s">
        <v>322</v>
      </c>
      <c r="B558" s="489" t="s">
        <v>110</v>
      </c>
      <c r="C558" s="490">
        <v>75000</v>
      </c>
      <c r="D558" s="490">
        <v>0</v>
      </c>
      <c r="E558" s="490">
        <v>18732.939999999999</v>
      </c>
      <c r="F558" s="490">
        <v>0</v>
      </c>
      <c r="G558" s="490">
        <v>18732.939999999999</v>
      </c>
      <c r="H558" s="489" t="str">
        <f>VLOOKUP(A558,'TB - Expense Data'!$H$3:$I$757,2,FALSE)</f>
        <v>WELL #31 POWER</v>
      </c>
    </row>
    <row r="559" spans="1:8" x14ac:dyDescent="0.25">
      <c r="A559" s="489" t="s">
        <v>323</v>
      </c>
      <c r="B559" s="489" t="s">
        <v>111</v>
      </c>
      <c r="C559" s="490">
        <v>250</v>
      </c>
      <c r="D559" s="490">
        <v>0</v>
      </c>
      <c r="E559" s="490">
        <v>0</v>
      </c>
      <c r="F559" s="490">
        <v>0</v>
      </c>
      <c r="G559" s="490">
        <v>0</v>
      </c>
      <c r="H559" s="489" t="str">
        <f>VLOOKUP(A559,'TB - Expense Data'!$H$3:$I$757,2,FALSE)</f>
        <v>B/C BOOSTER MAINT &amp; EQUIP</v>
      </c>
    </row>
    <row r="560" spans="1:8" x14ac:dyDescent="0.25">
      <c r="A560" s="489" t="s">
        <v>324</v>
      </c>
      <c r="B560" s="489" t="s">
        <v>112</v>
      </c>
      <c r="C560" s="490">
        <v>500</v>
      </c>
      <c r="D560" s="490">
        <v>0</v>
      </c>
      <c r="E560" s="490">
        <v>173.72</v>
      </c>
      <c r="F560" s="490">
        <v>0</v>
      </c>
      <c r="G560" s="490">
        <v>173.72</v>
      </c>
      <c r="H560" s="489" t="str">
        <f>VLOOKUP(A560,'TB - Expense Data'!$H$3:$I$757,2,FALSE)</f>
        <v>B/C BOOSTER POWER</v>
      </c>
    </row>
    <row r="561" spans="1:8" x14ac:dyDescent="0.25">
      <c r="A561" s="489" t="s">
        <v>325</v>
      </c>
      <c r="B561" s="489" t="s">
        <v>113</v>
      </c>
      <c r="C561" s="490">
        <v>2500</v>
      </c>
      <c r="D561" s="490">
        <v>0</v>
      </c>
      <c r="E561" s="490">
        <v>320</v>
      </c>
      <c r="F561" s="490">
        <v>0</v>
      </c>
      <c r="G561" s="490">
        <v>320</v>
      </c>
      <c r="H561" s="489" t="str">
        <f>VLOOKUP(A561,'TB - Expense Data'!$H$3:$I$757,2,FALSE)</f>
        <v>D BOOSTER MAINT &amp; EQUIP</v>
      </c>
    </row>
    <row r="562" spans="1:8" x14ac:dyDescent="0.25">
      <c r="A562" s="489" t="s">
        <v>326</v>
      </c>
      <c r="B562" s="489" t="s">
        <v>114</v>
      </c>
      <c r="C562" s="490">
        <v>75000</v>
      </c>
      <c r="D562" s="490">
        <v>0</v>
      </c>
      <c r="E562" s="490">
        <v>23965.91</v>
      </c>
      <c r="F562" s="490">
        <v>0</v>
      </c>
      <c r="G562" s="490">
        <v>23965.91</v>
      </c>
      <c r="H562" s="489" t="str">
        <f>VLOOKUP(A562,'TB - Expense Data'!$H$3:$I$757,2,FALSE)</f>
        <v>D BOOSTER POWER</v>
      </c>
    </row>
    <row r="563" spans="1:8" x14ac:dyDescent="0.25">
      <c r="A563" s="489" t="s">
        <v>327</v>
      </c>
      <c r="B563" s="489" t="s">
        <v>115</v>
      </c>
      <c r="C563" s="490">
        <v>1500</v>
      </c>
      <c r="D563" s="490">
        <v>0</v>
      </c>
      <c r="E563" s="490">
        <v>419.16</v>
      </c>
      <c r="F563" s="490">
        <v>0</v>
      </c>
      <c r="G563" s="490">
        <v>419.16</v>
      </c>
      <c r="H563" s="489" t="str">
        <f>VLOOKUP(A563,'TB - Expense Data'!$H$3:$I$757,2,FALSE)</f>
        <v>E BOOSTER MAINT &amp; EQUIP</v>
      </c>
    </row>
    <row r="564" spans="1:8" x14ac:dyDescent="0.25">
      <c r="A564" s="489" t="s">
        <v>328</v>
      </c>
      <c r="B564" s="489" t="s">
        <v>116</v>
      </c>
      <c r="C564" s="490">
        <v>8500</v>
      </c>
      <c r="D564" s="490">
        <v>0</v>
      </c>
      <c r="E564" s="490">
        <v>2832.31</v>
      </c>
      <c r="F564" s="490">
        <v>0</v>
      </c>
      <c r="G564" s="490">
        <v>2832.31</v>
      </c>
      <c r="H564" s="489" t="str">
        <f>VLOOKUP(A564,'TB - Expense Data'!$H$3:$I$757,2,FALSE)</f>
        <v>E BOOSTER POWER</v>
      </c>
    </row>
    <row r="565" spans="1:8" x14ac:dyDescent="0.25">
      <c r="A565" s="489" t="s">
        <v>329</v>
      </c>
      <c r="B565" s="489" t="s">
        <v>117</v>
      </c>
      <c r="C565" s="490">
        <v>2500</v>
      </c>
      <c r="D565" s="490">
        <v>0</v>
      </c>
      <c r="E565" s="490">
        <v>436.04</v>
      </c>
      <c r="F565" s="490">
        <v>0</v>
      </c>
      <c r="G565" s="490">
        <v>436.04</v>
      </c>
      <c r="H565" s="489" t="str">
        <f>VLOOKUP(A565,'TB - Expense Data'!$H$3:$I$757,2,FALSE)</f>
        <v>F BOOSTER MAINT &amp; EQUIP</v>
      </c>
    </row>
    <row r="566" spans="1:8" x14ac:dyDescent="0.25">
      <c r="A566" s="489" t="s">
        <v>330</v>
      </c>
      <c r="B566" s="489" t="s">
        <v>118</v>
      </c>
      <c r="C566" s="490">
        <v>6500</v>
      </c>
      <c r="D566" s="490">
        <v>0</v>
      </c>
      <c r="E566" s="490">
        <v>3486.94</v>
      </c>
      <c r="F566" s="490">
        <v>0</v>
      </c>
      <c r="G566" s="490">
        <v>3486.94</v>
      </c>
      <c r="H566" s="489" t="str">
        <f>VLOOKUP(A566,'TB - Expense Data'!$H$3:$I$757,2,FALSE)</f>
        <v>F BOOSTER POWER</v>
      </c>
    </row>
    <row r="567" spans="1:8" x14ac:dyDescent="0.25">
      <c r="A567" s="489" t="s">
        <v>331</v>
      </c>
      <c r="B567" s="489" t="s">
        <v>119</v>
      </c>
      <c r="C567" s="490">
        <v>5000</v>
      </c>
      <c r="D567" s="490">
        <v>0</v>
      </c>
      <c r="E567" s="490">
        <v>0</v>
      </c>
      <c r="F567" s="490">
        <v>0</v>
      </c>
      <c r="G567" s="490">
        <v>0</v>
      </c>
      <c r="H567" s="489" t="str">
        <f>VLOOKUP(A567,'TB - Expense Data'!$H$3:$I$757,2,FALSE)</f>
        <v>BOOSTER/SANDTANK MAINT &amp; EQUIP</v>
      </c>
    </row>
    <row r="568" spans="1:8" x14ac:dyDescent="0.25">
      <c r="A568" s="489" t="s">
        <v>332</v>
      </c>
      <c r="B568" s="489" t="s">
        <v>120</v>
      </c>
      <c r="C568" s="490">
        <v>200000</v>
      </c>
      <c r="D568" s="490">
        <v>0</v>
      </c>
      <c r="E568" s="490">
        <v>91977.73</v>
      </c>
      <c r="F568" s="490">
        <v>0</v>
      </c>
      <c r="G568" s="490">
        <v>91977.73</v>
      </c>
      <c r="H568" s="489" t="str">
        <f>VLOOKUP(A568,'TB - Expense Data'!$H$3:$I$757,2,FALSE)</f>
        <v>BOOSTER/SANDTANK POWER</v>
      </c>
    </row>
    <row r="569" spans="1:8" x14ac:dyDescent="0.25">
      <c r="A569" s="489" t="s">
        <v>333</v>
      </c>
      <c r="B569" s="489" t="s">
        <v>919</v>
      </c>
      <c r="C569" s="490">
        <v>2000</v>
      </c>
      <c r="D569" s="490">
        <v>0</v>
      </c>
      <c r="E569" s="490">
        <v>350.36</v>
      </c>
      <c r="F569" s="490">
        <v>0</v>
      </c>
      <c r="G569" s="490">
        <v>350.36</v>
      </c>
      <c r="H569" s="489" t="str">
        <f>VLOOKUP(A569,'TB - Expense Data'!$H$3:$I$757,2,FALSE)</f>
        <v>WATKINS GATE WELL MAINT &amp; EQUI</v>
      </c>
    </row>
    <row r="570" spans="1:8" x14ac:dyDescent="0.25">
      <c r="A570" s="489" t="s">
        <v>334</v>
      </c>
      <c r="B570" s="489" t="s">
        <v>920</v>
      </c>
      <c r="C570" s="490">
        <v>140000</v>
      </c>
      <c r="D570" s="490">
        <v>0</v>
      </c>
      <c r="E570" s="490">
        <v>51502.1</v>
      </c>
      <c r="F570" s="490">
        <v>0</v>
      </c>
      <c r="G570" s="490">
        <v>51502.1</v>
      </c>
      <c r="H570" s="489" t="str">
        <f>VLOOKUP(A570,'TB - Expense Data'!$H$3:$I$757,2,FALSE)</f>
        <v>WATKINS GATE WELL POWER</v>
      </c>
    </row>
    <row r="571" spans="1:8" x14ac:dyDescent="0.25">
      <c r="A571" s="489" t="s">
        <v>336</v>
      </c>
      <c r="B571" s="489" t="s">
        <v>335</v>
      </c>
      <c r="C571" s="490">
        <v>2500</v>
      </c>
      <c r="D571" s="490">
        <v>0</v>
      </c>
      <c r="E571" s="490">
        <v>0</v>
      </c>
      <c r="F571" s="490">
        <v>0</v>
      </c>
      <c r="G571" s="490">
        <v>0</v>
      </c>
      <c r="H571" s="489" t="str">
        <f>VLOOKUP(A571,'TB - Expense Data'!$H$3:$I$757,2,FALSE)</f>
        <v>WELL #34 MAINT &amp; EQUIP</v>
      </c>
    </row>
    <row r="572" spans="1:8" x14ac:dyDescent="0.25">
      <c r="A572" s="489" t="s">
        <v>338</v>
      </c>
      <c r="B572" s="489" t="s">
        <v>337</v>
      </c>
      <c r="C572" s="490">
        <v>140000</v>
      </c>
      <c r="D572" s="490">
        <v>0</v>
      </c>
      <c r="E572" s="490">
        <v>41842.160000000003</v>
      </c>
      <c r="F572" s="490">
        <v>0</v>
      </c>
      <c r="G572" s="490">
        <v>41842.160000000003</v>
      </c>
      <c r="H572" s="489" t="str">
        <f>VLOOKUP(A572,'TB - Expense Data'!$H$3:$I$757,2,FALSE)</f>
        <v>WELL #34 POWER</v>
      </c>
    </row>
    <row r="573" spans="1:8" x14ac:dyDescent="0.25">
      <c r="A573" s="489" t="s">
        <v>461</v>
      </c>
      <c r="B573" s="489" t="s">
        <v>63</v>
      </c>
      <c r="C573" s="490">
        <v>78854.399999999994</v>
      </c>
      <c r="D573" s="490">
        <v>0</v>
      </c>
      <c r="E573" s="490">
        <v>40110.47</v>
      </c>
      <c r="F573" s="490">
        <v>3461.99</v>
      </c>
      <c r="G573" s="490">
        <v>36648.480000000003</v>
      </c>
      <c r="H573" s="489" t="str">
        <f>VLOOKUP(A573,'TB - Expense Data'!$H$3:$I$757,2,FALSE)</f>
        <v>WAGES - LAB</v>
      </c>
    </row>
    <row r="574" spans="1:8" x14ac:dyDescent="0.25">
      <c r="A574" s="489" t="s">
        <v>454</v>
      </c>
      <c r="B574" s="489" t="s">
        <v>37</v>
      </c>
      <c r="C574" s="490">
        <v>457.6</v>
      </c>
      <c r="D574" s="490">
        <v>0</v>
      </c>
      <c r="E574" s="490">
        <v>0</v>
      </c>
      <c r="F574" s="490">
        <v>0</v>
      </c>
      <c r="G574" s="490">
        <v>0</v>
      </c>
      <c r="H574" s="489" t="str">
        <f>VLOOKUP(A574,'TB - Expense Data'!$H$3:$I$757,2,FALSE)</f>
        <v>OVERTIME</v>
      </c>
    </row>
    <row r="575" spans="1:8" x14ac:dyDescent="0.25">
      <c r="A575" s="489" t="s">
        <v>444</v>
      </c>
      <c r="B575" s="489" t="s">
        <v>153</v>
      </c>
      <c r="C575" s="490">
        <v>4917.12</v>
      </c>
      <c r="D575" s="490">
        <v>0</v>
      </c>
      <c r="E575" s="490">
        <v>2424.5100000000002</v>
      </c>
      <c r="F575" s="490">
        <v>204.21</v>
      </c>
      <c r="G575" s="490">
        <v>2220.3000000000002</v>
      </c>
      <c r="H575" s="489" t="str">
        <f>VLOOKUP(A575,'TB - Expense Data'!$H$3:$I$757,2,FALSE)</f>
        <v>FICA EXPENSE</v>
      </c>
    </row>
    <row r="576" spans="1:8" x14ac:dyDescent="0.25">
      <c r="A576" s="489" t="s">
        <v>443</v>
      </c>
      <c r="B576" s="489" t="s">
        <v>154</v>
      </c>
      <c r="C576" s="490">
        <v>1150.08</v>
      </c>
      <c r="D576" s="490">
        <v>0</v>
      </c>
      <c r="E576" s="490">
        <v>576.79</v>
      </c>
      <c r="F576" s="490">
        <v>47.8</v>
      </c>
      <c r="G576" s="490">
        <v>528.99</v>
      </c>
      <c r="H576" s="489" t="str">
        <f>VLOOKUP(A576,'TB - Expense Data'!$H$3:$I$757,2,FALSE)</f>
        <v>MEDI EXPENSE</v>
      </c>
    </row>
    <row r="577" spans="1:8" x14ac:dyDescent="0.25">
      <c r="A577" s="489" t="s">
        <v>450</v>
      </c>
      <c r="B577" s="489" t="s">
        <v>38</v>
      </c>
      <c r="C577" s="490">
        <v>7096.96</v>
      </c>
      <c r="D577" s="490">
        <v>0</v>
      </c>
      <c r="E577" s="490">
        <v>3495.69</v>
      </c>
      <c r="F577" s="490">
        <v>0</v>
      </c>
      <c r="G577" s="490">
        <v>3495.69</v>
      </c>
      <c r="H577" s="489" t="str">
        <f>VLOOKUP(A577,'TB - Expense Data'!$H$3:$I$757,2,FALSE)</f>
        <v>MEDICAL INSURANCE</v>
      </c>
    </row>
    <row r="578" spans="1:8" x14ac:dyDescent="0.25">
      <c r="A578" s="489" t="s">
        <v>439</v>
      </c>
      <c r="B578" s="489" t="s">
        <v>77</v>
      </c>
      <c r="C578" s="490">
        <v>368.64</v>
      </c>
      <c r="D578" s="490">
        <v>0</v>
      </c>
      <c r="E578" s="490">
        <v>181.23</v>
      </c>
      <c r="F578" s="490">
        <v>0</v>
      </c>
      <c r="G578" s="490">
        <v>181.23</v>
      </c>
      <c r="H578" s="489" t="str">
        <f>VLOOKUP(A578,'TB - Expense Data'!$H$3:$I$757,2,FALSE)</f>
        <v>DENTAL INSURANCE</v>
      </c>
    </row>
    <row r="579" spans="1:8" x14ac:dyDescent="0.25">
      <c r="A579" s="489" t="s">
        <v>460</v>
      </c>
      <c r="B579" s="489" t="s">
        <v>78</v>
      </c>
      <c r="C579" s="490">
        <v>158.72</v>
      </c>
      <c r="D579" s="490">
        <v>0</v>
      </c>
      <c r="E579" s="490">
        <v>72.13</v>
      </c>
      <c r="F579" s="490">
        <v>0</v>
      </c>
      <c r="G579" s="490">
        <v>72.13</v>
      </c>
      <c r="H579" s="489" t="str">
        <f>VLOOKUP(A579,'TB - Expense Data'!$H$3:$I$757,2,FALSE)</f>
        <v>VISION INSURANCE</v>
      </c>
    </row>
    <row r="580" spans="1:8" x14ac:dyDescent="0.25">
      <c r="A580" s="489" t="s">
        <v>462</v>
      </c>
      <c r="B580" s="489" t="s">
        <v>893</v>
      </c>
      <c r="C580" s="490">
        <v>3376.64</v>
      </c>
      <c r="D580" s="490">
        <v>0</v>
      </c>
      <c r="E580" s="490">
        <v>1762.22</v>
      </c>
      <c r="F580" s="490">
        <v>76.209999999999994</v>
      </c>
      <c r="G580" s="490">
        <v>1686.01</v>
      </c>
      <c r="H580" s="489" t="str">
        <f>VLOOKUP(A580,'TB - Expense Data'!$H$3:$I$757,2,FALSE)</f>
        <v>WORKERS COMP INSURANCE</v>
      </c>
    </row>
    <row r="581" spans="1:8" x14ac:dyDescent="0.25">
      <c r="A581" s="489" t="s">
        <v>449</v>
      </c>
      <c r="B581" s="489" t="s">
        <v>2249</v>
      </c>
      <c r="C581" s="490">
        <v>280.32</v>
      </c>
      <c r="D581" s="490">
        <v>0</v>
      </c>
      <c r="E581" s="490">
        <v>179.51</v>
      </c>
      <c r="F581" s="490">
        <v>50.27</v>
      </c>
      <c r="G581" s="490">
        <v>129.24</v>
      </c>
      <c r="H581" s="489" t="str">
        <f>VLOOKUP(A581,'TB - Expense Data'!$H$3:$I$757,2,FALSE)</f>
        <v>LIFE INSURANCE EXPENSE</v>
      </c>
    </row>
    <row r="582" spans="1:8" x14ac:dyDescent="0.25">
      <c r="A582" s="489" t="s">
        <v>459</v>
      </c>
      <c r="B582" s="489" t="s">
        <v>64</v>
      </c>
      <c r="C582" s="490">
        <v>256</v>
      </c>
      <c r="D582" s="490">
        <v>0</v>
      </c>
      <c r="E582" s="490">
        <v>170.06</v>
      </c>
      <c r="F582" s="490">
        <v>0</v>
      </c>
      <c r="G582" s="490">
        <v>170.06</v>
      </c>
      <c r="H582" s="489" t="str">
        <f>VLOOKUP(A582,'TB - Expense Data'!$H$3:$I$757,2,FALSE)</f>
        <v>UNIFORM BENEFIT</v>
      </c>
    </row>
    <row r="583" spans="1:8" x14ac:dyDescent="0.25">
      <c r="A583" s="489" t="s">
        <v>433</v>
      </c>
      <c r="B583" s="489" t="s">
        <v>65</v>
      </c>
      <c r="C583" s="490">
        <v>128</v>
      </c>
      <c r="D583" s="490">
        <v>0</v>
      </c>
      <c r="E583" s="490">
        <v>0</v>
      </c>
      <c r="F583" s="490">
        <v>0</v>
      </c>
      <c r="G583" s="490">
        <v>0</v>
      </c>
      <c r="H583" s="489" t="str">
        <f>VLOOKUP(A583,'TB - Expense Data'!$H$3:$I$757,2,FALSE)</f>
        <v>BOOT BENEFIT</v>
      </c>
    </row>
    <row r="584" spans="1:8" x14ac:dyDescent="0.25">
      <c r="A584" s="489" t="s">
        <v>458</v>
      </c>
      <c r="B584" s="489" t="s">
        <v>40</v>
      </c>
      <c r="C584" s="490">
        <v>423.04</v>
      </c>
      <c r="D584" s="490">
        <v>0</v>
      </c>
      <c r="E584" s="490">
        <v>101.34</v>
      </c>
      <c r="F584" s="490">
        <v>19.66</v>
      </c>
      <c r="G584" s="490">
        <v>81.680000000000007</v>
      </c>
      <c r="H584" s="489" t="str">
        <f>VLOOKUP(A584,'TB - Expense Data'!$H$3:$I$757,2,FALSE)</f>
        <v>SUI EXPENSE</v>
      </c>
    </row>
    <row r="585" spans="1:8" x14ac:dyDescent="0.25">
      <c r="A585" s="489" t="s">
        <v>442</v>
      </c>
      <c r="B585" s="489" t="s">
        <v>41</v>
      </c>
      <c r="C585" s="490">
        <v>9.6</v>
      </c>
      <c r="D585" s="490">
        <v>0</v>
      </c>
      <c r="E585" s="490">
        <v>2.59</v>
      </c>
      <c r="F585" s="490">
        <v>0.51</v>
      </c>
      <c r="G585" s="490">
        <v>2.08</v>
      </c>
      <c r="H585" s="489" t="str">
        <f>VLOOKUP(A585,'TB - Expense Data'!$H$3:$I$757,2,FALSE)</f>
        <v>ETT EXPENSE</v>
      </c>
    </row>
    <row r="586" spans="1:8" x14ac:dyDescent="0.25">
      <c r="A586" s="489" t="s">
        <v>441</v>
      </c>
      <c r="B586" s="489" t="s">
        <v>42</v>
      </c>
      <c r="C586" s="490">
        <v>220.16</v>
      </c>
      <c r="D586" s="490">
        <v>0</v>
      </c>
      <c r="E586" s="490">
        <v>95.71</v>
      </c>
      <c r="F586" s="490">
        <v>5.12</v>
      </c>
      <c r="G586" s="490">
        <v>90.59</v>
      </c>
      <c r="H586" s="489" t="str">
        <f>VLOOKUP(A586,'TB - Expense Data'!$H$3:$I$757,2,FALSE)</f>
        <v>DISABILITY PLAN</v>
      </c>
    </row>
    <row r="587" spans="1:8" x14ac:dyDescent="0.25">
      <c r="A587" s="489" t="s">
        <v>434</v>
      </c>
      <c r="B587" s="489" t="s">
        <v>2252</v>
      </c>
      <c r="C587" s="490">
        <v>6425.6</v>
      </c>
      <c r="D587" s="490">
        <v>0</v>
      </c>
      <c r="E587" s="490">
        <v>3170.69</v>
      </c>
      <c r="F587" s="490">
        <v>237.72</v>
      </c>
      <c r="G587" s="490">
        <v>2932.97</v>
      </c>
      <c r="H587" s="489" t="str">
        <f>VLOOKUP(A587,'TB - Expense Data'!$H$3:$I$757,2,FALSE)</f>
        <v>CALPERS RETIREMENT</v>
      </c>
    </row>
    <row r="588" spans="1:8" x14ac:dyDescent="0.25">
      <c r="A588" s="489" t="s">
        <v>435</v>
      </c>
      <c r="B588" s="489" t="s">
        <v>44</v>
      </c>
      <c r="C588" s="490">
        <v>5308.16</v>
      </c>
      <c r="D588" s="490">
        <v>0</v>
      </c>
      <c r="E588" s="490">
        <v>2630.13</v>
      </c>
      <c r="F588" s="490">
        <v>196.1</v>
      </c>
      <c r="G588" s="490">
        <v>2434.0300000000002</v>
      </c>
      <c r="H588" s="489" t="str">
        <f>VLOOKUP(A588,'TB - Expense Data'!$H$3:$I$757,2,FALSE)</f>
        <v>CALPERS RETIREMENT (EE)</v>
      </c>
    </row>
    <row r="589" spans="1:8" x14ac:dyDescent="0.25">
      <c r="A589" s="489" t="s">
        <v>453</v>
      </c>
      <c r="B589" s="489" t="s">
        <v>183</v>
      </c>
      <c r="C589" s="490">
        <v>3904</v>
      </c>
      <c r="D589" s="490">
        <v>0</v>
      </c>
      <c r="E589" s="490">
        <v>0</v>
      </c>
      <c r="F589" s="490">
        <v>0</v>
      </c>
      <c r="G589" s="490">
        <v>0</v>
      </c>
      <c r="H589" s="489" t="str">
        <f>VLOOKUP(A589,'TB - Expense Data'!$H$3:$I$757,2,FALSE)</f>
        <v>OPEB EXPENSE</v>
      </c>
    </row>
    <row r="590" spans="1:8" x14ac:dyDescent="0.25">
      <c r="A590" s="489" t="s">
        <v>437</v>
      </c>
      <c r="B590" s="489" t="s">
        <v>66</v>
      </c>
      <c r="C590" s="490">
        <v>6544</v>
      </c>
      <c r="D590" s="490">
        <v>0</v>
      </c>
      <c r="E590" s="490">
        <v>1738.39</v>
      </c>
      <c r="F590" s="490">
        <v>0</v>
      </c>
      <c r="G590" s="490">
        <v>1738.39</v>
      </c>
      <c r="H590" s="489" t="str">
        <f>VLOOKUP(A590,'TB - Expense Data'!$H$3:$I$757,2,FALSE)</f>
        <v>CHEMICALS</v>
      </c>
    </row>
    <row r="591" spans="1:8" x14ac:dyDescent="0.25">
      <c r="A591" s="489" t="s">
        <v>446</v>
      </c>
      <c r="B591" s="489" t="s">
        <v>67</v>
      </c>
      <c r="C591" s="490">
        <v>2574.08</v>
      </c>
      <c r="D591" s="490">
        <v>0</v>
      </c>
      <c r="E591" s="490">
        <v>567.07000000000005</v>
      </c>
      <c r="F591" s="490">
        <v>0</v>
      </c>
      <c r="G591" s="490">
        <v>567.07000000000005</v>
      </c>
      <c r="H591" s="489" t="str">
        <f>VLOOKUP(A591,'TB - Expense Data'!$H$3:$I$757,2,FALSE)</f>
        <v>GLASSWARE</v>
      </c>
    </row>
    <row r="592" spans="1:8" x14ac:dyDescent="0.25">
      <c r="A592" s="489" t="s">
        <v>432</v>
      </c>
      <c r="B592" s="489" t="s">
        <v>1161</v>
      </c>
      <c r="C592" s="490">
        <v>373.12</v>
      </c>
      <c r="D592" s="490">
        <v>0</v>
      </c>
      <c r="E592" s="490">
        <v>0</v>
      </c>
      <c r="F592" s="490">
        <v>0</v>
      </c>
      <c r="G592" s="490">
        <v>0</v>
      </c>
      <c r="H592" s="489" t="str">
        <f>VLOOKUP(A592,'TB - Expense Data'!$H$3:$I$757,2,FALSE)</f>
        <v>BOOKS &amp; REF MATERIALS</v>
      </c>
    </row>
    <row r="593" spans="1:8" x14ac:dyDescent="0.25">
      <c r="A593" s="489" t="s">
        <v>438</v>
      </c>
      <c r="B593" s="489" t="s">
        <v>68</v>
      </c>
      <c r="C593" s="490">
        <v>38608</v>
      </c>
      <c r="D593" s="490">
        <v>0</v>
      </c>
      <c r="E593" s="490">
        <v>8268.4</v>
      </c>
      <c r="F593" s="490">
        <v>0</v>
      </c>
      <c r="G593" s="490">
        <v>8268.4</v>
      </c>
      <c r="H593" s="489" t="str">
        <f>VLOOKUP(A593,'TB - Expense Data'!$H$3:$I$757,2,FALSE)</f>
        <v>CONTRACT TESTING</v>
      </c>
    </row>
    <row r="594" spans="1:8" x14ac:dyDescent="0.25">
      <c r="A594" s="489" t="s">
        <v>457</v>
      </c>
      <c r="B594" s="489" t="s">
        <v>69</v>
      </c>
      <c r="C594" s="490">
        <v>7934.08</v>
      </c>
      <c r="D594" s="490">
        <v>0</v>
      </c>
      <c r="E594" s="490">
        <v>2902.72</v>
      </c>
      <c r="F594" s="490">
        <v>0</v>
      </c>
      <c r="G594" s="490">
        <v>2902.72</v>
      </c>
      <c r="H594" s="489" t="str">
        <f>VLOOKUP(A594,'TB - Expense Data'!$H$3:$I$757,2,FALSE)</f>
        <v>QUALITY CONTROL PROGRAM</v>
      </c>
    </row>
    <row r="595" spans="1:8" x14ac:dyDescent="0.25">
      <c r="A595" s="489" t="s">
        <v>455</v>
      </c>
      <c r="B595" s="489" t="s">
        <v>70</v>
      </c>
      <c r="C595" s="490">
        <v>643.20000000000005</v>
      </c>
      <c r="D595" s="490">
        <v>0</v>
      </c>
      <c r="E595" s="490">
        <v>0</v>
      </c>
      <c r="F595" s="490">
        <v>0</v>
      </c>
      <c r="G595" s="490">
        <v>0</v>
      </c>
      <c r="H595" s="489" t="str">
        <f>VLOOKUP(A595,'TB - Expense Data'!$H$3:$I$757,2,FALSE)</f>
        <v>POSTAGE</v>
      </c>
    </row>
    <row r="596" spans="1:8" x14ac:dyDescent="0.25">
      <c r="A596" s="489" t="s">
        <v>456</v>
      </c>
      <c r="B596" s="489" t="s">
        <v>47</v>
      </c>
      <c r="C596" s="490">
        <v>4974.08</v>
      </c>
      <c r="D596" s="490">
        <v>0</v>
      </c>
      <c r="E596" s="490">
        <v>0</v>
      </c>
      <c r="F596" s="490">
        <v>0</v>
      </c>
      <c r="G596" s="490">
        <v>0</v>
      </c>
      <c r="H596" s="489" t="str">
        <f>VLOOKUP(A596,'TB - Expense Data'!$H$3:$I$757,2,FALSE)</f>
        <v>PRINTING</v>
      </c>
    </row>
    <row r="597" spans="1:8" x14ac:dyDescent="0.25">
      <c r="A597" s="489" t="s">
        <v>452</v>
      </c>
      <c r="B597" s="489" t="s">
        <v>48</v>
      </c>
      <c r="C597" s="490">
        <v>405.12</v>
      </c>
      <c r="D597" s="490">
        <v>0</v>
      </c>
      <c r="E597" s="490">
        <v>0</v>
      </c>
      <c r="F597" s="490">
        <v>0</v>
      </c>
      <c r="G597" s="490">
        <v>0</v>
      </c>
      <c r="H597" s="489" t="str">
        <f>VLOOKUP(A597,'TB - Expense Data'!$H$3:$I$757,2,FALSE)</f>
        <v>OFFICE SUPPLY</v>
      </c>
    </row>
    <row r="598" spans="1:8" x14ac:dyDescent="0.25">
      <c r="A598" s="489" t="s">
        <v>1106</v>
      </c>
      <c r="B598" s="489" t="s">
        <v>49</v>
      </c>
      <c r="C598" s="490">
        <v>6190.08</v>
      </c>
      <c r="D598" s="490">
        <v>0</v>
      </c>
      <c r="E598" s="490">
        <v>1414.55</v>
      </c>
      <c r="F598" s="490">
        <v>0</v>
      </c>
      <c r="G598" s="490">
        <v>1414.55</v>
      </c>
      <c r="H598" s="489" t="str">
        <f>VLOOKUP(A598,'TB - Expense Data'!$H$3:$I$757,2,FALSE)</f>
        <v>GENERAL SUPPLY</v>
      </c>
    </row>
    <row r="599" spans="1:8" x14ac:dyDescent="0.25">
      <c r="A599" s="489" t="s">
        <v>451</v>
      </c>
      <c r="B599" s="489" t="s">
        <v>54</v>
      </c>
      <c r="C599" s="490">
        <v>1672.96</v>
      </c>
      <c r="D599" s="490">
        <v>0</v>
      </c>
      <c r="E599" s="490">
        <v>1300.48</v>
      </c>
      <c r="F599" s="490">
        <v>0</v>
      </c>
      <c r="G599" s="490">
        <v>1300.48</v>
      </c>
      <c r="H599" s="489" t="str">
        <f>VLOOKUP(A599,'TB - Expense Data'!$H$3:$I$757,2,FALSE)</f>
        <v>MEMBERSHIPS &amp; DUES</v>
      </c>
    </row>
    <row r="600" spans="1:8" x14ac:dyDescent="0.25">
      <c r="A600" s="489" t="s">
        <v>448</v>
      </c>
      <c r="B600" s="489" t="s">
        <v>72</v>
      </c>
      <c r="C600" s="490">
        <v>6640.64</v>
      </c>
      <c r="D600" s="490">
        <v>0</v>
      </c>
      <c r="E600" s="490">
        <v>0</v>
      </c>
      <c r="F600" s="490">
        <v>0</v>
      </c>
      <c r="G600" s="490">
        <v>0</v>
      </c>
      <c r="H600" s="489" t="str">
        <f>VLOOKUP(A600,'TB - Expense Data'!$H$3:$I$757,2,FALSE)</f>
        <v>LAB PERMITS</v>
      </c>
    </row>
    <row r="601" spans="1:8" x14ac:dyDescent="0.25">
      <c r="A601" s="489" t="s">
        <v>436</v>
      </c>
      <c r="B601" s="489" t="s">
        <v>73</v>
      </c>
      <c r="C601" s="490">
        <v>341.12</v>
      </c>
      <c r="D601" s="490">
        <v>0</v>
      </c>
      <c r="E601" s="490">
        <v>230.4</v>
      </c>
      <c r="F601" s="490">
        <v>0</v>
      </c>
      <c r="G601" s="490">
        <v>230.4</v>
      </c>
      <c r="H601" s="489" t="str">
        <f>VLOOKUP(A601,'TB - Expense Data'!$H$3:$I$757,2,FALSE)</f>
        <v>CERTIFICATION</v>
      </c>
    </row>
    <row r="602" spans="1:8" x14ac:dyDescent="0.25">
      <c r="A602" s="489" t="s">
        <v>440</v>
      </c>
      <c r="B602" s="489" t="s">
        <v>74</v>
      </c>
      <c r="C602" s="490">
        <v>6000</v>
      </c>
      <c r="D602" s="490">
        <v>0</v>
      </c>
      <c r="E602" s="490">
        <v>0</v>
      </c>
      <c r="F602" s="490">
        <v>0</v>
      </c>
      <c r="G602" s="490">
        <v>0</v>
      </c>
      <c r="H602" s="489" t="str">
        <f>VLOOKUP(A602,'TB - Expense Data'!$H$3:$I$757,2,FALSE)</f>
        <v>DESAL - MONITORING</v>
      </c>
    </row>
    <row r="603" spans="1:8" x14ac:dyDescent="0.25">
      <c r="A603" s="489" t="s">
        <v>447</v>
      </c>
      <c r="B603" s="489" t="s">
        <v>1174</v>
      </c>
      <c r="C603" s="490">
        <v>6607.36</v>
      </c>
      <c r="D603" s="490">
        <v>0</v>
      </c>
      <c r="E603" s="490">
        <v>5161.6099999999997</v>
      </c>
      <c r="F603" s="490">
        <v>0</v>
      </c>
      <c r="G603" s="490">
        <v>5161.6099999999997</v>
      </c>
      <c r="H603" s="489" t="str">
        <f>VLOOKUP(A603,'TB - Expense Data'!$H$3:$I$757,2,FALSE)</f>
        <v>LAB MAINT &amp; REPAIR</v>
      </c>
    </row>
    <row r="604" spans="1:8" x14ac:dyDescent="0.25">
      <c r="A604" s="489" t="s">
        <v>516</v>
      </c>
      <c r="B604" s="489" t="s">
        <v>36</v>
      </c>
      <c r="C604" s="490">
        <v>66470.399999999994</v>
      </c>
      <c r="D604" s="490">
        <v>0</v>
      </c>
      <c r="E604" s="490">
        <v>35075.56</v>
      </c>
      <c r="F604" s="490">
        <v>2792.27</v>
      </c>
      <c r="G604" s="490">
        <v>32283.29</v>
      </c>
      <c r="H604" s="489" t="str">
        <f>VLOOKUP(A604,'TB - Expense Data'!$H$3:$I$757,2,FALSE)</f>
        <v>WAGES - CON</v>
      </c>
    </row>
    <row r="605" spans="1:8" x14ac:dyDescent="0.25">
      <c r="A605" s="489" t="s">
        <v>511</v>
      </c>
      <c r="B605" s="489" t="s">
        <v>37</v>
      </c>
      <c r="C605" s="490">
        <v>2519</v>
      </c>
      <c r="D605" s="490">
        <v>0</v>
      </c>
      <c r="E605" s="490">
        <v>1276.08</v>
      </c>
      <c r="F605" s="490">
        <v>0</v>
      </c>
      <c r="G605" s="490">
        <v>1276.08</v>
      </c>
      <c r="H605" s="489" t="str">
        <f>VLOOKUP(A605,'TB - Expense Data'!$H$3:$I$757,2,FALSE)</f>
        <v>OVERTIME</v>
      </c>
    </row>
    <row r="606" spans="1:8" x14ac:dyDescent="0.25">
      <c r="A606" s="489" t="s">
        <v>502</v>
      </c>
      <c r="B606" s="489" t="s">
        <v>153</v>
      </c>
      <c r="C606" s="490">
        <v>4277</v>
      </c>
      <c r="D606" s="490">
        <v>0</v>
      </c>
      <c r="E606" s="490">
        <v>2148.4</v>
      </c>
      <c r="F606" s="490">
        <v>164.53</v>
      </c>
      <c r="G606" s="490">
        <v>1983.87</v>
      </c>
      <c r="H606" s="489" t="str">
        <f>VLOOKUP(A606,'TB - Expense Data'!$H$3:$I$757,2,FALSE)</f>
        <v>FICA EXPENSE</v>
      </c>
    </row>
    <row r="607" spans="1:8" x14ac:dyDescent="0.25">
      <c r="A607" s="489" t="s">
        <v>501</v>
      </c>
      <c r="B607" s="489" t="s">
        <v>154</v>
      </c>
      <c r="C607" s="490">
        <v>1000</v>
      </c>
      <c r="D607" s="490">
        <v>0</v>
      </c>
      <c r="E607" s="490">
        <v>523.83000000000004</v>
      </c>
      <c r="F607" s="490">
        <v>38.47</v>
      </c>
      <c r="G607" s="490">
        <v>485.36</v>
      </c>
      <c r="H607" s="489" t="str">
        <f>VLOOKUP(A607,'TB - Expense Data'!$H$3:$I$757,2,FALSE)</f>
        <v>MEDI EXPENSE</v>
      </c>
    </row>
    <row r="608" spans="1:8" x14ac:dyDescent="0.25">
      <c r="A608" s="489" t="s">
        <v>508</v>
      </c>
      <c r="B608" s="489" t="s">
        <v>38</v>
      </c>
      <c r="C608" s="490">
        <v>8597.76</v>
      </c>
      <c r="D608" s="490">
        <v>0</v>
      </c>
      <c r="E608" s="490">
        <v>4307.84</v>
      </c>
      <c r="F608" s="490">
        <v>0</v>
      </c>
      <c r="G608" s="490">
        <v>4307.84</v>
      </c>
      <c r="H608" s="489" t="str">
        <f>VLOOKUP(A608,'TB - Expense Data'!$H$3:$I$757,2,FALSE)</f>
        <v>MEDICAL INSURANCE</v>
      </c>
    </row>
    <row r="609" spans="1:8" x14ac:dyDescent="0.25">
      <c r="A609" s="489" t="s">
        <v>498</v>
      </c>
      <c r="B609" s="489" t="s">
        <v>77</v>
      </c>
      <c r="C609" s="490">
        <v>460.8</v>
      </c>
      <c r="D609" s="490">
        <v>0</v>
      </c>
      <c r="E609" s="490">
        <v>230.35</v>
      </c>
      <c r="F609" s="490">
        <v>0</v>
      </c>
      <c r="G609" s="490">
        <v>230.35</v>
      </c>
      <c r="H609" s="489" t="str">
        <f>VLOOKUP(A609,'TB - Expense Data'!$H$3:$I$757,2,FALSE)</f>
        <v>DENTAL INSURANCE</v>
      </c>
    </row>
    <row r="610" spans="1:8" x14ac:dyDescent="0.25">
      <c r="A610" s="489" t="s">
        <v>515</v>
      </c>
      <c r="B610" s="489" t="s">
        <v>78</v>
      </c>
      <c r="C610" s="490">
        <v>145.28</v>
      </c>
      <c r="D610" s="490">
        <v>0</v>
      </c>
      <c r="E610" s="490">
        <v>79.2</v>
      </c>
      <c r="F610" s="490">
        <v>0</v>
      </c>
      <c r="G610" s="490">
        <v>79.2</v>
      </c>
      <c r="H610" s="489" t="str">
        <f>VLOOKUP(A610,'TB - Expense Data'!$H$3:$I$757,2,FALSE)</f>
        <v>VISION INSURANCE</v>
      </c>
    </row>
    <row r="611" spans="1:8" x14ac:dyDescent="0.25">
      <c r="A611" s="489" t="s">
        <v>518</v>
      </c>
      <c r="B611" s="489" t="s">
        <v>893</v>
      </c>
      <c r="C611" s="490">
        <v>708</v>
      </c>
      <c r="D611" s="490">
        <v>0</v>
      </c>
      <c r="E611" s="490">
        <v>670.18</v>
      </c>
      <c r="F611" s="490">
        <v>15.95</v>
      </c>
      <c r="G611" s="490">
        <v>654.23</v>
      </c>
      <c r="H611" s="489" t="str">
        <f>VLOOKUP(A611,'TB - Expense Data'!$H$3:$I$757,2,FALSE)</f>
        <v>WORKERS COMP INSURANCE</v>
      </c>
    </row>
    <row r="612" spans="1:8" x14ac:dyDescent="0.25">
      <c r="A612" s="489" t="s">
        <v>507</v>
      </c>
      <c r="B612" s="489" t="s">
        <v>2249</v>
      </c>
      <c r="C612" s="490">
        <v>231.68</v>
      </c>
      <c r="D612" s="490">
        <v>0</v>
      </c>
      <c r="E612" s="490">
        <v>121.49</v>
      </c>
      <c r="F612" s="490">
        <v>34</v>
      </c>
      <c r="G612" s="490">
        <v>87.49</v>
      </c>
      <c r="H612" s="489" t="str">
        <f>VLOOKUP(A612,'TB - Expense Data'!$H$3:$I$757,2,FALSE)</f>
        <v>LIFE INSURANCE EXPENSE</v>
      </c>
    </row>
    <row r="613" spans="1:8" x14ac:dyDescent="0.25">
      <c r="A613" s="489" t="s">
        <v>513</v>
      </c>
      <c r="B613" s="489" t="s">
        <v>40</v>
      </c>
      <c r="C613" s="490">
        <v>443.52</v>
      </c>
      <c r="D613" s="490">
        <v>0</v>
      </c>
      <c r="E613" s="490">
        <v>39.61</v>
      </c>
      <c r="F613" s="490">
        <v>20.96</v>
      </c>
      <c r="G613" s="490">
        <v>18.649999999999999</v>
      </c>
      <c r="H613" s="489" t="str">
        <f>VLOOKUP(A613,'TB - Expense Data'!$H$3:$I$757,2,FALSE)</f>
        <v>SUI EXPENSE</v>
      </c>
    </row>
    <row r="614" spans="1:8" x14ac:dyDescent="0.25">
      <c r="A614" s="489" t="s">
        <v>500</v>
      </c>
      <c r="B614" s="489" t="s">
        <v>41</v>
      </c>
      <c r="C614" s="490">
        <v>9.6</v>
      </c>
      <c r="D614" s="490">
        <v>0</v>
      </c>
      <c r="E614" s="490">
        <v>0.97</v>
      </c>
      <c r="F614" s="490">
        <v>0.53</v>
      </c>
      <c r="G614" s="490">
        <v>0.44</v>
      </c>
      <c r="H614" s="489" t="str">
        <f>VLOOKUP(A614,'TB - Expense Data'!$H$3:$I$757,2,FALSE)</f>
        <v>ETT EXPENSE</v>
      </c>
    </row>
    <row r="615" spans="1:8" x14ac:dyDescent="0.25">
      <c r="A615" s="489" t="s">
        <v>499</v>
      </c>
      <c r="B615" s="489" t="s">
        <v>42</v>
      </c>
      <c r="C615" s="490">
        <v>181.76</v>
      </c>
      <c r="D615" s="490">
        <v>0</v>
      </c>
      <c r="E615" s="490">
        <v>64.55</v>
      </c>
      <c r="F615" s="490">
        <v>3.47</v>
      </c>
      <c r="G615" s="490">
        <v>61.08</v>
      </c>
      <c r="H615" s="489" t="str">
        <f>VLOOKUP(A615,'TB - Expense Data'!$H$3:$I$757,2,FALSE)</f>
        <v>DISABILITY PLAN</v>
      </c>
    </row>
    <row r="616" spans="1:8" x14ac:dyDescent="0.25">
      <c r="A616" s="489" t="s">
        <v>493</v>
      </c>
      <c r="B616" s="489" t="s">
        <v>2252</v>
      </c>
      <c r="C616" s="490">
        <v>5302.4</v>
      </c>
      <c r="D616" s="490">
        <v>0</v>
      </c>
      <c r="E616" s="490">
        <v>2601.4299999999998</v>
      </c>
      <c r="F616" s="490">
        <v>191.85</v>
      </c>
      <c r="G616" s="490">
        <v>2409.58</v>
      </c>
      <c r="H616" s="489" t="str">
        <f>VLOOKUP(A616,'TB - Expense Data'!$H$3:$I$757,2,FALSE)</f>
        <v>CALPERS RETIREMENT</v>
      </c>
    </row>
    <row r="617" spans="1:8" x14ac:dyDescent="0.25">
      <c r="A617" s="489" t="s">
        <v>494</v>
      </c>
      <c r="B617" s="489" t="s">
        <v>44</v>
      </c>
      <c r="C617" s="490">
        <v>4380.16</v>
      </c>
      <c r="D617" s="490">
        <v>0</v>
      </c>
      <c r="E617" s="490">
        <v>2158.14</v>
      </c>
      <c r="F617" s="490">
        <v>158.31</v>
      </c>
      <c r="G617" s="490">
        <v>1999.83</v>
      </c>
      <c r="H617" s="489" t="str">
        <f>VLOOKUP(A617,'TB - Expense Data'!$H$3:$I$757,2,FALSE)</f>
        <v>CALPERS RETIREMENT (EE)</v>
      </c>
    </row>
    <row r="618" spans="1:8" x14ac:dyDescent="0.25">
      <c r="A618" s="489" t="s">
        <v>510</v>
      </c>
      <c r="B618" s="489" t="s">
        <v>183</v>
      </c>
      <c r="C618" s="490">
        <v>2528</v>
      </c>
      <c r="D618" s="490">
        <v>0</v>
      </c>
      <c r="E618" s="490">
        <v>0</v>
      </c>
      <c r="F618" s="490">
        <v>0</v>
      </c>
      <c r="G618" s="490">
        <v>0</v>
      </c>
      <c r="H618" s="489" t="str">
        <f>VLOOKUP(A618,'TB - Expense Data'!$H$3:$I$757,2,FALSE)</f>
        <v>OPEB EXPENSE</v>
      </c>
    </row>
    <row r="619" spans="1:8" x14ac:dyDescent="0.25">
      <c r="A619" s="489" t="s">
        <v>492</v>
      </c>
      <c r="B619" s="489" t="s">
        <v>1161</v>
      </c>
      <c r="C619" s="490">
        <v>128</v>
      </c>
      <c r="D619" s="490">
        <v>0</v>
      </c>
      <c r="E619" s="490">
        <v>0</v>
      </c>
      <c r="F619" s="490">
        <v>0</v>
      </c>
      <c r="G619" s="490">
        <v>0</v>
      </c>
      <c r="H619" s="489" t="str">
        <f>VLOOKUP(A619,'TB - Expense Data'!$H$3:$I$757,2,FALSE)</f>
        <v>BOOKS &amp; REF MATERIALS</v>
      </c>
    </row>
    <row r="620" spans="1:8" x14ac:dyDescent="0.25">
      <c r="A620" s="489" t="s">
        <v>512</v>
      </c>
      <c r="B620" s="489" t="s">
        <v>47</v>
      </c>
      <c r="C620" s="490">
        <v>2685</v>
      </c>
      <c r="D620" s="490">
        <v>0</v>
      </c>
      <c r="E620" s="490">
        <v>1754.3</v>
      </c>
      <c r="F620" s="490">
        <v>0</v>
      </c>
      <c r="G620" s="490">
        <v>1754.3</v>
      </c>
      <c r="H620" s="489" t="str">
        <f>VLOOKUP(A620,'TB - Expense Data'!$H$3:$I$757,2,FALSE)</f>
        <v>PRINTING</v>
      </c>
    </row>
    <row r="621" spans="1:8" x14ac:dyDescent="0.25">
      <c r="A621" s="489" t="s">
        <v>503</v>
      </c>
      <c r="B621" s="489" t="s">
        <v>49</v>
      </c>
      <c r="C621" s="490">
        <v>250</v>
      </c>
      <c r="D621" s="490">
        <v>0</v>
      </c>
      <c r="E621" s="490">
        <v>0</v>
      </c>
      <c r="F621" s="490">
        <v>0</v>
      </c>
      <c r="G621" s="490">
        <v>0</v>
      </c>
      <c r="H621" s="489" t="str">
        <f>VLOOKUP(A621,'TB - Expense Data'!$H$3:$I$757,2,FALSE)</f>
        <v>GENERAL SUPPLY</v>
      </c>
    </row>
    <row r="622" spans="1:8" x14ac:dyDescent="0.25">
      <c r="A622" s="489" t="s">
        <v>495</v>
      </c>
      <c r="B622" s="489" t="s">
        <v>50</v>
      </c>
      <c r="C622" s="490">
        <v>320</v>
      </c>
      <c r="D622" s="490">
        <v>0</v>
      </c>
      <c r="E622" s="490">
        <v>224</v>
      </c>
      <c r="F622" s="490">
        <v>0</v>
      </c>
      <c r="G622" s="490">
        <v>224</v>
      </c>
      <c r="H622" s="489" t="str">
        <f>VLOOKUP(A622,'TB - Expense Data'!$H$3:$I$757,2,FALSE)</f>
        <v>COMPUTERS/DATA PROCESSING</v>
      </c>
    </row>
    <row r="623" spans="1:8" x14ac:dyDescent="0.25">
      <c r="A623" s="489" t="s">
        <v>491</v>
      </c>
      <c r="B623" s="489" t="s">
        <v>51</v>
      </c>
      <c r="C623" s="490">
        <v>500</v>
      </c>
      <c r="D623" s="490">
        <v>0</v>
      </c>
      <c r="E623" s="490">
        <v>0</v>
      </c>
      <c r="F623" s="490">
        <v>0</v>
      </c>
      <c r="G623" s="490">
        <v>0</v>
      </c>
      <c r="H623" s="489" t="str">
        <f>VLOOKUP(A623,'TB - Expense Data'!$H$3:$I$757,2,FALSE)</f>
        <v>ADVERTISEMENT</v>
      </c>
    </row>
    <row r="624" spans="1:8" x14ac:dyDescent="0.25">
      <c r="A624" s="489" t="s">
        <v>509</v>
      </c>
      <c r="B624" s="489" t="s">
        <v>54</v>
      </c>
      <c r="C624" s="490">
        <v>3200</v>
      </c>
      <c r="D624" s="490">
        <v>0</v>
      </c>
      <c r="E624" s="490">
        <v>320</v>
      </c>
      <c r="F624" s="490">
        <v>0</v>
      </c>
      <c r="G624" s="490">
        <v>320</v>
      </c>
      <c r="H624" s="489" t="str">
        <f>VLOOKUP(A624,'TB - Expense Data'!$H$3:$I$757,2,FALSE)</f>
        <v>MEMBERSHIPS &amp; DUES</v>
      </c>
    </row>
    <row r="625" spans="1:8" x14ac:dyDescent="0.25">
      <c r="A625" s="489" t="s">
        <v>514</v>
      </c>
      <c r="B625" s="489" t="s">
        <v>56</v>
      </c>
      <c r="C625" s="490">
        <v>26380</v>
      </c>
      <c r="D625" s="490">
        <v>0</v>
      </c>
      <c r="E625" s="490">
        <v>26377.56</v>
      </c>
      <c r="F625" s="490">
        <v>0</v>
      </c>
      <c r="G625" s="490">
        <v>26377.56</v>
      </c>
      <c r="H625" s="489" t="str">
        <f>VLOOKUP(A625,'TB - Expense Data'!$H$3:$I$757,2,FALSE)</f>
        <v>TOILET &amp; SHOWER HEAD</v>
      </c>
    </row>
    <row r="626" spans="1:8" x14ac:dyDescent="0.25">
      <c r="A626" s="489" t="s">
        <v>517</v>
      </c>
      <c r="B626" s="489" t="s">
        <v>57</v>
      </c>
      <c r="C626" s="490">
        <v>9375</v>
      </c>
      <c r="D626" s="490">
        <v>0</v>
      </c>
      <c r="E626" s="490">
        <v>5375</v>
      </c>
      <c r="F626" s="490">
        <v>0</v>
      </c>
      <c r="G626" s="490">
        <v>5375</v>
      </c>
      <c r="H626" s="489" t="str">
        <f>VLOOKUP(A626,'TB - Expense Data'!$H$3:$I$757,2,FALSE)</f>
        <v>WASHING MACHINE REBATE</v>
      </c>
    </row>
    <row r="627" spans="1:8" x14ac:dyDescent="0.25">
      <c r="A627" s="489" t="s">
        <v>496</v>
      </c>
      <c r="B627" s="489" t="s">
        <v>58</v>
      </c>
      <c r="C627" s="490">
        <v>15250</v>
      </c>
      <c r="D627" s="490">
        <v>0</v>
      </c>
      <c r="E627" s="490">
        <v>4933.53</v>
      </c>
      <c r="F627" s="490">
        <v>0</v>
      </c>
      <c r="G627" s="490">
        <v>4933.53</v>
      </c>
      <c r="H627" s="489" t="str">
        <f>VLOOKUP(A627,'TB - Expense Data'!$H$3:$I$757,2,FALSE)</f>
        <v>CONSERVATION EDUCATION</v>
      </c>
    </row>
    <row r="628" spans="1:8" x14ac:dyDescent="0.25">
      <c r="A628" s="489" t="s">
        <v>506</v>
      </c>
      <c r="B628" s="489" t="s">
        <v>59</v>
      </c>
      <c r="C628" s="490">
        <v>3970</v>
      </c>
      <c r="D628" s="490">
        <v>0</v>
      </c>
      <c r="E628" s="490">
        <v>0</v>
      </c>
      <c r="F628" s="490">
        <v>0</v>
      </c>
      <c r="G628" s="490">
        <v>0</v>
      </c>
      <c r="H628" s="489" t="str">
        <f>VLOOKUP(A628,'TB - Expense Data'!$H$3:$I$757,2,FALSE)</f>
        <v>LANDSCAPE REBATE</v>
      </c>
    </row>
    <row r="629" spans="1:8" x14ac:dyDescent="0.25">
      <c r="A629" s="489" t="s">
        <v>504</v>
      </c>
      <c r="B629" s="489" t="s">
        <v>2320</v>
      </c>
      <c r="C629" s="490">
        <v>1000</v>
      </c>
      <c r="D629" s="490">
        <v>0</v>
      </c>
      <c r="E629" s="490">
        <v>0</v>
      </c>
      <c r="F629" s="490">
        <v>0</v>
      </c>
      <c r="G629" s="490">
        <v>0</v>
      </c>
      <c r="H629" s="489" t="str">
        <f>VLOOKUP(A629,'TB - Expense Data'!$H$3:$I$757,2,FALSE)</f>
        <v>HOT WATER RECIR REBATE</v>
      </c>
    </row>
    <row r="630" spans="1:8" x14ac:dyDescent="0.25">
      <c r="A630" s="489" t="s">
        <v>505</v>
      </c>
      <c r="B630" s="489" t="s">
        <v>60</v>
      </c>
      <c r="C630" s="490">
        <v>500</v>
      </c>
      <c r="D630" s="490">
        <v>0</v>
      </c>
      <c r="E630" s="490">
        <v>0</v>
      </c>
      <c r="F630" s="490">
        <v>0</v>
      </c>
      <c r="G630" s="490">
        <v>0</v>
      </c>
      <c r="H630" s="489" t="str">
        <f>VLOOKUP(A630,'TB - Expense Data'!$H$3:$I$757,2,FALSE)</f>
        <v>LANDSCAPE DEMONSTRATION</v>
      </c>
    </row>
    <row r="631" spans="1:8" x14ac:dyDescent="0.25">
      <c r="A631" s="489" t="s">
        <v>585</v>
      </c>
      <c r="B631" s="489" t="s">
        <v>150</v>
      </c>
      <c r="C631" s="490">
        <v>322793</v>
      </c>
      <c r="D631" s="490">
        <v>0</v>
      </c>
      <c r="E631" s="490">
        <v>130273.92</v>
      </c>
      <c r="F631" s="490">
        <v>9052.83</v>
      </c>
      <c r="G631" s="490">
        <v>121221.09</v>
      </c>
      <c r="H631" s="489" t="str">
        <f>VLOOKUP(A631,'TB - Expense Data'!$H$3:$I$757,2,FALSE)</f>
        <v>WAGES - ENG</v>
      </c>
    </row>
    <row r="632" spans="1:8" x14ac:dyDescent="0.25">
      <c r="A632" s="489" t="s">
        <v>586</v>
      </c>
      <c r="B632" s="489" t="s">
        <v>667</v>
      </c>
      <c r="C632" s="490">
        <v>-185303.4</v>
      </c>
      <c r="D632" s="490">
        <v>0</v>
      </c>
      <c r="E632" s="490">
        <v>0</v>
      </c>
      <c r="F632" s="490">
        <v>18783.509999999998</v>
      </c>
      <c r="G632" s="490">
        <v>-18783.509999999998</v>
      </c>
      <c r="H632" s="489" t="str">
        <f>VLOOKUP(A632,'TB - Expense Data'!$H$3:$I$757,2,FALSE)</f>
        <v>WAGES ALLOCATED TO CAPITAL</v>
      </c>
    </row>
    <row r="633" spans="1:8" x14ac:dyDescent="0.25">
      <c r="A633" s="489" t="s">
        <v>580</v>
      </c>
      <c r="B633" s="489" t="s">
        <v>37</v>
      </c>
      <c r="C633" s="490">
        <v>1648</v>
      </c>
      <c r="D633" s="490">
        <v>0</v>
      </c>
      <c r="E633" s="490">
        <v>0</v>
      </c>
      <c r="F633" s="490">
        <v>0</v>
      </c>
      <c r="G633" s="490">
        <v>0</v>
      </c>
      <c r="H633" s="489" t="str">
        <f>VLOOKUP(A633,'TB - Expense Data'!$H$3:$I$757,2,FALSE)</f>
        <v>OVERTIME</v>
      </c>
    </row>
    <row r="634" spans="1:8" x14ac:dyDescent="0.25">
      <c r="A634" s="489" t="s">
        <v>574</v>
      </c>
      <c r="B634" s="489" t="s">
        <v>153</v>
      </c>
      <c r="C634" s="490">
        <v>18348.27</v>
      </c>
      <c r="D634" s="490">
        <v>0</v>
      </c>
      <c r="E634" s="490">
        <v>6731.42</v>
      </c>
      <c r="F634" s="490">
        <v>522.49</v>
      </c>
      <c r="G634" s="490">
        <v>6208.93</v>
      </c>
      <c r="H634" s="489" t="str">
        <f>VLOOKUP(A634,'TB - Expense Data'!$H$3:$I$757,2,FALSE)</f>
        <v>FICA EXPENSE</v>
      </c>
    </row>
    <row r="635" spans="1:8" x14ac:dyDescent="0.25">
      <c r="A635" s="489" t="s">
        <v>573</v>
      </c>
      <c r="B635" s="489" t="s">
        <v>154</v>
      </c>
      <c r="C635" s="490">
        <v>4704</v>
      </c>
      <c r="D635" s="490">
        <v>0</v>
      </c>
      <c r="E635" s="490">
        <v>1852.03</v>
      </c>
      <c r="F635" s="490">
        <v>122.23</v>
      </c>
      <c r="G635" s="490">
        <v>1729.8</v>
      </c>
      <c r="H635" s="489" t="str">
        <f>VLOOKUP(A635,'TB - Expense Data'!$H$3:$I$757,2,FALSE)</f>
        <v>MEDI EXPENSE</v>
      </c>
    </row>
    <row r="636" spans="1:8" x14ac:dyDescent="0.25">
      <c r="A636" s="489" t="s">
        <v>576</v>
      </c>
      <c r="B636" s="489" t="s">
        <v>38</v>
      </c>
      <c r="C636" s="490">
        <v>62606</v>
      </c>
      <c r="D636" s="490">
        <v>0</v>
      </c>
      <c r="E636" s="490">
        <v>24929.61</v>
      </c>
      <c r="F636" s="490">
        <v>0</v>
      </c>
      <c r="G636" s="490">
        <v>24929.61</v>
      </c>
      <c r="H636" s="489" t="str">
        <f>VLOOKUP(A636,'TB - Expense Data'!$H$3:$I$757,2,FALSE)</f>
        <v>MEDICAL INSURANCE</v>
      </c>
    </row>
    <row r="637" spans="1:8" x14ac:dyDescent="0.25">
      <c r="A637" s="489" t="s">
        <v>568</v>
      </c>
      <c r="B637" s="489" t="s">
        <v>77</v>
      </c>
      <c r="C637" s="490">
        <v>3783</v>
      </c>
      <c r="D637" s="490">
        <v>0</v>
      </c>
      <c r="E637" s="490">
        <v>1463.05</v>
      </c>
      <c r="F637" s="490">
        <v>0</v>
      </c>
      <c r="G637" s="490">
        <v>1463.05</v>
      </c>
      <c r="H637" s="489" t="str">
        <f>VLOOKUP(A637,'TB - Expense Data'!$H$3:$I$757,2,FALSE)</f>
        <v>DENTAL INSURANCE</v>
      </c>
    </row>
    <row r="638" spans="1:8" x14ac:dyDescent="0.25">
      <c r="A638" s="489" t="s">
        <v>584</v>
      </c>
      <c r="B638" s="489" t="s">
        <v>78</v>
      </c>
      <c r="C638" s="490">
        <v>617</v>
      </c>
      <c r="D638" s="490">
        <v>0</v>
      </c>
      <c r="E638" s="490">
        <v>278.42</v>
      </c>
      <c r="F638" s="490">
        <v>0</v>
      </c>
      <c r="G638" s="490">
        <v>278.42</v>
      </c>
      <c r="H638" s="489" t="str">
        <f>VLOOKUP(A638,'TB - Expense Data'!$H$3:$I$757,2,FALSE)</f>
        <v>VISION INSURANCE</v>
      </c>
    </row>
    <row r="639" spans="1:8" x14ac:dyDescent="0.25">
      <c r="A639" s="489" t="s">
        <v>587</v>
      </c>
      <c r="B639" s="489" t="s">
        <v>893</v>
      </c>
      <c r="C639" s="490">
        <v>3232</v>
      </c>
      <c r="D639" s="490">
        <v>0</v>
      </c>
      <c r="E639" s="490">
        <v>1271.31</v>
      </c>
      <c r="F639" s="490">
        <v>72.989999999999995</v>
      </c>
      <c r="G639" s="490">
        <v>1198.32</v>
      </c>
      <c r="H639" s="489" t="str">
        <f>VLOOKUP(A639,'TB - Expense Data'!$H$3:$I$757,2,FALSE)</f>
        <v>WORKERS COMP INSURANCE</v>
      </c>
    </row>
    <row r="640" spans="1:8" x14ac:dyDescent="0.25">
      <c r="A640" s="489" t="s">
        <v>575</v>
      </c>
      <c r="B640" s="489" t="s">
        <v>2249</v>
      </c>
      <c r="C640" s="490">
        <v>1206</v>
      </c>
      <c r="D640" s="490">
        <v>0</v>
      </c>
      <c r="E640" s="490">
        <v>881.69</v>
      </c>
      <c r="F640" s="490">
        <v>269.39999999999998</v>
      </c>
      <c r="G640" s="490">
        <v>612.29</v>
      </c>
      <c r="H640" s="489" t="str">
        <f>VLOOKUP(A640,'TB - Expense Data'!$H$3:$I$757,2,FALSE)</f>
        <v>LIFE INSURANCE EXPENSE</v>
      </c>
    </row>
    <row r="641" spans="1:8" x14ac:dyDescent="0.25">
      <c r="A641" s="489" t="s">
        <v>565</v>
      </c>
      <c r="B641" s="489" t="s">
        <v>65</v>
      </c>
      <c r="C641" s="490">
        <v>416</v>
      </c>
      <c r="D641" s="490">
        <v>0</v>
      </c>
      <c r="E641" s="490">
        <v>71.27</v>
      </c>
      <c r="F641" s="490">
        <v>0</v>
      </c>
      <c r="G641" s="490">
        <v>71.27</v>
      </c>
      <c r="H641" s="489" t="str">
        <f>VLOOKUP(A641,'TB - Expense Data'!$H$3:$I$757,2,FALSE)</f>
        <v>BOOT BENEFIT</v>
      </c>
    </row>
    <row r="642" spans="1:8" x14ac:dyDescent="0.25">
      <c r="A642" s="489" t="s">
        <v>582</v>
      </c>
      <c r="B642" s="489" t="s">
        <v>40</v>
      </c>
      <c r="C642" s="490">
        <v>1147</v>
      </c>
      <c r="D642" s="490">
        <v>0</v>
      </c>
      <c r="E642" s="490">
        <v>185.14</v>
      </c>
      <c r="F642" s="490">
        <v>7.28</v>
      </c>
      <c r="G642" s="490">
        <v>177.86</v>
      </c>
      <c r="H642" s="489" t="str">
        <f>VLOOKUP(A642,'TB - Expense Data'!$H$3:$I$757,2,FALSE)</f>
        <v>SUI EXPENSE</v>
      </c>
    </row>
    <row r="643" spans="1:8" x14ac:dyDescent="0.25">
      <c r="A643" s="489" t="s">
        <v>572</v>
      </c>
      <c r="B643" s="489" t="s">
        <v>41</v>
      </c>
      <c r="C643" s="490">
        <v>25</v>
      </c>
      <c r="D643" s="490">
        <v>0</v>
      </c>
      <c r="E643" s="490">
        <v>4.6399999999999997</v>
      </c>
      <c r="F643" s="490">
        <v>0.16</v>
      </c>
      <c r="G643" s="490">
        <v>4.4800000000000004</v>
      </c>
      <c r="H643" s="489" t="str">
        <f>VLOOKUP(A643,'TB - Expense Data'!$H$3:$I$757,2,FALSE)</f>
        <v>ETT EXPENSE</v>
      </c>
    </row>
    <row r="644" spans="1:8" x14ac:dyDescent="0.25">
      <c r="A644" s="489" t="s">
        <v>569</v>
      </c>
      <c r="B644" s="489" t="s">
        <v>42</v>
      </c>
      <c r="C644" s="490">
        <v>983</v>
      </c>
      <c r="D644" s="490">
        <v>0</v>
      </c>
      <c r="E644" s="490">
        <v>482.61</v>
      </c>
      <c r="F644" s="490">
        <v>30.91</v>
      </c>
      <c r="G644" s="490">
        <v>451.7</v>
      </c>
      <c r="H644" s="489" t="str">
        <f>VLOOKUP(A644,'TB - Expense Data'!$H$3:$I$757,2,FALSE)</f>
        <v>DISABILITY PLAN</v>
      </c>
    </row>
    <row r="645" spans="1:8" x14ac:dyDescent="0.25">
      <c r="A645" s="489" t="s">
        <v>566</v>
      </c>
      <c r="B645" s="489" t="s">
        <v>2252</v>
      </c>
      <c r="C645" s="490">
        <v>28633</v>
      </c>
      <c r="D645" s="490">
        <v>0</v>
      </c>
      <c r="E645" s="490">
        <v>10273.81</v>
      </c>
      <c r="F645" s="490">
        <v>762.55</v>
      </c>
      <c r="G645" s="490">
        <v>9511.26</v>
      </c>
      <c r="H645" s="489" t="str">
        <f>VLOOKUP(A645,'TB - Expense Data'!$H$3:$I$757,2,FALSE)</f>
        <v>CALPERS RETIREMENT</v>
      </c>
    </row>
    <row r="646" spans="1:8" x14ac:dyDescent="0.25">
      <c r="A646" s="489" t="s">
        <v>567</v>
      </c>
      <c r="B646" s="489" t="s">
        <v>44</v>
      </c>
      <c r="C646" s="490">
        <v>23654</v>
      </c>
      <c r="D646" s="490">
        <v>0</v>
      </c>
      <c r="E646" s="490">
        <v>8519.5499999999993</v>
      </c>
      <c r="F646" s="490">
        <v>628.55999999999995</v>
      </c>
      <c r="G646" s="490">
        <v>7890.99</v>
      </c>
      <c r="H646" s="489" t="str">
        <f>VLOOKUP(A646,'TB - Expense Data'!$H$3:$I$757,2,FALSE)</f>
        <v>CALPERS RETIREMENT (EE)</v>
      </c>
    </row>
    <row r="647" spans="1:8" x14ac:dyDescent="0.25">
      <c r="A647" s="489" t="s">
        <v>579</v>
      </c>
      <c r="B647" s="489" t="s">
        <v>183</v>
      </c>
      <c r="C647" s="490">
        <v>14092</v>
      </c>
      <c r="D647" s="490">
        <v>0</v>
      </c>
      <c r="E647" s="490">
        <v>0</v>
      </c>
      <c r="F647" s="490">
        <v>0</v>
      </c>
      <c r="G647" s="490">
        <v>0</v>
      </c>
      <c r="H647" s="489" t="str">
        <f>VLOOKUP(A647,'TB - Expense Data'!$H$3:$I$757,2,FALSE)</f>
        <v>OPEB EXPENSE</v>
      </c>
    </row>
    <row r="648" spans="1:8" x14ac:dyDescent="0.25">
      <c r="A648" s="489" t="s">
        <v>2773</v>
      </c>
      <c r="B648" s="489" t="s">
        <v>2254</v>
      </c>
      <c r="C648" s="490">
        <v>0</v>
      </c>
      <c r="D648" s="490">
        <v>0</v>
      </c>
      <c r="E648" s="490">
        <v>617</v>
      </c>
      <c r="F648" s="490">
        <v>0</v>
      </c>
      <c r="G648" s="490">
        <v>617</v>
      </c>
      <c r="H648" s="489" t="str">
        <f>VLOOKUP(A648,'TB - Expense Data'!$H$3:$I$757,2,FALSE)</f>
        <v>CALPERS-62 RETIREMENT (ER)</v>
      </c>
    </row>
    <row r="649" spans="1:8" x14ac:dyDescent="0.25">
      <c r="A649" s="489" t="s">
        <v>2774</v>
      </c>
      <c r="B649" s="489" t="s">
        <v>2256</v>
      </c>
      <c r="C649" s="490">
        <v>0</v>
      </c>
      <c r="D649" s="490">
        <v>0</v>
      </c>
      <c r="E649" s="490">
        <v>785.25</v>
      </c>
      <c r="F649" s="490">
        <v>0</v>
      </c>
      <c r="G649" s="490">
        <v>785.25</v>
      </c>
      <c r="H649" s="489" t="str">
        <f>VLOOKUP(A649,'TB - Expense Data'!$H$3:$I$757,2,FALSE)</f>
        <v>CALPERS-62 RETIREMENT (EE)</v>
      </c>
    </row>
    <row r="650" spans="1:8" x14ac:dyDescent="0.25">
      <c r="A650" s="489" t="s">
        <v>2775</v>
      </c>
      <c r="B650" s="489" t="s">
        <v>1161</v>
      </c>
      <c r="C650" s="490">
        <v>204</v>
      </c>
      <c r="D650" s="490">
        <v>0</v>
      </c>
      <c r="E650" s="490">
        <v>0</v>
      </c>
      <c r="F650" s="490">
        <v>0</v>
      </c>
      <c r="G650" s="490">
        <v>0</v>
      </c>
      <c r="H650" s="489" t="str">
        <f>VLOOKUP(A650,'TB - Expense Data'!$H$3:$I$757,2,FALSE)</f>
        <v>BOOKS &amp; REF MATERIALS</v>
      </c>
    </row>
    <row r="651" spans="1:8" x14ac:dyDescent="0.25">
      <c r="A651" s="489" t="s">
        <v>577</v>
      </c>
      <c r="B651" s="489" t="s">
        <v>54</v>
      </c>
      <c r="C651" s="490">
        <v>382.5</v>
      </c>
      <c r="D651" s="490">
        <v>0</v>
      </c>
      <c r="E651" s="490">
        <v>0</v>
      </c>
      <c r="F651" s="490">
        <v>0</v>
      </c>
      <c r="G651" s="490">
        <v>0</v>
      </c>
      <c r="H651" s="489" t="str">
        <f>VLOOKUP(A651,'TB - Expense Data'!$H$3:$I$757,2,FALSE)</f>
        <v>MEMBERSHIPS &amp; DUES</v>
      </c>
    </row>
    <row r="652" spans="1:8" x14ac:dyDescent="0.25">
      <c r="A652" s="489" t="s">
        <v>570</v>
      </c>
      <c r="B652" s="489" t="s">
        <v>152</v>
      </c>
      <c r="C652" s="490">
        <v>102000</v>
      </c>
      <c r="D652" s="490">
        <v>0</v>
      </c>
      <c r="E652" s="490">
        <v>5981.97</v>
      </c>
      <c r="F652" s="490">
        <v>0</v>
      </c>
      <c r="G652" s="490">
        <v>5981.97</v>
      </c>
      <c r="H652" s="489" t="str">
        <f>VLOOKUP(A652,'TB - Expense Data'!$H$3:$I$757,2,FALSE)</f>
        <v>ENGINEERING CONSULTANTS</v>
      </c>
    </row>
    <row r="653" spans="1:8" x14ac:dyDescent="0.25">
      <c r="A653" s="489" t="s">
        <v>571</v>
      </c>
      <c r="B653" s="489" t="s">
        <v>1177</v>
      </c>
      <c r="C653" s="490">
        <v>51000</v>
      </c>
      <c r="D653" s="490">
        <v>0</v>
      </c>
      <c r="E653" s="490">
        <v>165101.35999999999</v>
      </c>
      <c r="F653" s="490">
        <v>1471.5</v>
      </c>
      <c r="G653" s="490">
        <v>163629.85999999999</v>
      </c>
      <c r="H653" s="489" t="str">
        <f>VLOOKUP(A653,'TB - Expense Data'!$H$3:$I$757,2,FALSE)</f>
        <v>DEVELOPER EXPENSES (NOT MCWD)</v>
      </c>
    </row>
    <row r="654" spans="1:8" x14ac:dyDescent="0.25">
      <c r="A654" s="489" t="s">
        <v>1699</v>
      </c>
      <c r="B654" s="489" t="s">
        <v>1470</v>
      </c>
      <c r="C654" s="490">
        <v>0</v>
      </c>
      <c r="D654" s="490">
        <v>157231.51</v>
      </c>
      <c r="E654" s="490">
        <v>0</v>
      </c>
      <c r="F654" s="490">
        <v>0</v>
      </c>
      <c r="G654" s="490">
        <v>157231.51</v>
      </c>
      <c r="H654" s="489" t="str">
        <f>VLOOKUP(A654,'TB - Fixed Assets and CIP'!$C$2:$D$207,2,FALSE)</f>
        <v>LAND 12TH STREET (FORA)</v>
      </c>
    </row>
    <row r="655" spans="1:8" x14ac:dyDescent="0.25">
      <c r="A655" s="489" t="s">
        <v>1700</v>
      </c>
      <c r="B655" s="489" t="s">
        <v>1472</v>
      </c>
      <c r="C655" s="490">
        <v>0</v>
      </c>
      <c r="D655" s="490">
        <v>30067.46</v>
      </c>
      <c r="E655" s="490">
        <v>0</v>
      </c>
      <c r="F655" s="490">
        <v>0</v>
      </c>
      <c r="G655" s="490">
        <v>30067.46</v>
      </c>
      <c r="H655" s="489" t="str">
        <f>VLOOKUP(A655,'TB - Fixed Assets and CIP'!$C$2:$D$207,2,FALSE)</f>
        <v>LAND 12TH STREET (AMBAG)</v>
      </c>
    </row>
    <row r="656" spans="1:8" x14ac:dyDescent="0.25">
      <c r="A656" s="489" t="s">
        <v>1701</v>
      </c>
      <c r="B656" s="489" t="s">
        <v>1568</v>
      </c>
      <c r="C656" s="490">
        <v>0</v>
      </c>
      <c r="D656" s="490">
        <v>15300000</v>
      </c>
      <c r="E656" s="490">
        <v>0</v>
      </c>
      <c r="F656" s="490">
        <v>0</v>
      </c>
      <c r="G656" s="490">
        <v>15300000</v>
      </c>
      <c r="H656" s="489" t="str">
        <f>VLOOKUP(A656,'TB - Fixed Assets and CIP'!$C$2:$D$207,2,FALSE)</f>
        <v>SEWER RIGHTS</v>
      </c>
    </row>
    <row r="657" spans="1:8" x14ac:dyDescent="0.25">
      <c r="A657" s="489" t="s">
        <v>1702</v>
      </c>
      <c r="B657" s="489" t="s">
        <v>1476</v>
      </c>
      <c r="C657" s="490">
        <v>0</v>
      </c>
      <c r="D657" s="490">
        <v>10800000</v>
      </c>
      <c r="E657" s="490">
        <v>0</v>
      </c>
      <c r="F657" s="490">
        <v>0</v>
      </c>
      <c r="G657" s="490">
        <v>10800000</v>
      </c>
      <c r="H657" s="489" t="str">
        <f>VLOOKUP(A657,'TB - Fixed Assets and CIP'!$C$2:$D$207,2,FALSE)</f>
        <v>PROPERTY EASEMENT ACCESS</v>
      </c>
    </row>
    <row r="658" spans="1:8" x14ac:dyDescent="0.25">
      <c r="A658" s="489" t="s">
        <v>1703</v>
      </c>
      <c r="B658" s="489" t="s">
        <v>1478</v>
      </c>
      <c r="C658" s="490">
        <v>0</v>
      </c>
      <c r="D658" s="490">
        <v>1029250.04</v>
      </c>
      <c r="E658" s="490">
        <v>0</v>
      </c>
      <c r="F658" s="490">
        <v>0</v>
      </c>
      <c r="G658" s="490">
        <v>1029250.04</v>
      </c>
      <c r="H658" s="489" t="str">
        <f>VLOOKUP(A658,'TB - Fixed Assets and CIP'!$C$2:$D$207,2,FALSE)</f>
        <v>LAND - ARMSTRONG RANCH</v>
      </c>
    </row>
    <row r="659" spans="1:8" x14ac:dyDescent="0.25">
      <c r="A659" s="489" t="s">
        <v>1706</v>
      </c>
      <c r="B659" s="489" t="s">
        <v>1486</v>
      </c>
      <c r="C659" s="490">
        <v>7763</v>
      </c>
      <c r="D659" s="490">
        <v>27324.69</v>
      </c>
      <c r="E659" s="490">
        <v>1136.45</v>
      </c>
      <c r="F659" s="490">
        <v>0</v>
      </c>
      <c r="G659" s="490">
        <v>28461.14</v>
      </c>
      <c r="H659" s="489" t="str">
        <f>VLOOKUP(A659,'TB - Fixed Assets and CIP'!$C$2:$D$207,2,FALSE)</f>
        <v>NETWORK COMPUTER SYSTEM</v>
      </c>
    </row>
    <row r="660" spans="1:8" x14ac:dyDescent="0.25">
      <c r="A660" s="489" t="s">
        <v>1707</v>
      </c>
      <c r="B660" s="489" t="s">
        <v>1488</v>
      </c>
      <c r="C660" s="490">
        <v>0</v>
      </c>
      <c r="D660" s="490">
        <v>2397.31</v>
      </c>
      <c r="E660" s="490">
        <v>0</v>
      </c>
      <c r="F660" s="490">
        <v>0</v>
      </c>
      <c r="G660" s="490">
        <v>2397.31</v>
      </c>
      <c r="H660" s="489" t="str">
        <f>VLOOKUP(A660,'TB - Fixed Assets and CIP'!$C$2:$D$207,2,FALSE)</f>
        <v>OFFICE EQUIPMENT</v>
      </c>
    </row>
    <row r="661" spans="1:8" x14ac:dyDescent="0.25">
      <c r="A661" s="489" t="s">
        <v>1708</v>
      </c>
      <c r="B661" s="489" t="s">
        <v>1491</v>
      </c>
      <c r="C661" s="490">
        <v>0</v>
      </c>
      <c r="D661" s="490">
        <v>1278000</v>
      </c>
      <c r="E661" s="490">
        <v>0</v>
      </c>
      <c r="F661" s="490">
        <v>0</v>
      </c>
      <c r="G661" s="490">
        <v>1278000</v>
      </c>
      <c r="H661" s="489" t="str">
        <f>VLOOKUP(A661,'TB - Fixed Assets and CIP'!$C$2:$D$207,2,FALSE)</f>
        <v>GENERAL PLANT</v>
      </c>
    </row>
    <row r="662" spans="1:8" x14ac:dyDescent="0.25">
      <c r="A662" s="489" t="s">
        <v>1709</v>
      </c>
      <c r="B662" s="489" t="s">
        <v>1493</v>
      </c>
      <c r="C662" s="490">
        <v>11000</v>
      </c>
      <c r="D662" s="490">
        <v>58766.68</v>
      </c>
      <c r="E662" s="490">
        <v>2243.77</v>
      </c>
      <c r="F662" s="490">
        <v>0</v>
      </c>
      <c r="G662" s="490">
        <v>61010.45</v>
      </c>
      <c r="H662" s="489" t="str">
        <f>VLOOKUP(A662,'TB - Fixed Assets and CIP'!$C$2:$D$207,2,FALSE)</f>
        <v>VEHICLES</v>
      </c>
    </row>
    <row r="663" spans="1:8" x14ac:dyDescent="0.25">
      <c r="A663" s="489" t="s">
        <v>1711</v>
      </c>
      <c r="B663" s="489" t="s">
        <v>1497</v>
      </c>
      <c r="C663" s="490">
        <v>21450</v>
      </c>
      <c r="D663" s="490">
        <v>238505.11</v>
      </c>
      <c r="E663" s="490">
        <v>0</v>
      </c>
      <c r="F663" s="490">
        <v>0</v>
      </c>
      <c r="G663" s="490">
        <v>238505.11</v>
      </c>
      <c r="H663" s="489" t="str">
        <f>VLOOKUP(A663,'TB - Fixed Assets and CIP'!$C$2:$D$207,2,FALSE)</f>
        <v>O&amp;M EQUIPMENT</v>
      </c>
    </row>
    <row r="664" spans="1:8" x14ac:dyDescent="0.25">
      <c r="A664" s="489" t="s">
        <v>1712</v>
      </c>
      <c r="B664" s="489" t="s">
        <v>1499</v>
      </c>
      <c r="C664" s="490">
        <v>0</v>
      </c>
      <c r="D664" s="490">
        <v>669629.28</v>
      </c>
      <c r="E664" s="490">
        <v>0</v>
      </c>
      <c r="F664" s="490">
        <v>0</v>
      </c>
      <c r="G664" s="490">
        <v>669629.28</v>
      </c>
      <c r="H664" s="489" t="str">
        <f>VLOOKUP(A664,'TB - Fixed Assets and CIP'!$C$2:$D$207,2,FALSE)</f>
        <v>CAPITAL - CONST IN PROGRESS</v>
      </c>
    </row>
    <row r="665" spans="1:8" x14ac:dyDescent="0.25">
      <c r="A665" s="489" t="s">
        <v>1713</v>
      </c>
      <c r="B665" s="489" t="s">
        <v>1714</v>
      </c>
      <c r="C665" s="490">
        <v>0</v>
      </c>
      <c r="D665" s="490">
        <v>126469.55</v>
      </c>
      <c r="E665" s="490">
        <v>0</v>
      </c>
      <c r="F665" s="490">
        <v>0</v>
      </c>
      <c r="G665" s="490">
        <v>126469.55</v>
      </c>
      <c r="H665" s="489" t="str">
        <f>VLOOKUP(A665,'TB - Fixed Assets and CIP'!$C$2:$D$207,2,FALSE)</f>
        <v>OS - 0145 WWTP FLUME PROJECT</v>
      </c>
    </row>
    <row r="666" spans="1:8" x14ac:dyDescent="0.25">
      <c r="A666" s="489" t="s">
        <v>1715</v>
      </c>
      <c r="B666" s="489" t="s">
        <v>1716</v>
      </c>
      <c r="C666" s="490">
        <v>0</v>
      </c>
      <c r="D666" s="490">
        <v>590000</v>
      </c>
      <c r="E666" s="490">
        <v>0</v>
      </c>
      <c r="F666" s="490">
        <v>0</v>
      </c>
      <c r="G666" s="490">
        <v>590000</v>
      </c>
      <c r="H666" s="489" t="str">
        <f>VLOOKUP(A666,'TB - Fixed Assets and CIP'!$C$2:$D$207,2,FALSE)</f>
        <v>OS - 0148 MH SEWER PIPELINE</v>
      </c>
    </row>
    <row r="667" spans="1:8" x14ac:dyDescent="0.25">
      <c r="A667" s="489" t="s">
        <v>1717</v>
      </c>
      <c r="B667" s="489" t="s">
        <v>1718</v>
      </c>
      <c r="C667" s="490">
        <v>0</v>
      </c>
      <c r="D667" s="490">
        <v>1294062.26</v>
      </c>
      <c r="E667" s="490">
        <v>0</v>
      </c>
      <c r="F667" s="490">
        <v>0</v>
      </c>
      <c r="G667" s="490">
        <v>1294062.26</v>
      </c>
      <c r="H667" s="489" t="str">
        <f>VLOOKUP(A667,'TB - Fixed Assets and CIP'!$C$2:$D$207,2,FALSE)</f>
        <v>OS - 0146 SAN PABLO L/S IMPROV</v>
      </c>
    </row>
    <row r="668" spans="1:8" x14ac:dyDescent="0.25">
      <c r="A668" s="489" t="s">
        <v>1725</v>
      </c>
      <c r="B668" s="489" t="s">
        <v>1726</v>
      </c>
      <c r="C668" s="486">
        <v>287902</v>
      </c>
      <c r="D668" s="490">
        <v>0</v>
      </c>
      <c r="E668" s="490">
        <v>3275.61</v>
      </c>
      <c r="F668" s="490">
        <v>0</v>
      </c>
      <c r="G668" s="490">
        <v>3275.61</v>
      </c>
      <c r="H668" s="489" t="str">
        <f>VLOOKUP(A668,'TB - Fixed Assets and CIP'!$C$2:$D$207,2,FALSE)</f>
        <v>OS - 0200 CLARK LS IMPROV</v>
      </c>
    </row>
    <row r="669" spans="1:8" x14ac:dyDescent="0.25">
      <c r="A669" s="489" t="s">
        <v>1727</v>
      </c>
      <c r="B669" s="489" t="s">
        <v>1728</v>
      </c>
      <c r="C669" s="490">
        <v>0</v>
      </c>
      <c r="D669" s="490">
        <v>70083.13</v>
      </c>
      <c r="E669" s="490">
        <v>0</v>
      </c>
      <c r="F669" s="490">
        <v>0</v>
      </c>
      <c r="G669" s="490">
        <v>70083.13</v>
      </c>
      <c r="H669" s="489" t="str">
        <f>VLOOKUP(A669,'TB - Fixed Assets and CIP'!$C$2:$D$207,2,FALSE)</f>
        <v>OS - 0202 DRO LS SEWER MAIN/GJ</v>
      </c>
    </row>
    <row r="670" spans="1:8" x14ac:dyDescent="0.25">
      <c r="A670" s="489" t="s">
        <v>3458</v>
      </c>
      <c r="B670" s="489" t="s">
        <v>3459</v>
      </c>
      <c r="C670" s="486">
        <v>28000</v>
      </c>
      <c r="D670" s="490">
        <v>0</v>
      </c>
      <c r="E670" s="490">
        <v>0</v>
      </c>
      <c r="F670" s="490">
        <v>0</v>
      </c>
      <c r="G670" s="490">
        <v>0</v>
      </c>
      <c r="H670" s="489" t="str">
        <f>VLOOKUP(A670,'TB - Fixed Assets and CIP'!$C$2:$D$207,2,FALSE)</f>
        <v>OS - 0205 IMJIN LS/ FORCE MAIN</v>
      </c>
    </row>
    <row r="671" spans="1:8" x14ac:dyDescent="0.25">
      <c r="A671" s="489" t="s">
        <v>1729</v>
      </c>
      <c r="B671" s="489" t="s">
        <v>2845</v>
      </c>
      <c r="C671" s="490">
        <v>0</v>
      </c>
      <c r="D671" s="490">
        <v>0</v>
      </c>
      <c r="E671" s="490">
        <v>711</v>
      </c>
      <c r="F671" s="490">
        <v>0</v>
      </c>
      <c r="G671" s="490">
        <v>711</v>
      </c>
      <c r="H671" s="489" t="str">
        <f>VLOOKUP(A671,'TB - Fixed Assets and CIP'!$C$2:$D$207,2,FALSE)</f>
        <v>OS - 0218 GIGLING FORCE MAIN</v>
      </c>
    </row>
    <row r="672" spans="1:8" x14ac:dyDescent="0.25">
      <c r="A672" s="489" t="s">
        <v>1730</v>
      </c>
      <c r="B672" s="489" t="s">
        <v>1641</v>
      </c>
      <c r="C672" s="490">
        <v>0</v>
      </c>
      <c r="D672" s="490">
        <v>207615.5</v>
      </c>
      <c r="E672" s="490">
        <v>0</v>
      </c>
      <c r="F672" s="490">
        <v>0</v>
      </c>
      <c r="G672" s="490">
        <v>207615.5</v>
      </c>
      <c r="H672" s="489" t="str">
        <f>VLOOKUP(A672,'TB - Fixed Assets and CIP'!$C$2:$D$207,2,FALSE)</f>
        <v>12TH ST PROJECT</v>
      </c>
    </row>
    <row r="673" spans="1:8" x14ac:dyDescent="0.25">
      <c r="A673" s="489" t="s">
        <v>1734</v>
      </c>
      <c r="B673" s="489" t="s">
        <v>1531</v>
      </c>
      <c r="C673" s="486">
        <v>11550</v>
      </c>
      <c r="D673" s="490">
        <v>222854.39</v>
      </c>
      <c r="E673" s="490">
        <v>0</v>
      </c>
      <c r="F673" s="490">
        <v>0</v>
      </c>
      <c r="G673" s="490">
        <v>222854.39</v>
      </c>
      <c r="H673" s="489" t="str">
        <f>VLOOKUP(A673,'TB - Fixed Assets and CIP'!$C$2:$D$207,2,FALSE)</f>
        <v>WD - 0115 SCADA SYSTEM</v>
      </c>
    </row>
    <row r="674" spans="1:8" x14ac:dyDescent="0.25">
      <c r="A674" s="489" t="s">
        <v>1735</v>
      </c>
      <c r="B674" s="489" t="s">
        <v>1736</v>
      </c>
      <c r="C674" s="490">
        <v>0</v>
      </c>
      <c r="D674" s="490">
        <v>2310593.77</v>
      </c>
      <c r="E674" s="490">
        <v>0</v>
      </c>
      <c r="F674" s="490">
        <v>0</v>
      </c>
      <c r="G674" s="490">
        <v>2310593.77</v>
      </c>
      <c r="H674" s="489" t="str">
        <f>VLOOKUP(A674,'TB - Fixed Assets and CIP'!$C$2:$D$207,2,FALSE)</f>
        <v>OS SYSTEM IMPROVEMENTS</v>
      </c>
    </row>
    <row r="675" spans="1:8" x14ac:dyDescent="0.25">
      <c r="A675" s="509" t="s">
        <v>1737</v>
      </c>
      <c r="B675" s="509" t="s">
        <v>1537</v>
      </c>
      <c r="C675" s="490">
        <v>0</v>
      </c>
      <c r="D675" s="490">
        <v>38675.440000000002</v>
      </c>
      <c r="E675" s="490">
        <v>0</v>
      </c>
      <c r="F675" s="490">
        <v>0</v>
      </c>
      <c r="G675" s="490">
        <v>38675.440000000002</v>
      </c>
      <c r="H675" s="489" t="str">
        <f>VLOOKUP(A675,'TB - Fixed Assets and CIP'!$C$2:$D$207,2,FALSE)</f>
        <v>WD - 0110 ASSET MGMT PROGRAM</v>
      </c>
    </row>
    <row r="676" spans="1:8" x14ac:dyDescent="0.25">
      <c r="A676" s="506" t="s">
        <v>1738</v>
      </c>
      <c r="B676" s="506" t="s">
        <v>1539</v>
      </c>
      <c r="C676" s="486">
        <v>2255</v>
      </c>
      <c r="D676" s="490">
        <v>0</v>
      </c>
      <c r="E676" s="490">
        <v>0</v>
      </c>
      <c r="F676" s="490">
        <v>0</v>
      </c>
      <c r="G676" s="490">
        <v>0</v>
      </c>
      <c r="H676" s="489" t="str">
        <f>VLOOKUP(A676,'TB - Fixed Assets and CIP'!$C$2:$D$207,2,FALSE)</f>
        <v>WD - 0203 ORD OFFICE LANDSCAPE</v>
      </c>
    </row>
    <row r="677" spans="1:8" x14ac:dyDescent="0.25">
      <c r="A677" s="489" t="s">
        <v>1740</v>
      </c>
      <c r="B677" s="489" t="s">
        <v>1545</v>
      </c>
      <c r="C677" s="490">
        <v>0</v>
      </c>
      <c r="D677" s="490">
        <v>49613.2</v>
      </c>
      <c r="E677" s="490">
        <v>0</v>
      </c>
      <c r="F677" s="490">
        <v>0</v>
      </c>
      <c r="G677" s="490">
        <v>49613.2</v>
      </c>
      <c r="H677" s="489" t="str">
        <f>VLOOKUP(A677,'TB - Fixed Assets and CIP'!$C$2:$D$207,2,FALSE)</f>
        <v>CORPORATION YARD</v>
      </c>
    </row>
    <row r="678" spans="1:8" x14ac:dyDescent="0.25">
      <c r="A678" s="489" t="s">
        <v>1741</v>
      </c>
      <c r="B678" s="489" t="s">
        <v>1547</v>
      </c>
      <c r="C678" s="490">
        <v>0</v>
      </c>
      <c r="D678" s="490">
        <v>420860.89</v>
      </c>
      <c r="E678" s="490">
        <v>630.07000000000005</v>
      </c>
      <c r="F678" s="490">
        <v>630.07000000000005</v>
      </c>
      <c r="G678" s="490">
        <v>420860.89</v>
      </c>
      <c r="H678" s="489" t="str">
        <f>VLOOKUP(A678,'TB - Fixed Assets and CIP'!$C$2:$D$207,2,FALSE)</f>
        <v>BUILDINGS - 920 2ND AVE, STE A</v>
      </c>
    </row>
    <row r="679" spans="1:8" x14ac:dyDescent="0.25">
      <c r="A679" s="489" t="s">
        <v>1742</v>
      </c>
      <c r="B679" s="489" t="s">
        <v>2060</v>
      </c>
      <c r="C679" s="486">
        <v>316736</v>
      </c>
      <c r="D679" s="490">
        <v>0</v>
      </c>
      <c r="E679" s="490">
        <v>6843.42</v>
      </c>
      <c r="F679" s="490">
        <v>0</v>
      </c>
      <c r="G679" s="490">
        <v>6843.42</v>
      </c>
      <c r="H679" s="489" t="str">
        <f>VLOOKUP(A679,'TB - Fixed Assets and CIP'!$C$2:$D$207,2,FALSE)</f>
        <v>WD - 0202 BUILDINGS - 940 2ND AVENUE</v>
      </c>
    </row>
    <row r="680" spans="1:8" x14ac:dyDescent="0.25">
      <c r="A680" s="489" t="s">
        <v>1744</v>
      </c>
      <c r="B680" s="489" t="s">
        <v>1611</v>
      </c>
      <c r="C680" s="490">
        <v>0</v>
      </c>
      <c r="D680" s="490">
        <v>330122.75</v>
      </c>
      <c r="E680" s="490">
        <v>0</v>
      </c>
      <c r="F680" s="490">
        <v>0</v>
      </c>
      <c r="G680" s="490">
        <v>330122.75</v>
      </c>
      <c r="H680" s="489" t="str">
        <f>VLOOKUP(A680,'TB - Fixed Assets and CIP'!$C$2:$D$207,2,FALSE)</f>
        <v>COLLECTION SYSTEM</v>
      </c>
    </row>
    <row r="681" spans="1:8" x14ac:dyDescent="0.25">
      <c r="A681" s="489" t="s">
        <v>924</v>
      </c>
      <c r="B681" s="489" t="s">
        <v>11</v>
      </c>
      <c r="C681" s="490">
        <v>33000</v>
      </c>
      <c r="D681" s="490">
        <v>0</v>
      </c>
      <c r="E681" s="490">
        <v>12</v>
      </c>
      <c r="F681" s="490">
        <v>18663.490000000002</v>
      </c>
      <c r="G681" s="490">
        <v>-18651.490000000002</v>
      </c>
      <c r="H681" s="489" t="str">
        <f>VLOOKUP(A681,'TB - Revenue Data'!$B$5:C738,2,FALSE)</f>
        <v>CAPITAL SURCHARGE</v>
      </c>
    </row>
    <row r="682" spans="1:8" x14ac:dyDescent="0.25">
      <c r="A682" s="489" t="s">
        <v>921</v>
      </c>
      <c r="B682" s="489" t="s">
        <v>12</v>
      </c>
      <c r="C682" s="490">
        <v>667722</v>
      </c>
      <c r="D682" s="490">
        <v>0</v>
      </c>
      <c r="E682" s="490">
        <v>0</v>
      </c>
      <c r="F682" s="490">
        <v>25784</v>
      </c>
      <c r="G682" s="490">
        <v>-25784</v>
      </c>
      <c r="H682" s="489" t="str">
        <f>VLOOKUP(A682,'TB - Revenue Data'!$B$5:C739,2,FALSE)</f>
        <v>CAPACITY CHARGES</v>
      </c>
    </row>
    <row r="683" spans="1:8" x14ac:dyDescent="0.25">
      <c r="A683" s="489" t="s">
        <v>933</v>
      </c>
      <c r="B683" s="489" t="s">
        <v>13</v>
      </c>
      <c r="C683" s="490">
        <v>3800</v>
      </c>
      <c r="D683" s="490">
        <v>0</v>
      </c>
      <c r="E683" s="490">
        <v>0</v>
      </c>
      <c r="F683" s="490">
        <v>1849.76</v>
      </c>
      <c r="G683" s="490">
        <v>-1849.76</v>
      </c>
      <c r="H683" s="489" t="str">
        <f>VLOOKUP(A683,'TB - Revenue Data'!$B$5:C740,2,FALSE)</f>
        <v>INTEREST INCOME</v>
      </c>
    </row>
    <row r="684" spans="1:8" x14ac:dyDescent="0.25">
      <c r="A684" s="489" t="s">
        <v>934</v>
      </c>
      <c r="B684" s="489" t="s">
        <v>15</v>
      </c>
      <c r="C684" s="490">
        <v>29000</v>
      </c>
      <c r="D684" s="490">
        <v>0</v>
      </c>
      <c r="E684" s="490">
        <v>2694</v>
      </c>
      <c r="F684" s="490">
        <v>16908.849999999999</v>
      </c>
      <c r="G684" s="490">
        <v>-14214.85</v>
      </c>
      <c r="H684" s="489" t="str">
        <f>VLOOKUP(A684,'TB - Revenue Data'!$B$5:C741,2,FALSE)</f>
        <v>INTEREST INCOME - 2006 BOND</v>
      </c>
    </row>
    <row r="685" spans="1:8" x14ac:dyDescent="0.25">
      <c r="A685" s="489" t="s">
        <v>945</v>
      </c>
      <c r="B685" s="489" t="s">
        <v>843</v>
      </c>
      <c r="C685" s="490">
        <v>20</v>
      </c>
      <c r="D685" s="490">
        <v>0</v>
      </c>
      <c r="E685" s="490">
        <v>0</v>
      </c>
      <c r="F685" s="490">
        <v>8.66</v>
      </c>
      <c r="G685" s="490">
        <v>-8.66</v>
      </c>
      <c r="H685" s="489" t="str">
        <f>VLOOKUP(A685,'TB - Revenue Data'!$B$5:C742,2,FALSE)</f>
        <v>INTEREST INCOME - 2010 BOND</v>
      </c>
    </row>
    <row r="686" spans="1:8" x14ac:dyDescent="0.25">
      <c r="A686" s="489" t="s">
        <v>926</v>
      </c>
      <c r="B686" s="489" t="s">
        <v>16</v>
      </c>
      <c r="C686" s="490">
        <v>10000</v>
      </c>
      <c r="D686" s="490">
        <v>0</v>
      </c>
      <c r="E686" s="490">
        <v>0</v>
      </c>
      <c r="F686" s="490">
        <v>2207</v>
      </c>
      <c r="G686" s="490">
        <v>-2207</v>
      </c>
      <c r="H686" s="489" t="str">
        <f>VLOOKUP(A686,'TB - Revenue Data'!$B$5:C743,2,FALSE)</f>
        <v>PLAN CHECK/PERMIT FEES</v>
      </c>
    </row>
    <row r="687" spans="1:8" x14ac:dyDescent="0.25">
      <c r="A687" s="489" t="s">
        <v>927</v>
      </c>
      <c r="B687" s="489" t="s">
        <v>17</v>
      </c>
      <c r="C687" s="490">
        <v>4675</v>
      </c>
      <c r="D687" s="490">
        <v>0</v>
      </c>
      <c r="E687" s="490">
        <v>0</v>
      </c>
      <c r="F687" s="490">
        <v>9508.1299999999992</v>
      </c>
      <c r="G687" s="490">
        <v>-9508.1299999999992</v>
      </c>
      <c r="H687" s="489" t="str">
        <f>VLOOKUP(A687,'TB - Revenue Data'!$B$5:C744,2,FALSE)</f>
        <v>OTHER INCOME</v>
      </c>
    </row>
    <row r="688" spans="1:8" x14ac:dyDescent="0.25">
      <c r="A688" s="489" t="s">
        <v>928</v>
      </c>
      <c r="B688" s="489" t="s">
        <v>1128</v>
      </c>
      <c r="C688" s="490">
        <v>7800</v>
      </c>
      <c r="D688" s="490">
        <v>0</v>
      </c>
      <c r="E688" s="490">
        <v>0</v>
      </c>
      <c r="F688" s="490">
        <v>0</v>
      </c>
      <c r="G688" s="490">
        <v>0</v>
      </c>
      <c r="H688" s="489" t="str">
        <f>VLOOKUP(A688,'TB - Revenue Data'!$B$5:C745,2,FALSE)</f>
        <v>DEFERRED REVENUE - 2006 BOND</v>
      </c>
    </row>
    <row r="689" spans="1:8" x14ac:dyDescent="0.25">
      <c r="A689" s="489" t="s">
        <v>949</v>
      </c>
      <c r="B689" s="489" t="s">
        <v>1129</v>
      </c>
      <c r="C689" s="490">
        <v>1550</v>
      </c>
      <c r="D689" s="490">
        <v>0</v>
      </c>
      <c r="E689" s="490">
        <v>0</v>
      </c>
      <c r="F689" s="490">
        <v>0</v>
      </c>
      <c r="G689" s="490">
        <v>0</v>
      </c>
      <c r="H689" s="489" t="str">
        <f>VLOOKUP(A689,'TB - Revenue Data'!$B$5:C746,2,FALSE)</f>
        <v>DEFERRED REVENUE - 2010 BOND</v>
      </c>
    </row>
    <row r="690" spans="1:8" x14ac:dyDescent="0.25">
      <c r="A690" s="489" t="s">
        <v>930</v>
      </c>
      <c r="B690" s="489" t="s">
        <v>21</v>
      </c>
      <c r="C690" s="490">
        <v>0</v>
      </c>
      <c r="D690" s="490">
        <v>0</v>
      </c>
      <c r="E690" s="490">
        <v>1607.53</v>
      </c>
      <c r="F690" s="490">
        <v>53914.04</v>
      </c>
      <c r="G690" s="490">
        <v>-52306.51</v>
      </c>
      <c r="H690" s="489" t="str">
        <f>VLOOKUP(A690,'TB - Revenue Data'!$B$5:C747,2,FALSE)</f>
        <v>DEVELOPER FEES</v>
      </c>
    </row>
    <row r="691" spans="1:8" x14ac:dyDescent="0.25">
      <c r="A691" s="489" t="s">
        <v>1140</v>
      </c>
      <c r="B691" s="489" t="s">
        <v>1131</v>
      </c>
      <c r="C691" s="490">
        <v>19738.22</v>
      </c>
      <c r="D691" s="490">
        <v>0</v>
      </c>
      <c r="E691" s="490">
        <v>0</v>
      </c>
      <c r="F691" s="490">
        <v>9869.1200000000008</v>
      </c>
      <c r="G691" s="490">
        <v>-9869.1200000000008</v>
      </c>
      <c r="H691" s="489" t="str">
        <f>VLOOKUP(A691,'TB - Revenue Data'!$B$5:C748,2,FALSE)</f>
        <v>RENTAL REVENUE</v>
      </c>
    </row>
    <row r="692" spans="1:8" x14ac:dyDescent="0.25">
      <c r="A692" s="489" t="s">
        <v>923</v>
      </c>
      <c r="B692" s="489" t="s">
        <v>22</v>
      </c>
      <c r="C692" s="490">
        <v>1933260</v>
      </c>
      <c r="D692" s="490">
        <v>0</v>
      </c>
      <c r="E692" s="490">
        <v>5086.43</v>
      </c>
      <c r="F692" s="490">
        <v>892391.59</v>
      </c>
      <c r="G692" s="490">
        <v>-887305.16</v>
      </c>
      <c r="H692" s="489" t="str">
        <f>VLOOKUP(A692,'TB - Revenue Data'!$B$5:C749,2,FALSE)</f>
        <v>SEWER SALES</v>
      </c>
    </row>
    <row r="693" spans="1:8" x14ac:dyDescent="0.25">
      <c r="A693" s="489" t="s">
        <v>838</v>
      </c>
      <c r="B693" s="489" t="s">
        <v>665</v>
      </c>
      <c r="C693" s="490">
        <v>114664</v>
      </c>
      <c r="D693" s="490">
        <v>0</v>
      </c>
      <c r="E693" s="490">
        <v>54506.59</v>
      </c>
      <c r="F693" s="490">
        <v>4160.1499999999996</v>
      </c>
      <c r="G693" s="490">
        <v>50346.44</v>
      </c>
      <c r="H693" s="489" t="str">
        <f>VLOOKUP(A693,'TB - Expense Data'!$H$3:$I$757,2,FALSE)</f>
        <v>WAGES - ADM</v>
      </c>
    </row>
    <row r="694" spans="1:8" x14ac:dyDescent="0.25">
      <c r="A694" s="489" t="s">
        <v>825</v>
      </c>
      <c r="B694" s="489" t="s">
        <v>37</v>
      </c>
      <c r="C694" s="490">
        <v>2021.36</v>
      </c>
      <c r="D694" s="490">
        <v>0</v>
      </c>
      <c r="E694" s="490">
        <v>1326.01</v>
      </c>
      <c r="F694" s="490">
        <v>37.69</v>
      </c>
      <c r="G694" s="490">
        <v>1288.32</v>
      </c>
      <c r="H694" s="489" t="str">
        <f>VLOOKUP(A694,'TB - Expense Data'!$H$3:$I$757,2,FALSE)</f>
        <v>OVERTIME</v>
      </c>
    </row>
    <row r="695" spans="1:8" x14ac:dyDescent="0.25">
      <c r="A695" s="489" t="s">
        <v>806</v>
      </c>
      <c r="B695" s="489" t="s">
        <v>153</v>
      </c>
      <c r="C695" s="490">
        <v>6630</v>
      </c>
      <c r="D695" s="490">
        <v>0</v>
      </c>
      <c r="E695" s="490">
        <v>2818.38</v>
      </c>
      <c r="F695" s="490">
        <v>247.42</v>
      </c>
      <c r="G695" s="490">
        <v>2570.96</v>
      </c>
      <c r="H695" s="489" t="str">
        <f>VLOOKUP(A695,'TB - Expense Data'!$H$3:$I$757,2,FALSE)</f>
        <v>FICA EXPENSE</v>
      </c>
    </row>
    <row r="696" spans="1:8" x14ac:dyDescent="0.25">
      <c r="A696" s="489" t="s">
        <v>819</v>
      </c>
      <c r="B696" s="489" t="s">
        <v>154</v>
      </c>
      <c r="C696" s="490">
        <v>1692</v>
      </c>
      <c r="D696" s="490">
        <v>0</v>
      </c>
      <c r="E696" s="490">
        <v>791.58</v>
      </c>
      <c r="F696" s="490">
        <v>57.89</v>
      </c>
      <c r="G696" s="490">
        <v>733.69</v>
      </c>
      <c r="H696" s="489" t="str">
        <f>VLOOKUP(A696,'TB - Expense Data'!$H$3:$I$757,2,FALSE)</f>
        <v>MEDI EXPENSE</v>
      </c>
    </row>
    <row r="697" spans="1:8" x14ac:dyDescent="0.25">
      <c r="A697" s="489" t="s">
        <v>820</v>
      </c>
      <c r="B697" s="489" t="s">
        <v>38</v>
      </c>
      <c r="C697" s="490">
        <v>21831</v>
      </c>
      <c r="D697" s="490">
        <v>0</v>
      </c>
      <c r="E697" s="490">
        <v>9212.93</v>
      </c>
      <c r="F697" s="490">
        <v>92.6</v>
      </c>
      <c r="G697" s="490">
        <v>9120.33</v>
      </c>
      <c r="H697" s="489" t="str">
        <f>VLOOKUP(A697,'TB - Expense Data'!$H$3:$I$757,2,FALSE)</f>
        <v>MEDICAL INSURANCE</v>
      </c>
    </row>
    <row r="698" spans="1:8" x14ac:dyDescent="0.25">
      <c r="A698" s="489" t="s">
        <v>802</v>
      </c>
      <c r="B698" s="489" t="s">
        <v>77</v>
      </c>
      <c r="C698" s="490">
        <v>1346</v>
      </c>
      <c r="D698" s="490">
        <v>0</v>
      </c>
      <c r="E698" s="490">
        <v>486.84</v>
      </c>
      <c r="F698" s="490">
        <v>10.74</v>
      </c>
      <c r="G698" s="490">
        <v>476.1</v>
      </c>
      <c r="H698" s="489" t="str">
        <f>VLOOKUP(A698,'TB - Expense Data'!$H$3:$I$757,2,FALSE)</f>
        <v>DENTAL INSURANCE</v>
      </c>
    </row>
    <row r="699" spans="1:8" x14ac:dyDescent="0.25">
      <c r="A699" s="489" t="s">
        <v>837</v>
      </c>
      <c r="B699" s="489" t="s">
        <v>78</v>
      </c>
      <c r="C699" s="490">
        <v>250</v>
      </c>
      <c r="D699" s="490">
        <v>0</v>
      </c>
      <c r="E699" s="490">
        <v>132.24</v>
      </c>
      <c r="F699" s="490">
        <v>0</v>
      </c>
      <c r="G699" s="490">
        <v>132.24</v>
      </c>
      <c r="H699" s="489" t="str">
        <f>VLOOKUP(A699,'TB - Expense Data'!$H$3:$I$757,2,FALSE)</f>
        <v>VISION INSURANCE</v>
      </c>
    </row>
    <row r="700" spans="1:8" x14ac:dyDescent="0.25">
      <c r="A700" s="489" t="s">
        <v>840</v>
      </c>
      <c r="B700" s="489" t="s">
        <v>893</v>
      </c>
      <c r="C700" s="490">
        <v>1201</v>
      </c>
      <c r="D700" s="490">
        <v>0</v>
      </c>
      <c r="E700" s="490">
        <v>461.38</v>
      </c>
      <c r="F700" s="490">
        <v>27.07</v>
      </c>
      <c r="G700" s="490">
        <v>434.31</v>
      </c>
      <c r="H700" s="489" t="str">
        <f>VLOOKUP(A700,'TB - Expense Data'!$H$3:$I$757,2,FALSE)</f>
        <v>WORKERS COMP INSURANCE</v>
      </c>
    </row>
    <row r="701" spans="1:8" x14ac:dyDescent="0.25">
      <c r="A701" s="489" t="s">
        <v>817</v>
      </c>
      <c r="B701" s="489" t="s">
        <v>2249</v>
      </c>
      <c r="C701" s="490">
        <v>425</v>
      </c>
      <c r="D701" s="490">
        <v>0</v>
      </c>
      <c r="E701" s="490">
        <v>253.63</v>
      </c>
      <c r="F701" s="490">
        <v>71.540000000000006</v>
      </c>
      <c r="G701" s="490">
        <v>182.09</v>
      </c>
      <c r="H701" s="489" t="str">
        <f>VLOOKUP(A701,'TB - Expense Data'!$H$3:$I$757,2,FALSE)</f>
        <v>LIFE INSURANCE EXPENSE</v>
      </c>
    </row>
    <row r="702" spans="1:8" x14ac:dyDescent="0.25">
      <c r="A702" s="489" t="s">
        <v>834</v>
      </c>
      <c r="B702" s="489" t="s">
        <v>40</v>
      </c>
      <c r="C702" s="490">
        <v>416</v>
      </c>
      <c r="D702" s="490">
        <v>0</v>
      </c>
      <c r="E702" s="490">
        <v>16.75</v>
      </c>
      <c r="F702" s="490">
        <v>9.3800000000000008</v>
      </c>
      <c r="G702" s="490">
        <v>7.37</v>
      </c>
      <c r="H702" s="489" t="str">
        <f>VLOOKUP(A702,'TB - Expense Data'!$H$3:$I$757,2,FALSE)</f>
        <v>SUI EXPENSE</v>
      </c>
    </row>
    <row r="703" spans="1:8" x14ac:dyDescent="0.25">
      <c r="A703" s="489" t="s">
        <v>805</v>
      </c>
      <c r="B703" s="489" t="s">
        <v>41</v>
      </c>
      <c r="C703" s="490">
        <v>9</v>
      </c>
      <c r="D703" s="490">
        <v>0</v>
      </c>
      <c r="E703" s="490">
        <v>0.35</v>
      </c>
      <c r="F703" s="490">
        <v>0.26</v>
      </c>
      <c r="G703" s="490">
        <v>0.09</v>
      </c>
      <c r="H703" s="489" t="str">
        <f>VLOOKUP(A703,'TB - Expense Data'!$H$3:$I$757,2,FALSE)</f>
        <v>ETT EXPENSE</v>
      </c>
    </row>
    <row r="704" spans="1:8" x14ac:dyDescent="0.25">
      <c r="A704" s="489" t="s">
        <v>797</v>
      </c>
      <c r="B704" s="489" t="s">
        <v>155</v>
      </c>
      <c r="C704" s="490">
        <v>792</v>
      </c>
      <c r="D704" s="490">
        <v>0</v>
      </c>
      <c r="E704" s="490">
        <v>330</v>
      </c>
      <c r="F704" s="490">
        <v>55</v>
      </c>
      <c r="G704" s="490">
        <v>275</v>
      </c>
      <c r="H704" s="489" t="str">
        <f>VLOOKUP(A704,'TB - Expense Data'!$H$3:$I$757,2,FALSE)</f>
        <v>CAR ALLOWANCE EXPENSE</v>
      </c>
    </row>
    <row r="705" spans="1:8" x14ac:dyDescent="0.25">
      <c r="A705" s="489" t="s">
        <v>803</v>
      </c>
      <c r="B705" s="489" t="s">
        <v>42</v>
      </c>
      <c r="C705" s="490">
        <v>368.06</v>
      </c>
      <c r="D705" s="490">
        <v>0</v>
      </c>
      <c r="E705" s="490">
        <v>134.59</v>
      </c>
      <c r="F705" s="490">
        <v>7.25</v>
      </c>
      <c r="G705" s="490">
        <v>127.34</v>
      </c>
      <c r="H705" s="489" t="str">
        <f>VLOOKUP(A705,'TB - Expense Data'!$H$3:$I$757,2,FALSE)</f>
        <v>DISABILITY PLAN</v>
      </c>
    </row>
    <row r="706" spans="1:8" x14ac:dyDescent="0.25">
      <c r="A706" s="489" t="s">
        <v>795</v>
      </c>
      <c r="B706" s="489" t="s">
        <v>2252</v>
      </c>
      <c r="C706" s="490">
        <v>10137</v>
      </c>
      <c r="D706" s="490">
        <v>0</v>
      </c>
      <c r="E706" s="490">
        <v>4241.8599999999997</v>
      </c>
      <c r="F706" s="490">
        <v>331.64</v>
      </c>
      <c r="G706" s="490">
        <v>3910.22</v>
      </c>
      <c r="H706" s="489" t="str">
        <f>VLOOKUP(A706,'TB - Expense Data'!$H$3:$I$757,2,FALSE)</f>
        <v>CALPERS RETIREMENT</v>
      </c>
    </row>
    <row r="707" spans="1:8" x14ac:dyDescent="0.25">
      <c r="A707" s="489" t="s">
        <v>796</v>
      </c>
      <c r="B707" s="489" t="s">
        <v>44</v>
      </c>
      <c r="C707" s="490">
        <v>8374</v>
      </c>
      <c r="D707" s="490">
        <v>0</v>
      </c>
      <c r="E707" s="490">
        <v>3519.5</v>
      </c>
      <c r="F707" s="490">
        <v>273.61</v>
      </c>
      <c r="G707" s="490">
        <v>3245.89</v>
      </c>
      <c r="H707" s="489" t="str">
        <f>VLOOKUP(A707,'TB - Expense Data'!$H$3:$I$757,2,FALSE)</f>
        <v>CALPERS RETIREMENT (EE)</v>
      </c>
    </row>
    <row r="708" spans="1:8" x14ac:dyDescent="0.25">
      <c r="A708" s="489" t="s">
        <v>824</v>
      </c>
      <c r="B708" s="489" t="s">
        <v>183</v>
      </c>
      <c r="C708" s="490">
        <v>5830</v>
      </c>
      <c r="D708" s="490">
        <v>0</v>
      </c>
      <c r="E708" s="490">
        <v>0</v>
      </c>
      <c r="F708" s="490">
        <v>0</v>
      </c>
      <c r="G708" s="490">
        <v>0</v>
      </c>
      <c r="H708" s="489" t="str">
        <f>VLOOKUP(A708,'TB - Expense Data'!$H$3:$I$757,2,FALSE)</f>
        <v>OPEB EXPENSE</v>
      </c>
    </row>
    <row r="709" spans="1:8" x14ac:dyDescent="0.25">
      <c r="A709" s="489" t="s">
        <v>2950</v>
      </c>
      <c r="B709" s="489" t="s">
        <v>2254</v>
      </c>
      <c r="C709" s="490">
        <v>0</v>
      </c>
      <c r="D709" s="490">
        <v>0</v>
      </c>
      <c r="E709" s="490">
        <v>139.87</v>
      </c>
      <c r="F709" s="490">
        <v>10.58</v>
      </c>
      <c r="G709" s="490">
        <v>129.29</v>
      </c>
      <c r="H709" s="489" t="str">
        <f>VLOOKUP(A709,'TB - Expense Data'!$H$3:$I$757,2,FALSE)</f>
        <v>CALPERS-62 RETIREMENT (ER)</v>
      </c>
    </row>
    <row r="710" spans="1:8" x14ac:dyDescent="0.25">
      <c r="A710" s="489" t="s">
        <v>2951</v>
      </c>
      <c r="B710" s="489" t="s">
        <v>2256</v>
      </c>
      <c r="C710" s="490">
        <v>0</v>
      </c>
      <c r="D710" s="490">
        <v>0</v>
      </c>
      <c r="E710" s="490">
        <v>177.97</v>
      </c>
      <c r="F710" s="490">
        <v>13.46</v>
      </c>
      <c r="G710" s="490">
        <v>164.51</v>
      </c>
      <c r="H710" s="489" t="str">
        <f>VLOOKUP(A710,'TB - Expense Data'!$H$3:$I$757,2,FALSE)</f>
        <v>CALPERS-62 RETIREMENT (EE)</v>
      </c>
    </row>
    <row r="711" spans="1:8" x14ac:dyDescent="0.25">
      <c r="A711" s="489" t="s">
        <v>1084</v>
      </c>
      <c r="B711" s="489" t="s">
        <v>1079</v>
      </c>
      <c r="C711" s="490">
        <v>14500.64</v>
      </c>
      <c r="D711" s="490">
        <v>0</v>
      </c>
      <c r="E711" s="490">
        <v>14199.33</v>
      </c>
      <c r="F711" s="490">
        <v>0</v>
      </c>
      <c r="G711" s="490">
        <v>14199.33</v>
      </c>
      <c r="H711" s="489" t="str">
        <f>VLOOKUP(A711,'TB - Expense Data'!$H$3:$I$757,2,FALSE)</f>
        <v>PARS RETIREMENT</v>
      </c>
    </row>
    <row r="712" spans="1:8" x14ac:dyDescent="0.25">
      <c r="A712" s="489" t="s">
        <v>816</v>
      </c>
      <c r="B712" s="489" t="s">
        <v>156</v>
      </c>
      <c r="C712" s="490">
        <v>10450</v>
      </c>
      <c r="D712" s="490">
        <v>0</v>
      </c>
      <c r="E712" s="490">
        <v>5477.94</v>
      </c>
      <c r="F712" s="490">
        <v>0</v>
      </c>
      <c r="G712" s="490">
        <v>5477.94</v>
      </c>
      <c r="H712" s="489" t="str">
        <f>VLOOKUP(A712,'TB - Expense Data'!$H$3:$I$757,2,FALSE)</f>
        <v>LIABILITY INSURANCE</v>
      </c>
    </row>
    <row r="713" spans="1:8" x14ac:dyDescent="0.25">
      <c r="A713" s="489" t="s">
        <v>830</v>
      </c>
      <c r="B713" s="489" t="s">
        <v>157</v>
      </c>
      <c r="C713" s="490">
        <v>2750</v>
      </c>
      <c r="D713" s="490">
        <v>0</v>
      </c>
      <c r="E713" s="490">
        <v>1476.36</v>
      </c>
      <c r="F713" s="490">
        <v>0</v>
      </c>
      <c r="G713" s="490">
        <v>1476.36</v>
      </c>
      <c r="H713" s="489" t="str">
        <f>VLOOKUP(A713,'TB - Expense Data'!$H$3:$I$757,2,FALSE)</f>
        <v>PROPERTY INSURANCE</v>
      </c>
    </row>
    <row r="714" spans="1:8" x14ac:dyDescent="0.25">
      <c r="A714" s="489" t="s">
        <v>789</v>
      </c>
      <c r="B714" s="489" t="s">
        <v>158</v>
      </c>
      <c r="C714" s="490">
        <v>660</v>
      </c>
      <c r="D714" s="490">
        <v>0</v>
      </c>
      <c r="E714" s="490">
        <v>318.89999999999998</v>
      </c>
      <c r="F714" s="490">
        <v>0</v>
      </c>
      <c r="G714" s="490">
        <v>318.89999999999998</v>
      </c>
      <c r="H714" s="489" t="str">
        <f>VLOOKUP(A714,'TB - Expense Data'!$H$3:$I$757,2,FALSE)</f>
        <v>AUTO INSURANCE</v>
      </c>
    </row>
    <row r="715" spans="1:8" x14ac:dyDescent="0.25">
      <c r="A715" s="489" t="s">
        <v>822</v>
      </c>
      <c r="B715" s="489" t="s">
        <v>159</v>
      </c>
      <c r="C715" s="490">
        <v>1650</v>
      </c>
      <c r="D715" s="490">
        <v>0</v>
      </c>
      <c r="E715" s="490">
        <v>683.96</v>
      </c>
      <c r="F715" s="490">
        <v>0</v>
      </c>
      <c r="G715" s="490">
        <v>683.96</v>
      </c>
      <c r="H715" s="489" t="str">
        <f>VLOOKUP(A715,'TB - Expense Data'!$H$3:$I$757,2,FALSE)</f>
        <v>OFFICE POWER/GAS</v>
      </c>
    </row>
    <row r="716" spans="1:8" x14ac:dyDescent="0.25">
      <c r="A716" s="489" t="s">
        <v>794</v>
      </c>
      <c r="B716" s="489" t="s">
        <v>160</v>
      </c>
      <c r="C716" s="490">
        <v>495</v>
      </c>
      <c r="D716" s="490">
        <v>0</v>
      </c>
      <c r="E716" s="490">
        <v>1781.77</v>
      </c>
      <c r="F716" s="490">
        <v>0</v>
      </c>
      <c r="G716" s="490">
        <v>1781.77</v>
      </c>
      <c r="H716" s="489" t="str">
        <f>VLOOKUP(A716,'TB - Expense Data'!$H$3:$I$757,2,FALSE)</f>
        <v>BUILDING SECURITY</v>
      </c>
    </row>
    <row r="717" spans="1:8" x14ac:dyDescent="0.25">
      <c r="A717" s="489" t="s">
        <v>835</v>
      </c>
      <c r="B717" s="489" t="s">
        <v>161</v>
      </c>
      <c r="C717" s="490">
        <v>704</v>
      </c>
      <c r="D717" s="490">
        <v>0</v>
      </c>
      <c r="E717" s="490">
        <v>348</v>
      </c>
      <c r="F717" s="490">
        <v>0</v>
      </c>
      <c r="G717" s="490">
        <v>348</v>
      </c>
      <c r="H717" s="489" t="str">
        <f>VLOOKUP(A717,'TB - Expense Data'!$H$3:$I$757,2,FALSE)</f>
        <v>TRASH SERVICES</v>
      </c>
    </row>
    <row r="718" spans="1:8" x14ac:dyDescent="0.25">
      <c r="A718" s="489" t="s">
        <v>788</v>
      </c>
      <c r="B718" s="489" t="s">
        <v>162</v>
      </c>
      <c r="C718" s="490">
        <v>275</v>
      </c>
      <c r="D718" s="490">
        <v>0</v>
      </c>
      <c r="E718" s="490">
        <v>129.74</v>
      </c>
      <c r="F718" s="490">
        <v>16.98</v>
      </c>
      <c r="G718" s="490">
        <v>112.76</v>
      </c>
      <c r="H718" s="489" t="str">
        <f>VLOOKUP(A718,'TB - Expense Data'!$H$3:$I$757,2,FALSE)</f>
        <v>ANSWERING SERVICE</v>
      </c>
    </row>
    <row r="719" spans="1:8" x14ac:dyDescent="0.25">
      <c r="A719" s="489" t="s">
        <v>827</v>
      </c>
      <c r="B719" s="489" t="s">
        <v>83</v>
      </c>
      <c r="C719" s="490">
        <v>4950</v>
      </c>
      <c r="D719" s="490">
        <v>0</v>
      </c>
      <c r="E719" s="490">
        <v>2182.9899999999998</v>
      </c>
      <c r="F719" s="490">
        <v>24.74</v>
      </c>
      <c r="G719" s="490">
        <v>2158.25</v>
      </c>
      <c r="H719" s="489" t="str">
        <f>VLOOKUP(A719,'TB - Expense Data'!$H$3:$I$757,2,FALSE)</f>
        <v>PHONE</v>
      </c>
    </row>
    <row r="720" spans="1:8" x14ac:dyDescent="0.25">
      <c r="A720" s="489" t="s">
        <v>831</v>
      </c>
      <c r="B720" s="489" t="s">
        <v>163</v>
      </c>
      <c r="C720" s="490">
        <v>2860</v>
      </c>
      <c r="D720" s="490">
        <v>0</v>
      </c>
      <c r="E720" s="490">
        <v>1482.95</v>
      </c>
      <c r="F720" s="490">
        <v>0</v>
      </c>
      <c r="G720" s="490">
        <v>1482.95</v>
      </c>
      <c r="H720" s="489" t="str">
        <f>VLOOKUP(A720,'TB - Expense Data'!$H$3:$I$757,2,FALSE)</f>
        <v>RENT/LEASE EQUIPMENT</v>
      </c>
    </row>
    <row r="721" spans="1:8" x14ac:dyDescent="0.25">
      <c r="A721" s="489" t="s">
        <v>828</v>
      </c>
      <c r="B721" s="489" t="s">
        <v>70</v>
      </c>
      <c r="C721" s="490">
        <v>6380</v>
      </c>
      <c r="D721" s="490">
        <v>0</v>
      </c>
      <c r="E721" s="490">
        <v>4924.68</v>
      </c>
      <c r="F721" s="490">
        <v>16.95</v>
      </c>
      <c r="G721" s="490">
        <v>4907.7299999999996</v>
      </c>
      <c r="H721" s="489" t="str">
        <f>VLOOKUP(A721,'TB - Expense Data'!$H$3:$I$757,2,FALSE)</f>
        <v>POSTAGE</v>
      </c>
    </row>
    <row r="722" spans="1:8" x14ac:dyDescent="0.25">
      <c r="A722" s="489" t="s">
        <v>829</v>
      </c>
      <c r="B722" s="489" t="s">
        <v>47</v>
      </c>
      <c r="C722" s="490">
        <v>550</v>
      </c>
      <c r="D722" s="490">
        <v>0</v>
      </c>
      <c r="E722" s="490">
        <v>776</v>
      </c>
      <c r="F722" s="490">
        <v>170</v>
      </c>
      <c r="G722" s="490">
        <v>606</v>
      </c>
      <c r="H722" s="489" t="str">
        <f>VLOOKUP(A722,'TB - Expense Data'!$H$3:$I$757,2,FALSE)</f>
        <v>PRINTING</v>
      </c>
    </row>
    <row r="723" spans="1:8" x14ac:dyDescent="0.25">
      <c r="A723" s="489" t="s">
        <v>823</v>
      </c>
      <c r="B723" s="489" t="s">
        <v>48</v>
      </c>
      <c r="C723" s="490">
        <v>825</v>
      </c>
      <c r="D723" s="490">
        <v>0</v>
      </c>
      <c r="E723" s="490">
        <v>308.35000000000002</v>
      </c>
      <c r="F723" s="490">
        <v>180</v>
      </c>
      <c r="G723" s="490">
        <v>128.35</v>
      </c>
      <c r="H723" s="489" t="str">
        <f>VLOOKUP(A723,'TB - Expense Data'!$H$3:$I$757,2,FALSE)</f>
        <v>OFFICE SUPPLY</v>
      </c>
    </row>
    <row r="724" spans="1:8" x14ac:dyDescent="0.25">
      <c r="A724" s="489" t="s">
        <v>808</v>
      </c>
      <c r="B724" s="489" t="s">
        <v>49</v>
      </c>
      <c r="C724" s="490">
        <v>2200</v>
      </c>
      <c r="D724" s="490">
        <v>0</v>
      </c>
      <c r="E724" s="490">
        <v>540.30999999999995</v>
      </c>
      <c r="F724" s="490">
        <v>0</v>
      </c>
      <c r="G724" s="490">
        <v>540.30999999999995</v>
      </c>
      <c r="H724" s="489" t="str">
        <f>VLOOKUP(A724,'TB - Expense Data'!$H$3:$I$757,2,FALSE)</f>
        <v>GENERAL SUPPLY</v>
      </c>
    </row>
    <row r="725" spans="1:8" x14ac:dyDescent="0.25">
      <c r="A725" s="489" t="s">
        <v>798</v>
      </c>
      <c r="B725" s="489" t="s">
        <v>50</v>
      </c>
      <c r="C725" s="490">
        <v>3080</v>
      </c>
      <c r="D725" s="490">
        <v>0</v>
      </c>
      <c r="E725" s="490">
        <v>951.57</v>
      </c>
      <c r="F725" s="490">
        <v>0</v>
      </c>
      <c r="G725" s="490">
        <v>951.57</v>
      </c>
      <c r="H725" s="489" t="str">
        <f>VLOOKUP(A725,'TB - Expense Data'!$H$3:$I$757,2,FALSE)</f>
        <v>COMPUTERS/DATA PROCESSING</v>
      </c>
    </row>
    <row r="726" spans="1:8" x14ac:dyDescent="0.25">
      <c r="A726" s="489" t="s">
        <v>1071</v>
      </c>
      <c r="B726" s="489" t="s">
        <v>1061</v>
      </c>
      <c r="C726" s="490">
        <v>3300</v>
      </c>
      <c r="D726" s="490">
        <v>0</v>
      </c>
      <c r="E726" s="490">
        <v>3869.58</v>
      </c>
      <c r="F726" s="490">
        <v>0</v>
      </c>
      <c r="G726" s="490">
        <v>3869.58</v>
      </c>
      <c r="H726" s="489" t="str">
        <f>VLOOKUP(A726,'TB - Expense Data'!$H$3:$I$757,2,FALSE)</f>
        <v>SOFTWARE AND LICENSING</v>
      </c>
    </row>
    <row r="727" spans="1:8" x14ac:dyDescent="0.25">
      <c r="A727" s="489" t="s">
        <v>787</v>
      </c>
      <c r="B727" s="489" t="s">
        <v>51</v>
      </c>
      <c r="C727" s="490">
        <v>1320</v>
      </c>
      <c r="D727" s="490">
        <v>0</v>
      </c>
      <c r="E727" s="490">
        <v>415.46</v>
      </c>
      <c r="F727" s="490">
        <v>0</v>
      </c>
      <c r="G727" s="490">
        <v>415.46</v>
      </c>
      <c r="H727" s="489" t="str">
        <f>VLOOKUP(A727,'TB - Expense Data'!$H$3:$I$757,2,FALSE)</f>
        <v>ADVERTISEMENT</v>
      </c>
    </row>
    <row r="728" spans="1:8" x14ac:dyDescent="0.25">
      <c r="A728" s="489" t="s">
        <v>818</v>
      </c>
      <c r="B728" s="489" t="s">
        <v>164</v>
      </c>
      <c r="C728" s="490">
        <v>6600</v>
      </c>
      <c r="D728" s="490">
        <v>0</v>
      </c>
      <c r="E728" s="490">
        <v>6518.79</v>
      </c>
      <c r="F728" s="490">
        <v>0</v>
      </c>
      <c r="G728" s="490">
        <v>6518.79</v>
      </c>
      <c r="H728" s="489" t="str">
        <f>VLOOKUP(A728,'TB - Expense Data'!$H$3:$I$757,2,FALSE)</f>
        <v>MAINTENANCE AGREEMENTS</v>
      </c>
    </row>
    <row r="729" spans="1:8" x14ac:dyDescent="0.25">
      <c r="A729" s="489" t="s">
        <v>809</v>
      </c>
      <c r="B729" s="489" t="s">
        <v>165</v>
      </c>
      <c r="C729" s="490">
        <v>660</v>
      </c>
      <c r="D729" s="490">
        <v>0</v>
      </c>
      <c r="E729" s="490">
        <v>207.38</v>
      </c>
      <c r="F729" s="490">
        <v>9.19</v>
      </c>
      <c r="G729" s="490">
        <v>198.19</v>
      </c>
      <c r="H729" s="489" t="str">
        <f>VLOOKUP(A729,'TB - Expense Data'!$H$3:$I$757,2,FALSE)</f>
        <v>HOSPITALITY &amp; AWARDS</v>
      </c>
    </row>
    <row r="730" spans="1:8" x14ac:dyDescent="0.25">
      <c r="A730" s="489" t="s">
        <v>1072</v>
      </c>
      <c r="B730" s="489" t="s">
        <v>1063</v>
      </c>
      <c r="C730" s="490">
        <v>1045</v>
      </c>
      <c r="D730" s="490">
        <v>0</v>
      </c>
      <c r="E730" s="490">
        <v>394.9</v>
      </c>
      <c r="F730" s="490">
        <v>0</v>
      </c>
      <c r="G730" s="490">
        <v>394.9</v>
      </c>
      <c r="H730" s="489" t="str">
        <f>VLOOKUP(A730,'TB - Expense Data'!$H$3:$I$757,2,FALSE)</f>
        <v>BOARD MEETING VIDEO RECORDING</v>
      </c>
    </row>
    <row r="731" spans="1:8" x14ac:dyDescent="0.25">
      <c r="A731" s="489" t="s">
        <v>786</v>
      </c>
      <c r="B731" s="489" t="s">
        <v>166</v>
      </c>
      <c r="C731" s="490">
        <v>3850</v>
      </c>
      <c r="D731" s="490">
        <v>0</v>
      </c>
      <c r="E731" s="490">
        <v>2818.93</v>
      </c>
      <c r="F731" s="490">
        <v>0</v>
      </c>
      <c r="G731" s="490">
        <v>2818.93</v>
      </c>
      <c r="H731" s="489" t="str">
        <f>VLOOKUP(A731,'TB - Expense Data'!$H$3:$I$757,2,FALSE)</f>
        <v>ACCOUNTING SERVICES</v>
      </c>
    </row>
    <row r="732" spans="1:8" x14ac:dyDescent="0.25">
      <c r="A732" s="489" t="s">
        <v>801</v>
      </c>
      <c r="B732" s="489" t="s">
        <v>52</v>
      </c>
      <c r="C732" s="490">
        <v>20240</v>
      </c>
      <c r="D732" s="490">
        <v>0</v>
      </c>
      <c r="E732" s="490">
        <v>14198.54</v>
      </c>
      <c r="F732" s="490">
        <v>420.75</v>
      </c>
      <c r="G732" s="490">
        <v>13777.79</v>
      </c>
      <c r="H732" s="489" t="str">
        <f>VLOOKUP(A732,'TB - Expense Data'!$H$3:$I$757,2,FALSE)</f>
        <v>CONSULTING SERVICES</v>
      </c>
    </row>
    <row r="733" spans="1:8" x14ac:dyDescent="0.25">
      <c r="A733" s="489" t="s">
        <v>815</v>
      </c>
      <c r="B733" s="489" t="s">
        <v>167</v>
      </c>
      <c r="C733" s="490">
        <v>25080</v>
      </c>
      <c r="D733" s="490">
        <v>0</v>
      </c>
      <c r="E733" s="490">
        <v>18725.150000000001</v>
      </c>
      <c r="F733" s="490">
        <v>2284.84</v>
      </c>
      <c r="G733" s="490">
        <v>16440.310000000001</v>
      </c>
      <c r="H733" s="489" t="str">
        <f>VLOOKUP(A733,'TB - Expense Data'!$H$3:$I$757,2,FALSE)</f>
        <v>LEGAL FEES</v>
      </c>
    </row>
    <row r="734" spans="1:8" x14ac:dyDescent="0.25">
      <c r="A734" s="489" t="s">
        <v>800</v>
      </c>
      <c r="B734" s="489" t="s">
        <v>1151</v>
      </c>
      <c r="C734" s="490">
        <v>800</v>
      </c>
      <c r="D734" s="490">
        <v>0</v>
      </c>
      <c r="E734" s="490">
        <v>0</v>
      </c>
      <c r="F734" s="490">
        <v>0</v>
      </c>
      <c r="G734" s="490">
        <v>0</v>
      </c>
      <c r="H734" s="489" t="str">
        <f>VLOOKUP(A734,'TB - Expense Data'!$H$3:$I$757,2,FALSE)</f>
        <v>CONFERENCES</v>
      </c>
    </row>
    <row r="735" spans="1:8" x14ac:dyDescent="0.25">
      <c r="A735" s="489" t="s">
        <v>799</v>
      </c>
      <c r="B735" s="489" t="s">
        <v>180</v>
      </c>
      <c r="C735" s="490">
        <v>330</v>
      </c>
      <c r="D735" s="490">
        <v>0</v>
      </c>
      <c r="E735" s="490">
        <v>94.6</v>
      </c>
      <c r="F735" s="490">
        <v>0</v>
      </c>
      <c r="G735" s="490">
        <v>94.6</v>
      </c>
      <c r="H735" s="489" t="str">
        <f>VLOOKUP(A735,'TB - Expense Data'!$H$3:$I$757,2,FALSE)</f>
        <v>CONFERENCE (BOD)</v>
      </c>
    </row>
    <row r="736" spans="1:8" x14ac:dyDescent="0.25">
      <c r="A736" s="489" t="s">
        <v>804</v>
      </c>
      <c r="B736" s="489" t="s">
        <v>1152</v>
      </c>
      <c r="C736" s="490">
        <v>4600</v>
      </c>
      <c r="D736" s="490">
        <v>0</v>
      </c>
      <c r="E736" s="490">
        <v>625.71</v>
      </c>
      <c r="F736" s="490">
        <v>0</v>
      </c>
      <c r="G736" s="490">
        <v>625.71</v>
      </c>
      <c r="H736" s="489" t="str">
        <f>VLOOKUP(A736,'TB - Expense Data'!$H$3:$I$757,2,FALSE)</f>
        <v>EDUCATION/ TRAINING</v>
      </c>
    </row>
    <row r="737" spans="1:8" x14ac:dyDescent="0.25">
      <c r="A737" s="489" t="s">
        <v>836</v>
      </c>
      <c r="B737" s="489" t="s">
        <v>53</v>
      </c>
      <c r="C737" s="490">
        <v>1450</v>
      </c>
      <c r="D737" s="490">
        <v>0</v>
      </c>
      <c r="E737" s="490">
        <v>101.98</v>
      </c>
      <c r="F737" s="490">
        <v>0</v>
      </c>
      <c r="G737" s="490">
        <v>101.98</v>
      </c>
      <c r="H737" s="489" t="str">
        <f>VLOOKUP(A737,'TB - Expense Data'!$H$3:$I$757,2,FALSE)</f>
        <v>TRAVEL</v>
      </c>
    </row>
    <row r="738" spans="1:8" x14ac:dyDescent="0.25">
      <c r="A738" s="489" t="s">
        <v>832</v>
      </c>
      <c r="B738" s="489" t="s">
        <v>71</v>
      </c>
      <c r="C738" s="490">
        <v>550</v>
      </c>
      <c r="D738" s="490">
        <v>0</v>
      </c>
      <c r="E738" s="490">
        <v>140.34</v>
      </c>
      <c r="F738" s="490">
        <v>0</v>
      </c>
      <c r="G738" s="490">
        <v>140.34</v>
      </c>
      <c r="H738" s="489" t="str">
        <f>VLOOKUP(A738,'TB - Expense Data'!$H$3:$I$757,2,FALSE)</f>
        <v>SAFETY</v>
      </c>
    </row>
    <row r="739" spans="1:8" x14ac:dyDescent="0.25">
      <c r="A739" s="489" t="s">
        <v>821</v>
      </c>
      <c r="B739" s="489" t="s">
        <v>54</v>
      </c>
      <c r="C739" s="490">
        <v>3100</v>
      </c>
      <c r="D739" s="490">
        <v>0</v>
      </c>
      <c r="E739" s="490">
        <v>262.8</v>
      </c>
      <c r="F739" s="490">
        <v>0</v>
      </c>
      <c r="G739" s="490">
        <v>262.8</v>
      </c>
      <c r="H739" s="489" t="str">
        <f>VLOOKUP(A739,'TB - Expense Data'!$H$3:$I$757,2,FALSE)</f>
        <v>MEMBERSHIPS &amp; DUES</v>
      </c>
    </row>
    <row r="740" spans="1:8" x14ac:dyDescent="0.25">
      <c r="A740" s="489" t="s">
        <v>826</v>
      </c>
      <c r="B740" s="489" t="s">
        <v>170</v>
      </c>
      <c r="C740" s="490">
        <v>6160</v>
      </c>
      <c r="D740" s="490">
        <v>0</v>
      </c>
      <c r="E740" s="490">
        <v>8502.0499999999993</v>
      </c>
      <c r="F740" s="490">
        <v>0</v>
      </c>
      <c r="G740" s="490">
        <v>8502.0499999999993</v>
      </c>
      <c r="H740" s="489" t="str">
        <f>VLOOKUP(A740,'TB - Expense Data'!$H$3:$I$757,2,FALSE)</f>
        <v>PERMITS</v>
      </c>
    </row>
    <row r="741" spans="1:8" x14ac:dyDescent="0.25">
      <c r="A741" s="489" t="s">
        <v>791</v>
      </c>
      <c r="B741" s="489" t="s">
        <v>171</v>
      </c>
      <c r="C741" s="490">
        <v>6050</v>
      </c>
      <c r="D741" s="490">
        <v>0</v>
      </c>
      <c r="E741" s="490">
        <v>3604.72</v>
      </c>
      <c r="F741" s="490">
        <v>22.92</v>
      </c>
      <c r="G741" s="490">
        <v>3581.8</v>
      </c>
      <c r="H741" s="489" t="str">
        <f>VLOOKUP(A741,'TB - Expense Data'!$H$3:$I$757,2,FALSE)</f>
        <v>BANK &amp; ADMINISTRATION FEE</v>
      </c>
    </row>
    <row r="742" spans="1:8" x14ac:dyDescent="0.25">
      <c r="A742" s="489" t="s">
        <v>792</v>
      </c>
      <c r="B742" s="489" t="s">
        <v>172</v>
      </c>
      <c r="C742" s="490">
        <v>132</v>
      </c>
      <c r="D742" s="490">
        <v>0</v>
      </c>
      <c r="E742" s="490">
        <v>0</v>
      </c>
      <c r="F742" s="490">
        <v>0</v>
      </c>
      <c r="G742" s="490">
        <v>0</v>
      </c>
      <c r="H742" s="489" t="str">
        <f>VLOOKUP(A742,'TB - Expense Data'!$H$3:$I$757,2,FALSE)</f>
        <v>BANK FEE -  2006 BOND</v>
      </c>
    </row>
    <row r="743" spans="1:8" x14ac:dyDescent="0.25">
      <c r="A743" s="489" t="s">
        <v>793</v>
      </c>
      <c r="B743" s="489" t="s">
        <v>621</v>
      </c>
      <c r="C743" s="490">
        <v>132</v>
      </c>
      <c r="D743" s="490">
        <v>0</v>
      </c>
      <c r="E743" s="490">
        <v>0</v>
      </c>
      <c r="F743" s="490">
        <v>0</v>
      </c>
      <c r="G743" s="490">
        <v>0</v>
      </c>
      <c r="H743" s="489" t="str">
        <f>VLOOKUP(A743,'TB - Expense Data'!$H$3:$I$757,2,FALSE)</f>
        <v>BANK FEE - 2010 BOND</v>
      </c>
    </row>
    <row r="744" spans="1:8" x14ac:dyDescent="0.25">
      <c r="A744" s="489" t="s">
        <v>811</v>
      </c>
      <c r="B744" s="489" t="s">
        <v>2272</v>
      </c>
      <c r="C744" s="490">
        <v>110</v>
      </c>
      <c r="D744" s="490">
        <v>0</v>
      </c>
      <c r="E744" s="490">
        <v>13.03</v>
      </c>
      <c r="F744" s="490">
        <v>0</v>
      </c>
      <c r="G744" s="490">
        <v>13.03</v>
      </c>
      <c r="H744" s="489" t="str">
        <f>VLOOKUP(A744,'TB - Expense Data'!$H$3:$I$757,2,FALSE)</f>
        <v>INTEREST EXPENSE</v>
      </c>
    </row>
    <row r="745" spans="1:8" x14ac:dyDescent="0.25">
      <c r="A745" s="489" t="s">
        <v>785</v>
      </c>
      <c r="B745" s="489" t="s">
        <v>612</v>
      </c>
      <c r="C745" s="490">
        <v>36519</v>
      </c>
      <c r="D745" s="490">
        <v>0</v>
      </c>
      <c r="E745" s="490">
        <v>18259.5</v>
      </c>
      <c r="F745" s="490">
        <v>3043.32</v>
      </c>
      <c r="G745" s="490">
        <v>15216.18</v>
      </c>
      <c r="H745" s="489" t="str">
        <f>VLOOKUP(A745,'TB - Expense Data'!$H$3:$I$757,2,FALSE)</f>
        <v>2010 BOND INTEREST EXPENSE</v>
      </c>
    </row>
    <row r="746" spans="1:8" x14ac:dyDescent="0.25">
      <c r="A746" s="489" t="s">
        <v>810</v>
      </c>
      <c r="B746" s="489" t="s">
        <v>173</v>
      </c>
      <c r="C746" s="490">
        <v>1600</v>
      </c>
      <c r="D746" s="490">
        <v>0</v>
      </c>
      <c r="E746" s="490">
        <v>50.35</v>
      </c>
      <c r="F746" s="490">
        <v>0</v>
      </c>
      <c r="G746" s="490">
        <v>50.35</v>
      </c>
      <c r="H746" s="489" t="str">
        <f>VLOOKUP(A746,'TB - Expense Data'!$H$3:$I$757,2,FALSE)</f>
        <v>INTEREST - INTERNAL LOAN</v>
      </c>
    </row>
    <row r="747" spans="1:8" x14ac:dyDescent="0.25">
      <c r="A747" s="489" t="s">
        <v>784</v>
      </c>
      <c r="B747" s="489" t="s">
        <v>1075</v>
      </c>
      <c r="C747" s="490">
        <v>377994</v>
      </c>
      <c r="D747" s="490">
        <v>0</v>
      </c>
      <c r="E747" s="490">
        <v>188996.88</v>
      </c>
      <c r="F747" s="490">
        <v>32116</v>
      </c>
      <c r="G747" s="490">
        <v>156880.88</v>
      </c>
      <c r="H747" s="489" t="str">
        <f>VLOOKUP(A747,'TB - Expense Data'!$H$3:$I$757,2,FALSE)</f>
        <v>2006 BOND INTEREST EXPENSE</v>
      </c>
    </row>
    <row r="748" spans="1:8" x14ac:dyDescent="0.25">
      <c r="A748" s="489" t="s">
        <v>813</v>
      </c>
      <c r="B748" s="489" t="s">
        <v>185</v>
      </c>
      <c r="C748" s="490">
        <v>5200</v>
      </c>
      <c r="D748" s="490">
        <v>0</v>
      </c>
      <c r="E748" s="490">
        <v>2379.96</v>
      </c>
      <c r="F748" s="490">
        <v>0</v>
      </c>
      <c r="G748" s="490">
        <v>2379.96</v>
      </c>
      <c r="H748" s="489" t="str">
        <f>VLOOKUP(A748,'TB - Expense Data'!$H$3:$I$757,2,FALSE)</f>
        <v>IOP INTEREST EXPENSE</v>
      </c>
    </row>
    <row r="749" spans="1:8" x14ac:dyDescent="0.25">
      <c r="A749" s="489" t="s">
        <v>812</v>
      </c>
      <c r="B749" s="489" t="s">
        <v>186</v>
      </c>
      <c r="C749" s="490">
        <v>1980</v>
      </c>
      <c r="D749" s="490">
        <v>0</v>
      </c>
      <c r="E749" s="490">
        <v>0</v>
      </c>
      <c r="F749" s="490">
        <v>0</v>
      </c>
      <c r="G749" s="490">
        <v>0</v>
      </c>
      <c r="H749" s="489" t="str">
        <f>VLOOKUP(A749,'TB - Expense Data'!$H$3:$I$757,2,FALSE)</f>
        <v>IOP EXPENSE</v>
      </c>
    </row>
    <row r="750" spans="1:8" x14ac:dyDescent="0.25">
      <c r="A750" s="489" t="s">
        <v>807</v>
      </c>
      <c r="B750" s="489" t="s">
        <v>175</v>
      </c>
      <c r="C750" s="490">
        <v>13000</v>
      </c>
      <c r="D750" s="490">
        <v>0</v>
      </c>
      <c r="E750" s="490">
        <v>7639.73</v>
      </c>
      <c r="F750" s="490">
        <v>0</v>
      </c>
      <c r="G750" s="490">
        <v>7639.73</v>
      </c>
      <c r="H750" s="489" t="str">
        <f>VLOOKUP(A750,'TB - Expense Data'!$H$3:$I$757,2,FALSE)</f>
        <v>FRANCHISE FEE</v>
      </c>
    </row>
    <row r="751" spans="1:8" x14ac:dyDescent="0.25">
      <c r="A751" s="489" t="s">
        <v>790</v>
      </c>
      <c r="B751" s="489" t="s">
        <v>178</v>
      </c>
      <c r="C751" s="490">
        <v>110</v>
      </c>
      <c r="D751" s="490">
        <v>0</v>
      </c>
      <c r="E751" s="490">
        <v>0</v>
      </c>
      <c r="F751" s="490">
        <v>0</v>
      </c>
      <c r="G751" s="490">
        <v>0</v>
      </c>
      <c r="H751" s="489" t="str">
        <f>VLOOKUP(A751,'TB - Expense Data'!$H$3:$I$757,2,FALSE)</f>
        <v>BAD DEBT EXPENSE</v>
      </c>
    </row>
    <row r="752" spans="1:8" x14ac:dyDescent="0.25">
      <c r="A752" s="489" t="s">
        <v>339</v>
      </c>
      <c r="B752" s="489" t="s">
        <v>76</v>
      </c>
      <c r="C752" s="490">
        <v>187821.76</v>
      </c>
      <c r="D752" s="490">
        <v>0</v>
      </c>
      <c r="E752" s="490">
        <v>97535.32</v>
      </c>
      <c r="F752" s="490">
        <v>4258.25</v>
      </c>
      <c r="G752" s="490">
        <v>93277.07</v>
      </c>
      <c r="H752" s="489" t="str">
        <f>VLOOKUP(A752,'TB - Expense Data'!$H$3:$I$757,2,FALSE)</f>
        <v>WAGES - OPM</v>
      </c>
    </row>
    <row r="753" spans="1:8" x14ac:dyDescent="0.25">
      <c r="A753" s="489" t="s">
        <v>340</v>
      </c>
      <c r="B753" s="489" t="s">
        <v>37</v>
      </c>
      <c r="C753" s="490">
        <v>5896.32</v>
      </c>
      <c r="D753" s="490">
        <v>0</v>
      </c>
      <c r="E753" s="490">
        <v>817</v>
      </c>
      <c r="F753" s="490">
        <v>0</v>
      </c>
      <c r="G753" s="490">
        <v>817</v>
      </c>
      <c r="H753" s="489" t="str">
        <f>VLOOKUP(A753,'TB - Expense Data'!$H$3:$I$757,2,FALSE)</f>
        <v>OVERTIME</v>
      </c>
    </row>
    <row r="754" spans="1:8" x14ac:dyDescent="0.25">
      <c r="A754" s="489" t="s">
        <v>341</v>
      </c>
      <c r="B754" s="489" t="s">
        <v>1076</v>
      </c>
      <c r="C754" s="490">
        <v>4659.2</v>
      </c>
      <c r="D754" s="490">
        <v>0</v>
      </c>
      <c r="E754" s="490">
        <v>3640</v>
      </c>
      <c r="F754" s="490">
        <v>280</v>
      </c>
      <c r="G754" s="490">
        <v>3360</v>
      </c>
      <c r="H754" s="489" t="str">
        <f>VLOOKUP(A754,'TB - Expense Data'!$H$3:$I$757,2,FALSE)</f>
        <v>STANDBY WAGES</v>
      </c>
    </row>
    <row r="755" spans="1:8" x14ac:dyDescent="0.25">
      <c r="A755" s="489" t="s">
        <v>342</v>
      </c>
      <c r="B755" s="489" t="s">
        <v>153</v>
      </c>
      <c r="C755" s="490">
        <v>12299.36</v>
      </c>
      <c r="D755" s="490">
        <v>0</v>
      </c>
      <c r="E755" s="490">
        <v>6106.42</v>
      </c>
      <c r="F755" s="490">
        <v>248.8</v>
      </c>
      <c r="G755" s="490">
        <v>5857.62</v>
      </c>
      <c r="H755" s="489" t="str">
        <f>VLOOKUP(A755,'TB - Expense Data'!$H$3:$I$757,2,FALSE)</f>
        <v>FICA EXPENSE</v>
      </c>
    </row>
    <row r="756" spans="1:8" x14ac:dyDescent="0.25">
      <c r="A756" s="489" t="s">
        <v>343</v>
      </c>
      <c r="B756" s="489" t="s">
        <v>154</v>
      </c>
      <c r="C756" s="490">
        <v>2876.48</v>
      </c>
      <c r="D756" s="490">
        <v>0</v>
      </c>
      <c r="E756" s="490">
        <v>1452.78</v>
      </c>
      <c r="F756" s="490">
        <v>58.19</v>
      </c>
      <c r="G756" s="490">
        <v>1394.59</v>
      </c>
      <c r="H756" s="489" t="str">
        <f>VLOOKUP(A756,'TB - Expense Data'!$H$3:$I$757,2,FALSE)</f>
        <v>MEDI EXPENSE</v>
      </c>
    </row>
    <row r="757" spans="1:8" x14ac:dyDescent="0.25">
      <c r="A757" s="489" t="s">
        <v>344</v>
      </c>
      <c r="B757" s="489" t="s">
        <v>38</v>
      </c>
      <c r="C757" s="490">
        <v>54671.839999999997</v>
      </c>
      <c r="D757" s="490">
        <v>0</v>
      </c>
      <c r="E757" s="490">
        <v>17428.169999999998</v>
      </c>
      <c r="F757" s="490">
        <v>0</v>
      </c>
      <c r="G757" s="490">
        <v>17428.169999999998</v>
      </c>
      <c r="H757" s="489" t="str">
        <f>VLOOKUP(A757,'TB - Expense Data'!$H$3:$I$757,2,FALSE)</f>
        <v>MEDICAL INSURANCE</v>
      </c>
    </row>
    <row r="758" spans="1:8" x14ac:dyDescent="0.25">
      <c r="A758" s="489" t="s">
        <v>345</v>
      </c>
      <c r="B758" s="489" t="s">
        <v>77</v>
      </c>
      <c r="C758" s="490">
        <v>3124.8</v>
      </c>
      <c r="D758" s="490">
        <v>0</v>
      </c>
      <c r="E758" s="490">
        <v>1012.14</v>
      </c>
      <c r="F758" s="490">
        <v>0</v>
      </c>
      <c r="G758" s="490">
        <v>1012.14</v>
      </c>
      <c r="H758" s="489" t="str">
        <f>VLOOKUP(A758,'TB - Expense Data'!$H$3:$I$757,2,FALSE)</f>
        <v>DENTAL INSURANCE</v>
      </c>
    </row>
    <row r="759" spans="1:8" x14ac:dyDescent="0.25">
      <c r="A759" s="489" t="s">
        <v>346</v>
      </c>
      <c r="B759" s="489" t="s">
        <v>78</v>
      </c>
      <c r="C759" s="490">
        <v>551.84</v>
      </c>
      <c r="D759" s="490">
        <v>0</v>
      </c>
      <c r="E759" s="490">
        <v>198.67</v>
      </c>
      <c r="F759" s="490">
        <v>0</v>
      </c>
      <c r="G759" s="490">
        <v>198.67</v>
      </c>
      <c r="H759" s="489" t="str">
        <f>VLOOKUP(A759,'TB - Expense Data'!$H$3:$I$757,2,FALSE)</f>
        <v>VISION INSURANCE</v>
      </c>
    </row>
    <row r="760" spans="1:8" x14ac:dyDescent="0.25">
      <c r="A760" s="489" t="s">
        <v>347</v>
      </c>
      <c r="B760" s="489" t="s">
        <v>893</v>
      </c>
      <c r="C760" s="490">
        <v>7659.2</v>
      </c>
      <c r="D760" s="490">
        <v>0</v>
      </c>
      <c r="E760" s="490">
        <v>3920.35</v>
      </c>
      <c r="F760" s="490">
        <v>172.88</v>
      </c>
      <c r="G760" s="490">
        <v>3747.47</v>
      </c>
      <c r="H760" s="489" t="str">
        <f>VLOOKUP(A760,'TB - Expense Data'!$H$3:$I$757,2,FALSE)</f>
        <v>WORKERS COMP INSURANCE</v>
      </c>
    </row>
    <row r="761" spans="1:8" x14ac:dyDescent="0.25">
      <c r="A761" s="489" t="s">
        <v>348</v>
      </c>
      <c r="B761" s="489" t="s">
        <v>2249</v>
      </c>
      <c r="C761" s="490">
        <v>743.84</v>
      </c>
      <c r="D761" s="490">
        <v>0</v>
      </c>
      <c r="E761" s="490">
        <v>342.35</v>
      </c>
      <c r="F761" s="490">
        <v>95.85</v>
      </c>
      <c r="G761" s="490">
        <v>246.5</v>
      </c>
      <c r="H761" s="489" t="str">
        <f>VLOOKUP(A761,'TB - Expense Data'!$H$3:$I$757,2,FALSE)</f>
        <v>LIFE INSURANCE EXPENSE</v>
      </c>
    </row>
    <row r="762" spans="1:8" x14ac:dyDescent="0.25">
      <c r="A762" s="489" t="s">
        <v>349</v>
      </c>
      <c r="B762" s="489" t="s">
        <v>64</v>
      </c>
      <c r="C762" s="490">
        <v>1088</v>
      </c>
      <c r="D762" s="490">
        <v>0</v>
      </c>
      <c r="E762" s="490">
        <v>362.09</v>
      </c>
      <c r="F762" s="490">
        <v>0</v>
      </c>
      <c r="G762" s="490">
        <v>362.09</v>
      </c>
      <c r="H762" s="489" t="str">
        <f>VLOOKUP(A762,'TB - Expense Data'!$H$3:$I$757,2,FALSE)</f>
        <v>UNIFORM BENEFIT</v>
      </c>
    </row>
    <row r="763" spans="1:8" x14ac:dyDescent="0.25">
      <c r="A763" s="489" t="s">
        <v>350</v>
      </c>
      <c r="B763" s="489" t="s">
        <v>65</v>
      </c>
      <c r="C763" s="490">
        <v>544</v>
      </c>
      <c r="D763" s="490">
        <v>0</v>
      </c>
      <c r="E763" s="490">
        <v>95.81</v>
      </c>
      <c r="F763" s="490">
        <v>0</v>
      </c>
      <c r="G763" s="490">
        <v>95.81</v>
      </c>
      <c r="H763" s="489" t="str">
        <f>VLOOKUP(A763,'TB - Expense Data'!$H$3:$I$757,2,FALSE)</f>
        <v>BOOT BENEFIT</v>
      </c>
    </row>
    <row r="764" spans="1:8" x14ac:dyDescent="0.25">
      <c r="A764" s="489" t="s">
        <v>351</v>
      </c>
      <c r="B764" s="489" t="s">
        <v>40</v>
      </c>
      <c r="C764" s="490">
        <v>841.76</v>
      </c>
      <c r="D764" s="490">
        <v>0</v>
      </c>
      <c r="E764" s="490">
        <v>2.63</v>
      </c>
      <c r="F764" s="490">
        <v>0</v>
      </c>
      <c r="G764" s="490">
        <v>2.63</v>
      </c>
      <c r="H764" s="489" t="str">
        <f>VLOOKUP(A764,'TB - Expense Data'!$H$3:$I$757,2,FALSE)</f>
        <v>SUI EXPENSE</v>
      </c>
    </row>
    <row r="765" spans="1:8" x14ac:dyDescent="0.25">
      <c r="A765" s="489" t="s">
        <v>352</v>
      </c>
      <c r="B765" s="489" t="s">
        <v>41</v>
      </c>
      <c r="C765" s="490">
        <v>18.72</v>
      </c>
      <c r="D765" s="490">
        <v>0</v>
      </c>
      <c r="E765" s="490">
        <v>0</v>
      </c>
      <c r="F765" s="490">
        <v>0</v>
      </c>
      <c r="G765" s="490">
        <v>0</v>
      </c>
      <c r="H765" s="489" t="str">
        <f>VLOOKUP(A765,'TB - Expense Data'!$H$3:$I$757,2,FALSE)</f>
        <v>ETT EXPENSE</v>
      </c>
    </row>
    <row r="766" spans="1:8" x14ac:dyDescent="0.25">
      <c r="A766" s="489" t="s">
        <v>353</v>
      </c>
      <c r="B766" s="489" t="s">
        <v>42</v>
      </c>
      <c r="C766" s="490">
        <v>584.64</v>
      </c>
      <c r="D766" s="490">
        <v>0</v>
      </c>
      <c r="E766" s="490">
        <v>182.1</v>
      </c>
      <c r="F766" s="490">
        <v>9.77</v>
      </c>
      <c r="G766" s="490">
        <v>172.33</v>
      </c>
      <c r="H766" s="489" t="str">
        <f>VLOOKUP(A766,'TB - Expense Data'!$H$3:$I$757,2,FALSE)</f>
        <v>DISABILITY PLAN</v>
      </c>
    </row>
    <row r="767" spans="1:8" x14ac:dyDescent="0.25">
      <c r="A767" s="489" t="s">
        <v>354</v>
      </c>
      <c r="B767" s="489" t="s">
        <v>2252</v>
      </c>
      <c r="C767" s="490">
        <v>17029.439999999999</v>
      </c>
      <c r="D767" s="490">
        <v>0</v>
      </c>
      <c r="E767" s="490">
        <v>8442.1299999999992</v>
      </c>
      <c r="F767" s="490">
        <v>298.98</v>
      </c>
      <c r="G767" s="490">
        <v>8143.15</v>
      </c>
      <c r="H767" s="489" t="str">
        <f>VLOOKUP(A767,'TB - Expense Data'!$H$3:$I$757,2,FALSE)</f>
        <v>CALPERS RETIREMENT</v>
      </c>
    </row>
    <row r="768" spans="1:8" x14ac:dyDescent="0.25">
      <c r="A768" s="489" t="s">
        <v>355</v>
      </c>
      <c r="B768" s="489" t="s">
        <v>44</v>
      </c>
      <c r="C768" s="490">
        <v>14067.84</v>
      </c>
      <c r="D768" s="490">
        <v>0</v>
      </c>
      <c r="E768" s="490">
        <v>7007.75</v>
      </c>
      <c r="F768" s="490">
        <v>248.52</v>
      </c>
      <c r="G768" s="490">
        <v>6759.23</v>
      </c>
      <c r="H768" s="489" t="str">
        <f>VLOOKUP(A768,'TB - Expense Data'!$H$3:$I$757,2,FALSE)</f>
        <v>CALPERS RETIREMENT (EE)</v>
      </c>
    </row>
    <row r="769" spans="1:8" x14ac:dyDescent="0.25">
      <c r="A769" s="489" t="s">
        <v>356</v>
      </c>
      <c r="B769" s="489" t="s">
        <v>183</v>
      </c>
      <c r="C769" s="490">
        <v>7200</v>
      </c>
      <c r="D769" s="490">
        <v>0</v>
      </c>
      <c r="E769" s="490">
        <v>0</v>
      </c>
      <c r="F769" s="490">
        <v>0</v>
      </c>
      <c r="G769" s="490">
        <v>0</v>
      </c>
      <c r="H769" s="489" t="str">
        <f>VLOOKUP(A769,'TB - Expense Data'!$H$3:$I$757,2,FALSE)</f>
        <v>OPEB EXPENSE</v>
      </c>
    </row>
    <row r="770" spans="1:8" x14ac:dyDescent="0.25">
      <c r="A770" s="489" t="s">
        <v>357</v>
      </c>
      <c r="B770" s="489" t="s">
        <v>1161</v>
      </c>
      <c r="C770" s="490">
        <v>187</v>
      </c>
      <c r="D770" s="490">
        <v>0</v>
      </c>
      <c r="E770" s="490">
        <v>0</v>
      </c>
      <c r="F770" s="490">
        <v>0</v>
      </c>
      <c r="G770" s="490">
        <v>0</v>
      </c>
      <c r="H770" s="489" t="str">
        <f>VLOOKUP(A770,'TB - Expense Data'!$H$3:$I$757,2,FALSE)</f>
        <v>BOOKS &amp; REF MATERIALS</v>
      </c>
    </row>
    <row r="771" spans="1:8" x14ac:dyDescent="0.25">
      <c r="A771" s="489" t="s">
        <v>358</v>
      </c>
      <c r="B771" s="489" t="s">
        <v>48</v>
      </c>
      <c r="C771" s="490">
        <v>110</v>
      </c>
      <c r="D771" s="490">
        <v>0</v>
      </c>
      <c r="E771" s="490">
        <v>0</v>
      </c>
      <c r="F771" s="490">
        <v>0</v>
      </c>
      <c r="G771" s="490">
        <v>0</v>
      </c>
      <c r="H771" s="489" t="str">
        <f>VLOOKUP(A771,'TB - Expense Data'!$H$3:$I$757,2,FALSE)</f>
        <v>OFFICE SUPPLY</v>
      </c>
    </row>
    <row r="772" spans="1:8" x14ac:dyDescent="0.25">
      <c r="A772" s="489" t="s">
        <v>360</v>
      </c>
      <c r="B772" s="489" t="s">
        <v>54</v>
      </c>
      <c r="C772" s="490">
        <v>715</v>
      </c>
      <c r="D772" s="490">
        <v>0</v>
      </c>
      <c r="E772" s="490">
        <v>647.34</v>
      </c>
      <c r="F772" s="490">
        <v>0</v>
      </c>
      <c r="G772" s="490">
        <v>647.34</v>
      </c>
      <c r="H772" s="489" t="str">
        <f>VLOOKUP(A772,'TB - Expense Data'!$H$3:$I$757,2,FALSE)</f>
        <v>MEMBERSHIPS &amp; DUES</v>
      </c>
    </row>
    <row r="773" spans="1:8" x14ac:dyDescent="0.25">
      <c r="A773" s="489" t="s">
        <v>361</v>
      </c>
      <c r="B773" s="489" t="s">
        <v>71</v>
      </c>
      <c r="C773" s="490">
        <v>1320</v>
      </c>
      <c r="D773" s="490">
        <v>0</v>
      </c>
      <c r="E773" s="490">
        <v>368.13</v>
      </c>
      <c r="F773" s="490">
        <v>0</v>
      </c>
      <c r="G773" s="490">
        <v>368.13</v>
      </c>
      <c r="H773" s="489" t="str">
        <f>VLOOKUP(A773,'TB - Expense Data'!$H$3:$I$757,2,FALSE)</f>
        <v>SAFETY</v>
      </c>
    </row>
    <row r="774" spans="1:8" x14ac:dyDescent="0.25">
      <c r="A774" s="489" t="s">
        <v>362</v>
      </c>
      <c r="B774" s="489" t="s">
        <v>80</v>
      </c>
      <c r="C774" s="490">
        <v>550</v>
      </c>
      <c r="D774" s="490">
        <v>0</v>
      </c>
      <c r="E774" s="490">
        <v>361.5</v>
      </c>
      <c r="F774" s="490">
        <v>0</v>
      </c>
      <c r="G774" s="490">
        <v>361.5</v>
      </c>
      <c r="H774" s="489" t="str">
        <f>VLOOKUP(A774,'TB - Expense Data'!$H$3:$I$757,2,FALSE)</f>
        <v>SUPPLIES</v>
      </c>
    </row>
    <row r="775" spans="1:8" x14ac:dyDescent="0.25">
      <c r="A775" s="489" t="s">
        <v>363</v>
      </c>
      <c r="B775" s="489" t="s">
        <v>1163</v>
      </c>
      <c r="C775" s="490">
        <v>18150</v>
      </c>
      <c r="D775" s="490">
        <v>0</v>
      </c>
      <c r="E775" s="490">
        <v>4490.08</v>
      </c>
      <c r="F775" s="490">
        <v>5.95</v>
      </c>
      <c r="G775" s="490">
        <v>4484.13</v>
      </c>
      <c r="H775" s="489" t="str">
        <f>VLOOKUP(A775,'TB - Expense Data'!$H$3:$I$757,2,FALSE)</f>
        <v>GENERAL O&amp;M MAINT/ EQUIP</v>
      </c>
    </row>
    <row r="776" spans="1:8" x14ac:dyDescent="0.25">
      <c r="A776" s="489" t="s">
        <v>364</v>
      </c>
      <c r="B776" s="489" t="s">
        <v>81</v>
      </c>
      <c r="C776" s="490">
        <v>16.5</v>
      </c>
      <c r="D776" s="490">
        <v>0</v>
      </c>
      <c r="E776" s="490">
        <v>0</v>
      </c>
      <c r="F776" s="490">
        <v>0</v>
      </c>
      <c r="G776" s="490">
        <v>0</v>
      </c>
      <c r="H776" s="489" t="str">
        <f>VLOOKUP(A776,'TB - Expense Data'!$H$3:$I$757,2,FALSE)</f>
        <v>O&amp;M POWER/GAS</v>
      </c>
    </row>
    <row r="777" spans="1:8" x14ac:dyDescent="0.25">
      <c r="A777" s="489" t="s">
        <v>365</v>
      </c>
      <c r="B777" s="489" t="s">
        <v>82</v>
      </c>
      <c r="C777" s="490">
        <v>1815</v>
      </c>
      <c r="D777" s="490">
        <v>0</v>
      </c>
      <c r="E777" s="490">
        <v>627.16999999999996</v>
      </c>
      <c r="F777" s="490">
        <v>0</v>
      </c>
      <c r="G777" s="490">
        <v>627.16999999999996</v>
      </c>
      <c r="H777" s="489" t="str">
        <f>VLOOKUP(A777,'TB - Expense Data'!$H$3:$I$757,2,FALSE)</f>
        <v>LUBRICANTS</v>
      </c>
    </row>
    <row r="778" spans="1:8" x14ac:dyDescent="0.25">
      <c r="A778" s="489" t="s">
        <v>935</v>
      </c>
      <c r="B778" s="489" t="s">
        <v>83</v>
      </c>
      <c r="C778" s="490">
        <v>385</v>
      </c>
      <c r="D778" s="490">
        <v>0</v>
      </c>
      <c r="E778" s="490">
        <v>42.81</v>
      </c>
      <c r="F778" s="490">
        <v>0</v>
      </c>
      <c r="G778" s="490">
        <v>42.81</v>
      </c>
      <c r="H778" s="489" t="str">
        <f>VLOOKUP(A778,'TB - Expense Data'!$H$3:$I$757,2,FALSE)</f>
        <v>PHONE</v>
      </c>
    </row>
    <row r="779" spans="1:8" x14ac:dyDescent="0.25">
      <c r="A779" s="489" t="s">
        <v>959</v>
      </c>
      <c r="B779" s="489" t="s">
        <v>1086</v>
      </c>
      <c r="C779" s="490">
        <v>4400</v>
      </c>
      <c r="D779" s="490">
        <v>0</v>
      </c>
      <c r="E779" s="490">
        <v>417.74</v>
      </c>
      <c r="F779" s="490">
        <v>0</v>
      </c>
      <c r="G779" s="490">
        <v>417.74</v>
      </c>
      <c r="H779" s="489" t="str">
        <f>VLOOKUP(A779,'TB - Expense Data'!$H$3:$I$757,2,FALSE)</f>
        <v>MAINTENANCE MANAGEMENT SYSTEM</v>
      </c>
    </row>
    <row r="780" spans="1:8" x14ac:dyDescent="0.25">
      <c r="A780" s="489" t="s">
        <v>367</v>
      </c>
      <c r="B780" s="489" t="s">
        <v>85</v>
      </c>
      <c r="C780" s="490">
        <v>4400</v>
      </c>
      <c r="D780" s="490">
        <v>0</v>
      </c>
      <c r="E780" s="490">
        <v>4919.6099999999997</v>
      </c>
      <c r="F780" s="490">
        <v>0</v>
      </c>
      <c r="G780" s="490">
        <v>4919.6099999999997</v>
      </c>
      <c r="H780" s="489" t="str">
        <f>VLOOKUP(A780,'TB - Expense Data'!$H$3:$I$757,2,FALSE)</f>
        <v>ANNUAL MAINTENANCE PROGRAM</v>
      </c>
    </row>
    <row r="781" spans="1:8" x14ac:dyDescent="0.25">
      <c r="A781" s="489" t="s">
        <v>368</v>
      </c>
      <c r="B781" s="489" t="s">
        <v>1170</v>
      </c>
      <c r="C781" s="490">
        <v>4400</v>
      </c>
      <c r="D781" s="490">
        <v>0</v>
      </c>
      <c r="E781" s="490">
        <v>1177.6099999999999</v>
      </c>
      <c r="F781" s="490">
        <v>0</v>
      </c>
      <c r="G781" s="490">
        <v>1177.6099999999999</v>
      </c>
      <c r="H781" s="489" t="str">
        <f>VLOOKUP(A781,'TB - Expense Data'!$H$3:$I$757,2,FALSE)</f>
        <v>REAL PROPERTY MAINT</v>
      </c>
    </row>
    <row r="782" spans="1:8" x14ac:dyDescent="0.25">
      <c r="A782" s="489" t="s">
        <v>369</v>
      </c>
      <c r="B782" s="489" t="s">
        <v>55</v>
      </c>
      <c r="C782" s="490">
        <v>6600</v>
      </c>
      <c r="D782" s="490">
        <v>0</v>
      </c>
      <c r="E782" s="490">
        <v>5037.6099999999997</v>
      </c>
      <c r="F782" s="490">
        <v>91.08</v>
      </c>
      <c r="G782" s="490">
        <v>4946.53</v>
      </c>
      <c r="H782" s="489" t="str">
        <f>VLOOKUP(A782,'TB - Expense Data'!$H$3:$I$757,2,FALSE)</f>
        <v>FLEET MAINTENANCE</v>
      </c>
    </row>
    <row r="783" spans="1:8" x14ac:dyDescent="0.25">
      <c r="A783" s="489" t="s">
        <v>370</v>
      </c>
      <c r="B783" s="489" t="s">
        <v>104</v>
      </c>
      <c r="C783" s="490">
        <v>8250</v>
      </c>
      <c r="D783" s="490">
        <v>0</v>
      </c>
      <c r="E783" s="490">
        <v>0</v>
      </c>
      <c r="F783" s="490">
        <v>0</v>
      </c>
      <c r="G783" s="490">
        <v>0</v>
      </c>
      <c r="H783" s="489" t="str">
        <f>VLOOKUP(A783,'TB - Expense Data'!$H$3:$I$757,2,FALSE)</f>
        <v>TELEMETRY SYSTEM</v>
      </c>
    </row>
    <row r="784" spans="1:8" x14ac:dyDescent="0.25">
      <c r="A784" s="489" t="s">
        <v>371</v>
      </c>
      <c r="B784" s="489" t="s">
        <v>121</v>
      </c>
      <c r="C784" s="490">
        <v>5500</v>
      </c>
      <c r="D784" s="490">
        <v>0</v>
      </c>
      <c r="E784" s="490">
        <v>324</v>
      </c>
      <c r="F784" s="490">
        <v>2</v>
      </c>
      <c r="G784" s="490">
        <v>322</v>
      </c>
      <c r="H784" s="489" t="str">
        <f>VLOOKUP(A784,'TB - Expense Data'!$H$3:$I$757,2,FALSE)</f>
        <v>L/S RESERVATION MAINT &amp; EQUIP</v>
      </c>
    </row>
    <row r="785" spans="1:8" x14ac:dyDescent="0.25">
      <c r="A785" s="489" t="s">
        <v>372</v>
      </c>
      <c r="B785" s="489" t="s">
        <v>122</v>
      </c>
      <c r="C785" s="490">
        <v>2500</v>
      </c>
      <c r="D785" s="490">
        <v>0</v>
      </c>
      <c r="E785" s="490">
        <v>671.46</v>
      </c>
      <c r="F785" s="490">
        <v>0</v>
      </c>
      <c r="G785" s="490">
        <v>671.46</v>
      </c>
      <c r="H785" s="489" t="str">
        <f>VLOOKUP(A785,'TB - Expense Data'!$H$3:$I$757,2,FALSE)</f>
        <v>L/S RESERVATION POWER</v>
      </c>
    </row>
    <row r="786" spans="1:8" x14ac:dyDescent="0.25">
      <c r="A786" s="489" t="s">
        <v>373</v>
      </c>
      <c r="B786" s="489" t="s">
        <v>123</v>
      </c>
      <c r="C786" s="490">
        <v>1500</v>
      </c>
      <c r="D786" s="490">
        <v>0</v>
      </c>
      <c r="E786" s="490">
        <v>0</v>
      </c>
      <c r="F786" s="490">
        <v>0</v>
      </c>
      <c r="G786" s="490">
        <v>0</v>
      </c>
      <c r="H786" s="489" t="str">
        <f>VLOOKUP(A786,'TB - Expense Data'!$H$3:$I$757,2,FALSE)</f>
        <v>L/S 528 A/FIELD MAINT &amp; EQUIP</v>
      </c>
    </row>
    <row r="787" spans="1:8" x14ac:dyDescent="0.25">
      <c r="A787" s="489" t="s">
        <v>374</v>
      </c>
      <c r="B787" s="489" t="s">
        <v>124</v>
      </c>
      <c r="C787" s="490">
        <v>450</v>
      </c>
      <c r="D787" s="490">
        <v>0</v>
      </c>
      <c r="E787" s="490">
        <v>132.85</v>
      </c>
      <c r="F787" s="490">
        <v>0</v>
      </c>
      <c r="G787" s="490">
        <v>132.85</v>
      </c>
      <c r="H787" s="489" t="str">
        <f>VLOOKUP(A787,'TB - Expense Data'!$H$3:$I$757,2,FALSE)</f>
        <v>L/S 528 A/FIELD POWER</v>
      </c>
    </row>
    <row r="788" spans="1:8" x14ac:dyDescent="0.25">
      <c r="A788" s="489" t="s">
        <v>375</v>
      </c>
      <c r="B788" s="489" t="s">
        <v>125</v>
      </c>
      <c r="C788" s="490">
        <v>7500</v>
      </c>
      <c r="D788" s="490">
        <v>0</v>
      </c>
      <c r="E788" s="490">
        <v>320</v>
      </c>
      <c r="F788" s="490">
        <v>0</v>
      </c>
      <c r="G788" s="490">
        <v>320</v>
      </c>
      <c r="H788" s="489" t="str">
        <f>VLOOKUP(A788,'TB - Expense Data'!$H$3:$I$757,2,FALSE)</f>
        <v>L/S 530 A/FIELD MAINT &amp; EQUIP</v>
      </c>
    </row>
    <row r="789" spans="1:8" x14ac:dyDescent="0.25">
      <c r="A789" s="489" t="s">
        <v>376</v>
      </c>
      <c r="B789" s="489" t="s">
        <v>126</v>
      </c>
      <c r="C789" s="490">
        <v>2750</v>
      </c>
      <c r="D789" s="490">
        <v>0</v>
      </c>
      <c r="E789" s="490">
        <v>1179.8699999999999</v>
      </c>
      <c r="F789" s="490">
        <v>0</v>
      </c>
      <c r="G789" s="490">
        <v>1179.8699999999999</v>
      </c>
      <c r="H789" s="489" t="str">
        <f>VLOOKUP(A789,'TB - Expense Data'!$H$3:$I$757,2,FALSE)</f>
        <v>L/S 530 A/FIELD POWER</v>
      </c>
    </row>
    <row r="790" spans="1:8" x14ac:dyDescent="0.25">
      <c r="A790" s="489" t="s">
        <v>1203</v>
      </c>
      <c r="B790" s="489" t="s">
        <v>1204</v>
      </c>
      <c r="C790" s="490">
        <v>0</v>
      </c>
      <c r="D790" s="490">
        <v>0</v>
      </c>
      <c r="E790" s="490">
        <v>7278.18</v>
      </c>
      <c r="F790" s="490">
        <v>7278.18</v>
      </c>
      <c r="G790" s="490">
        <v>0</v>
      </c>
      <c r="H790" s="489" t="str">
        <f>VLOOKUP(A790,'TB - Expense Data'!$H$3:$I$757,2,FALSE)</f>
        <v>L/S EG 96 MAINT &amp; EQUIP</v>
      </c>
    </row>
    <row r="791" spans="1:8" x14ac:dyDescent="0.25">
      <c r="A791" s="489" t="s">
        <v>378</v>
      </c>
      <c r="B791" s="489" t="s">
        <v>128</v>
      </c>
      <c r="C791" s="490">
        <v>500</v>
      </c>
      <c r="D791" s="490">
        <v>0</v>
      </c>
      <c r="E791" s="490">
        <v>241</v>
      </c>
      <c r="F791" s="490">
        <v>0</v>
      </c>
      <c r="G791" s="490">
        <v>241</v>
      </c>
      <c r="H791" s="489" t="str">
        <f>VLOOKUP(A791,'TB - Expense Data'!$H$3:$I$757,2,FALSE)</f>
        <v>L/S 5398 W/MEYER MAINT &amp; EQUIP</v>
      </c>
    </row>
    <row r="792" spans="1:8" x14ac:dyDescent="0.25">
      <c r="A792" s="489" t="s">
        <v>379</v>
      </c>
      <c r="B792" s="489" t="s">
        <v>129</v>
      </c>
      <c r="C792" s="490">
        <v>2250</v>
      </c>
      <c r="D792" s="490">
        <v>0</v>
      </c>
      <c r="E792" s="490">
        <v>938.74</v>
      </c>
      <c r="F792" s="490">
        <v>0</v>
      </c>
      <c r="G792" s="490">
        <v>938.74</v>
      </c>
      <c r="H792" s="489" t="str">
        <f>VLOOKUP(A792,'TB - Expense Data'!$H$3:$I$757,2,FALSE)</f>
        <v>L/S 5398 W/MEYER POWER</v>
      </c>
    </row>
    <row r="793" spans="1:8" x14ac:dyDescent="0.25">
      <c r="A793" s="489" t="s">
        <v>380</v>
      </c>
      <c r="B793" s="489" t="s">
        <v>130</v>
      </c>
      <c r="C793" s="490">
        <v>500</v>
      </c>
      <c r="D793" s="490">
        <v>0</v>
      </c>
      <c r="E793" s="490">
        <v>241</v>
      </c>
      <c r="F793" s="490">
        <v>0</v>
      </c>
      <c r="G793" s="490">
        <v>241</v>
      </c>
      <c r="H793" s="489" t="str">
        <f>VLOOKUP(A793,'TB - Expense Data'!$H$3:$I$757,2,FALSE)</f>
        <v>L/S 5447 LANDRUM MAINT &amp; EQUIP</v>
      </c>
    </row>
    <row r="794" spans="1:8" x14ac:dyDescent="0.25">
      <c r="A794" s="489" t="s">
        <v>381</v>
      </c>
      <c r="B794" s="489" t="s">
        <v>131</v>
      </c>
      <c r="C794" s="490">
        <v>2750</v>
      </c>
      <c r="D794" s="490">
        <v>0</v>
      </c>
      <c r="E794" s="490">
        <v>1202.8900000000001</v>
      </c>
      <c r="F794" s="490">
        <v>0</v>
      </c>
      <c r="G794" s="490">
        <v>1202.8900000000001</v>
      </c>
      <c r="H794" s="489" t="str">
        <f>VLOOKUP(A794,'TB - Expense Data'!$H$3:$I$757,2,FALSE)</f>
        <v>L/S 5447 LANDRUM POWER</v>
      </c>
    </row>
    <row r="795" spans="1:8" x14ac:dyDescent="0.25">
      <c r="A795" s="489" t="s">
        <v>382</v>
      </c>
      <c r="B795" s="489" t="s">
        <v>132</v>
      </c>
      <c r="C795" s="490">
        <v>500</v>
      </c>
      <c r="D795" s="490">
        <v>0</v>
      </c>
      <c r="E795" s="490">
        <v>241</v>
      </c>
      <c r="F795" s="490">
        <v>0</v>
      </c>
      <c r="G795" s="490">
        <v>241</v>
      </c>
      <c r="H795" s="489" t="str">
        <f>VLOOKUP(A795,'TB - Expense Data'!$H$3:$I$757,2,FALSE)</f>
        <v>L/S 5713 S/OVER MAINT &amp; EQUIP</v>
      </c>
    </row>
    <row r="796" spans="1:8" x14ac:dyDescent="0.25">
      <c r="A796" s="489" t="s">
        <v>383</v>
      </c>
      <c r="B796" s="489" t="s">
        <v>133</v>
      </c>
      <c r="C796" s="490">
        <v>4200</v>
      </c>
      <c r="D796" s="490">
        <v>0</v>
      </c>
      <c r="E796" s="490">
        <v>2173.9299999999998</v>
      </c>
      <c r="F796" s="490">
        <v>0</v>
      </c>
      <c r="G796" s="490">
        <v>2173.9299999999998</v>
      </c>
      <c r="H796" s="489" t="str">
        <f>VLOOKUP(A796,'TB - Expense Data'!$H$3:$I$757,2,FALSE)</f>
        <v>L/S 5713 S/OVER POWER</v>
      </c>
    </row>
    <row r="797" spans="1:8" x14ac:dyDescent="0.25">
      <c r="A797" s="489" t="s">
        <v>384</v>
      </c>
      <c r="B797" s="489" t="s">
        <v>134</v>
      </c>
      <c r="C797" s="490">
        <v>500</v>
      </c>
      <c r="D797" s="490">
        <v>0</v>
      </c>
      <c r="E797" s="490">
        <v>320</v>
      </c>
      <c r="F797" s="490">
        <v>0</v>
      </c>
      <c r="G797" s="490">
        <v>320</v>
      </c>
      <c r="H797" s="489" t="str">
        <f>VLOOKUP(A797,'TB - Expense Data'!$H$3:$I$757,2,FALSE)</f>
        <v>L/S 5790 HODGES MAINT &amp; EQUIP</v>
      </c>
    </row>
    <row r="798" spans="1:8" x14ac:dyDescent="0.25">
      <c r="A798" s="489" t="s">
        <v>385</v>
      </c>
      <c r="B798" s="489" t="s">
        <v>135</v>
      </c>
      <c r="C798" s="490">
        <v>1850</v>
      </c>
      <c r="D798" s="490">
        <v>0</v>
      </c>
      <c r="E798" s="490">
        <v>923.46</v>
      </c>
      <c r="F798" s="490">
        <v>0</v>
      </c>
      <c r="G798" s="490">
        <v>923.46</v>
      </c>
      <c r="H798" s="489" t="str">
        <f>VLOOKUP(A798,'TB - Expense Data'!$H$3:$I$757,2,FALSE)</f>
        <v>L/S 5790 HODGES POWER</v>
      </c>
    </row>
    <row r="799" spans="1:8" x14ac:dyDescent="0.25">
      <c r="A799" s="489" t="s">
        <v>386</v>
      </c>
      <c r="B799" s="489" t="s">
        <v>136</v>
      </c>
      <c r="C799" s="490">
        <v>5250</v>
      </c>
      <c r="D799" s="490">
        <v>0</v>
      </c>
      <c r="E799" s="490">
        <v>2215.13</v>
      </c>
      <c r="F799" s="490">
        <v>0</v>
      </c>
      <c r="G799" s="490">
        <v>2215.13</v>
      </c>
      <c r="H799" s="489" t="str">
        <f>VLOOKUP(A799,'TB - Expense Data'!$H$3:$I$757,2,FALSE)</f>
        <v>L/S 5871 IMJIN MAINT &amp; EQUIP</v>
      </c>
    </row>
    <row r="800" spans="1:8" x14ac:dyDescent="0.25">
      <c r="A800" s="489" t="s">
        <v>387</v>
      </c>
      <c r="B800" s="489" t="s">
        <v>137</v>
      </c>
      <c r="C800" s="490">
        <v>8750</v>
      </c>
      <c r="D800" s="490">
        <v>0</v>
      </c>
      <c r="E800" s="490">
        <v>3728.84</v>
      </c>
      <c r="F800" s="490">
        <v>0</v>
      </c>
      <c r="G800" s="490">
        <v>3728.84</v>
      </c>
      <c r="H800" s="489" t="str">
        <f>VLOOKUP(A800,'TB - Expense Data'!$H$3:$I$757,2,FALSE)</f>
        <v>L/S 5871 IMJIN POWER</v>
      </c>
    </row>
    <row r="801" spans="1:8" x14ac:dyDescent="0.25">
      <c r="A801" s="489" t="s">
        <v>388</v>
      </c>
      <c r="B801" s="489" t="s">
        <v>138</v>
      </c>
      <c r="C801" s="490">
        <v>2000</v>
      </c>
      <c r="D801" s="490">
        <v>0</v>
      </c>
      <c r="E801" s="490">
        <v>2004.65</v>
      </c>
      <c r="F801" s="490">
        <v>0</v>
      </c>
      <c r="G801" s="490">
        <v>2004.65</v>
      </c>
      <c r="H801" s="489" t="str">
        <f>VLOOKUP(A801,'TB - Expense Data'!$H$3:$I$757,2,FALSE)</f>
        <v>L/S 5990 ORD/V MAINT &amp; EQUIP</v>
      </c>
    </row>
    <row r="802" spans="1:8" x14ac:dyDescent="0.25">
      <c r="A802" s="489" t="s">
        <v>389</v>
      </c>
      <c r="B802" s="489" t="s">
        <v>139</v>
      </c>
      <c r="C802" s="490">
        <v>11250</v>
      </c>
      <c r="D802" s="490">
        <v>0</v>
      </c>
      <c r="E802" s="490">
        <v>5264.9</v>
      </c>
      <c r="F802" s="490">
        <v>0</v>
      </c>
      <c r="G802" s="490">
        <v>5264.9</v>
      </c>
      <c r="H802" s="489" t="str">
        <f>VLOOKUP(A802,'TB - Expense Data'!$H$3:$I$757,2,FALSE)</f>
        <v>L/S 5990 ORD/V POWER</v>
      </c>
    </row>
    <row r="803" spans="1:8" x14ac:dyDescent="0.25">
      <c r="A803" s="489" t="s">
        <v>390</v>
      </c>
      <c r="B803" s="489" t="s">
        <v>140</v>
      </c>
      <c r="C803" s="490">
        <v>5000</v>
      </c>
      <c r="D803" s="490">
        <v>0</v>
      </c>
      <c r="E803" s="490">
        <v>359.03</v>
      </c>
      <c r="F803" s="490">
        <v>0</v>
      </c>
      <c r="G803" s="490">
        <v>359.03</v>
      </c>
      <c r="H803" s="489" t="str">
        <f>VLOOKUP(A803,'TB - Expense Data'!$H$3:$I$757,2,FALSE)</f>
        <v>L/S 6143 CLARK MAINT &amp; EQUIP</v>
      </c>
    </row>
    <row r="804" spans="1:8" x14ac:dyDescent="0.25">
      <c r="A804" s="489" t="s">
        <v>391</v>
      </c>
      <c r="B804" s="489" t="s">
        <v>141</v>
      </c>
      <c r="C804" s="490">
        <v>2250</v>
      </c>
      <c r="D804" s="490">
        <v>0</v>
      </c>
      <c r="E804" s="490">
        <v>820.11</v>
      </c>
      <c r="F804" s="490">
        <v>0</v>
      </c>
      <c r="G804" s="490">
        <v>820.11</v>
      </c>
      <c r="H804" s="489" t="str">
        <f>VLOOKUP(A804,'TB - Expense Data'!$H$3:$I$757,2,FALSE)</f>
        <v>L/S 6143 CLARK POWER</v>
      </c>
    </row>
    <row r="805" spans="1:8" x14ac:dyDescent="0.25">
      <c r="A805" s="489" t="s">
        <v>392</v>
      </c>
      <c r="B805" s="489" t="s">
        <v>142</v>
      </c>
      <c r="C805" s="490">
        <v>500</v>
      </c>
      <c r="D805" s="490">
        <v>0</v>
      </c>
      <c r="E805" s="490">
        <v>0</v>
      </c>
      <c r="F805" s="490">
        <v>0</v>
      </c>
      <c r="G805" s="490">
        <v>0</v>
      </c>
      <c r="H805" s="489" t="str">
        <f>VLOOKUP(A805,'TB - Expense Data'!$H$3:$I$757,2,FALSE)</f>
        <v>L/S 6634 HATTEN MAINT &amp; EQUIP</v>
      </c>
    </row>
    <row r="806" spans="1:8" s="509" customFormat="1" x14ac:dyDescent="0.25">
      <c r="A806" s="509" t="s">
        <v>393</v>
      </c>
      <c r="B806" s="509" t="s">
        <v>143</v>
      </c>
      <c r="C806" s="490">
        <v>275</v>
      </c>
      <c r="D806" s="490">
        <v>0</v>
      </c>
      <c r="E806" s="490">
        <v>73.78</v>
      </c>
      <c r="F806" s="490">
        <v>0</v>
      </c>
      <c r="G806" s="490">
        <v>73.78</v>
      </c>
      <c r="H806" s="509" t="str">
        <f>VLOOKUP(A806,'TB - Expense Data'!$H$3:$I$757,2,FALSE)</f>
        <v>L/S 6634 HATTEN POWER</v>
      </c>
    </row>
    <row r="807" spans="1:8" s="509" customFormat="1" x14ac:dyDescent="0.25">
      <c r="A807" s="509" t="s">
        <v>394</v>
      </c>
      <c r="B807" s="509" t="s">
        <v>144</v>
      </c>
      <c r="C807" s="490">
        <v>2000</v>
      </c>
      <c r="D807" s="490">
        <v>0</v>
      </c>
      <c r="E807" s="490">
        <v>1197</v>
      </c>
      <c r="F807" s="490">
        <v>0</v>
      </c>
      <c r="G807" s="490">
        <v>1197</v>
      </c>
      <c r="H807" s="509" t="str">
        <f>VLOOKUP(A807,'TB - Expense Data'!$H$3:$I$757,2,FALSE)</f>
        <v>L/S 7698 GIGLING MAINT &amp; EQUIP</v>
      </c>
    </row>
    <row r="808" spans="1:8" s="509" customFormat="1" x14ac:dyDescent="0.25">
      <c r="A808" s="509" t="s">
        <v>395</v>
      </c>
      <c r="B808" s="509" t="s">
        <v>145</v>
      </c>
      <c r="C808" s="490">
        <v>10000</v>
      </c>
      <c r="D808" s="490">
        <v>0</v>
      </c>
      <c r="E808" s="490">
        <v>6331.38</v>
      </c>
      <c r="F808" s="490">
        <v>0</v>
      </c>
      <c r="G808" s="490">
        <v>6331.38</v>
      </c>
      <c r="H808" s="509" t="str">
        <f>VLOOKUP(A808,'TB - Expense Data'!$H$3:$I$757,2,FALSE)</f>
        <v>L/S 7698 GIGLING POWER</v>
      </c>
    </row>
    <row r="809" spans="1:8" s="509" customFormat="1" x14ac:dyDescent="0.25">
      <c r="A809" s="509" t="s">
        <v>396</v>
      </c>
      <c r="B809" s="509" t="s">
        <v>146</v>
      </c>
      <c r="C809" s="490">
        <v>1000</v>
      </c>
      <c r="D809" s="490">
        <v>0</v>
      </c>
      <c r="E809" s="490">
        <v>488.12</v>
      </c>
      <c r="F809" s="490">
        <v>0</v>
      </c>
      <c r="G809" s="490">
        <v>488.12</v>
      </c>
      <c r="H809" s="509" t="str">
        <f>VLOOKUP(A809,'TB - Expense Data'!$H$3:$I$757,2,FALSE)</f>
        <v>L/S 8775 BOOKER MAINT &amp; EQUIP</v>
      </c>
    </row>
    <row r="810" spans="1:8" x14ac:dyDescent="0.25">
      <c r="A810" s="489" t="s">
        <v>397</v>
      </c>
      <c r="B810" s="489" t="s">
        <v>147</v>
      </c>
      <c r="C810" s="490">
        <v>1450</v>
      </c>
      <c r="D810" s="490">
        <v>0</v>
      </c>
      <c r="E810" s="490">
        <v>406.23</v>
      </c>
      <c r="F810" s="490">
        <v>0</v>
      </c>
      <c r="G810" s="490">
        <v>406.23</v>
      </c>
      <c r="H810" s="489" t="str">
        <f>VLOOKUP(A810,'TB - Expense Data'!$H$3:$I$757,2,FALSE)</f>
        <v>L/S 8775 BOOKER POWER</v>
      </c>
    </row>
    <row r="811" spans="1:8" x14ac:dyDescent="0.25">
      <c r="A811" s="489" t="s">
        <v>398</v>
      </c>
      <c r="B811" s="489" t="s">
        <v>148</v>
      </c>
      <c r="C811" s="490">
        <v>500</v>
      </c>
      <c r="D811" s="490">
        <v>0</v>
      </c>
      <c r="E811" s="490">
        <v>0</v>
      </c>
      <c r="F811" s="490">
        <v>0</v>
      </c>
      <c r="G811" s="490">
        <v>0</v>
      </c>
      <c r="H811" s="489" t="str">
        <f>VLOOKUP(A811,'TB - Expense Data'!$H$3:$I$757,2,FALSE)</f>
        <v>L/S 514 CARMEL MAINT &amp; EQUIP</v>
      </c>
    </row>
    <row r="812" spans="1:8" x14ac:dyDescent="0.25">
      <c r="A812" s="489" t="s">
        <v>399</v>
      </c>
      <c r="B812" s="489" t="s">
        <v>149</v>
      </c>
      <c r="C812" s="490">
        <v>1650</v>
      </c>
      <c r="D812" s="490">
        <v>0</v>
      </c>
      <c r="E812" s="490">
        <v>650.97</v>
      </c>
      <c r="F812" s="490">
        <v>0</v>
      </c>
      <c r="G812" s="490">
        <v>650.97</v>
      </c>
      <c r="H812" s="489" t="str">
        <f>VLOOKUP(A812,'TB - Expense Data'!$H$3:$I$757,2,FALSE)</f>
        <v>L/S 514 CARMEL POWER</v>
      </c>
    </row>
    <row r="813" spans="1:8" x14ac:dyDescent="0.25">
      <c r="A813" s="489" t="s">
        <v>400</v>
      </c>
      <c r="B813" s="489" t="s">
        <v>936</v>
      </c>
      <c r="C813" s="490">
        <v>15500</v>
      </c>
      <c r="D813" s="490">
        <v>0</v>
      </c>
      <c r="E813" s="490">
        <v>7294.52</v>
      </c>
      <c r="F813" s="490">
        <v>0</v>
      </c>
      <c r="G813" s="490">
        <v>7294.52</v>
      </c>
      <c r="H813" s="489" t="str">
        <f>VLOOKUP(A813,'TB - Expense Data'!$H$3:$I$757,2,FALSE)</f>
        <v>EG LIFT STATION MAINT &amp; EQUIP</v>
      </c>
    </row>
    <row r="814" spans="1:8" x14ac:dyDescent="0.25">
      <c r="A814" s="489" t="s">
        <v>401</v>
      </c>
      <c r="B814" s="489" t="s">
        <v>937</v>
      </c>
      <c r="C814" s="490">
        <v>950</v>
      </c>
      <c r="D814" s="490">
        <v>0</v>
      </c>
      <c r="E814" s="490">
        <v>527.55999999999995</v>
      </c>
      <c r="F814" s="490">
        <v>0</v>
      </c>
      <c r="G814" s="490">
        <v>527.55999999999995</v>
      </c>
      <c r="H814" s="489" t="str">
        <f>VLOOKUP(A814,'TB - Expense Data'!$H$3:$I$757,2,FALSE)</f>
        <v>EG LIFT STATION POWER</v>
      </c>
    </row>
    <row r="815" spans="1:8" x14ac:dyDescent="0.25">
      <c r="A815" s="489" t="s">
        <v>960</v>
      </c>
      <c r="B815" s="489" t="s">
        <v>954</v>
      </c>
      <c r="C815" s="490">
        <v>500</v>
      </c>
      <c r="D815" s="490">
        <v>0</v>
      </c>
      <c r="E815" s="490">
        <v>0</v>
      </c>
      <c r="F815" s="490">
        <v>0</v>
      </c>
      <c r="G815" s="490">
        <v>0</v>
      </c>
      <c r="H815" s="489" t="str">
        <f>VLOOKUP(A815,'TB - Expense Data'!$H$3:$I$757,2,FALSE)</f>
        <v>PROMONTORY LS MAINT &amp; EQUIP</v>
      </c>
    </row>
    <row r="816" spans="1:8" x14ac:dyDescent="0.25">
      <c r="A816" s="489" t="s">
        <v>961</v>
      </c>
      <c r="B816" s="489" t="s">
        <v>955</v>
      </c>
      <c r="C816" s="490">
        <v>750</v>
      </c>
      <c r="D816" s="490">
        <v>0</v>
      </c>
      <c r="E816" s="490">
        <v>0</v>
      </c>
      <c r="F816" s="490">
        <v>0</v>
      </c>
      <c r="G816" s="490">
        <v>0</v>
      </c>
      <c r="H816" s="489" t="str">
        <f>VLOOKUP(A816,'TB - Expense Data'!$H$3:$I$757,2,FALSE)</f>
        <v>PROMONTORY LS POWER</v>
      </c>
    </row>
    <row r="817" spans="1:8" x14ac:dyDescent="0.25">
      <c r="A817" s="489" t="s">
        <v>608</v>
      </c>
      <c r="B817" s="489" t="s">
        <v>150</v>
      </c>
      <c r="C817" s="490">
        <v>68283</v>
      </c>
      <c r="D817" s="490">
        <v>0</v>
      </c>
      <c r="E817" s="490">
        <v>27143.54</v>
      </c>
      <c r="F817" s="490">
        <v>1956.22</v>
      </c>
      <c r="G817" s="490">
        <v>25187.32</v>
      </c>
      <c r="H817" s="489" t="str">
        <f>VLOOKUP(A817,'TB - Expense Data'!$H$3:$I$757,2,FALSE)</f>
        <v>WAGES - ENG</v>
      </c>
    </row>
    <row r="818" spans="1:8" x14ac:dyDescent="0.25">
      <c r="A818" s="489" t="s">
        <v>609</v>
      </c>
      <c r="B818" s="489" t="s">
        <v>667</v>
      </c>
      <c r="C818" s="490">
        <v>-39967.4</v>
      </c>
      <c r="D818" s="490">
        <v>0</v>
      </c>
      <c r="E818" s="490">
        <v>0</v>
      </c>
      <c r="F818" s="490">
        <v>5322.85</v>
      </c>
      <c r="G818" s="490">
        <v>-5322.85</v>
      </c>
      <c r="H818" s="489" t="str">
        <f>VLOOKUP(A818,'TB - Expense Data'!$H$3:$I$757,2,FALSE)</f>
        <v>WAGES ALLOCATED TO CAPITAL</v>
      </c>
    </row>
    <row r="819" spans="1:8" x14ac:dyDescent="0.25">
      <c r="A819" s="489" t="s">
        <v>603</v>
      </c>
      <c r="B819" s="489" t="s">
        <v>37</v>
      </c>
      <c r="C819" s="490">
        <v>349</v>
      </c>
      <c r="D819" s="490">
        <v>0</v>
      </c>
      <c r="E819" s="490">
        <v>0</v>
      </c>
      <c r="F819" s="490">
        <v>0</v>
      </c>
      <c r="G819" s="490">
        <v>0</v>
      </c>
      <c r="H819" s="489" t="str">
        <f>VLOOKUP(A819,'TB - Expense Data'!$H$3:$I$757,2,FALSE)</f>
        <v>OVERTIME</v>
      </c>
    </row>
    <row r="820" spans="1:8" x14ac:dyDescent="0.25">
      <c r="A820" s="489" t="s">
        <v>597</v>
      </c>
      <c r="B820" s="489" t="s">
        <v>153</v>
      </c>
      <c r="C820" s="490">
        <v>3881</v>
      </c>
      <c r="D820" s="490">
        <v>0</v>
      </c>
      <c r="E820" s="490">
        <v>1423.51</v>
      </c>
      <c r="F820" s="490">
        <v>113.08</v>
      </c>
      <c r="G820" s="490">
        <v>1310.43</v>
      </c>
      <c r="H820" s="489" t="str">
        <f>VLOOKUP(A820,'TB - Expense Data'!$H$3:$I$757,2,FALSE)</f>
        <v>FICA EXPENSE</v>
      </c>
    </row>
    <row r="821" spans="1:8" x14ac:dyDescent="0.25">
      <c r="A821" s="489" t="s">
        <v>596</v>
      </c>
      <c r="B821" s="489" t="s">
        <v>154</v>
      </c>
      <c r="C821" s="490">
        <v>995</v>
      </c>
      <c r="D821" s="490">
        <v>0</v>
      </c>
      <c r="E821" s="490">
        <v>386.09</v>
      </c>
      <c r="F821" s="490">
        <v>26.46</v>
      </c>
      <c r="G821" s="490">
        <v>359.63</v>
      </c>
      <c r="H821" s="489" t="str">
        <f>VLOOKUP(A821,'TB - Expense Data'!$H$3:$I$757,2,FALSE)</f>
        <v>MEDI EXPENSE</v>
      </c>
    </row>
    <row r="822" spans="1:8" x14ac:dyDescent="0.25">
      <c r="A822" s="489" t="s">
        <v>599</v>
      </c>
      <c r="B822" s="489" t="s">
        <v>38</v>
      </c>
      <c r="C822" s="490">
        <v>13244</v>
      </c>
      <c r="D822" s="490">
        <v>0</v>
      </c>
      <c r="E822" s="490">
        <v>5256.23</v>
      </c>
      <c r="F822" s="490">
        <v>0</v>
      </c>
      <c r="G822" s="490">
        <v>5256.23</v>
      </c>
      <c r="H822" s="489" t="str">
        <f>VLOOKUP(A822,'TB - Expense Data'!$H$3:$I$757,2,FALSE)</f>
        <v>MEDICAL INSURANCE</v>
      </c>
    </row>
    <row r="823" spans="1:8" x14ac:dyDescent="0.25">
      <c r="A823" s="489" t="s">
        <v>591</v>
      </c>
      <c r="B823" s="489" t="s">
        <v>77</v>
      </c>
      <c r="C823" s="490">
        <v>800.25</v>
      </c>
      <c r="D823" s="490">
        <v>0</v>
      </c>
      <c r="E823" s="490">
        <v>308.43</v>
      </c>
      <c r="F823" s="490">
        <v>0</v>
      </c>
      <c r="G823" s="490">
        <v>308.43</v>
      </c>
      <c r="H823" s="489" t="str">
        <f>VLOOKUP(A823,'TB - Expense Data'!$H$3:$I$757,2,FALSE)</f>
        <v>DENTAL INSURANCE</v>
      </c>
    </row>
    <row r="824" spans="1:8" x14ac:dyDescent="0.25">
      <c r="A824" s="489" t="s">
        <v>607</v>
      </c>
      <c r="B824" s="489" t="s">
        <v>78</v>
      </c>
      <c r="C824" s="490">
        <v>131</v>
      </c>
      <c r="D824" s="490">
        <v>0</v>
      </c>
      <c r="E824" s="490">
        <v>58.75</v>
      </c>
      <c r="F824" s="490">
        <v>0</v>
      </c>
      <c r="G824" s="490">
        <v>58.75</v>
      </c>
      <c r="H824" s="489" t="str">
        <f>VLOOKUP(A824,'TB - Expense Data'!$H$3:$I$757,2,FALSE)</f>
        <v>VISION INSURANCE</v>
      </c>
    </row>
    <row r="825" spans="1:8" x14ac:dyDescent="0.25">
      <c r="A825" s="489" t="s">
        <v>610</v>
      </c>
      <c r="B825" s="489" t="s">
        <v>893</v>
      </c>
      <c r="C825" s="490">
        <v>647.79</v>
      </c>
      <c r="D825" s="490">
        <v>0</v>
      </c>
      <c r="E825" s="490">
        <v>265.13</v>
      </c>
      <c r="F825" s="490">
        <v>14.66</v>
      </c>
      <c r="G825" s="490">
        <v>250.47</v>
      </c>
      <c r="H825" s="489" t="str">
        <f>VLOOKUP(A825,'TB - Expense Data'!$H$3:$I$757,2,FALSE)</f>
        <v>WORKERS COMP INSURANCE</v>
      </c>
    </row>
    <row r="826" spans="1:8" x14ac:dyDescent="0.25">
      <c r="A826" s="489" t="s">
        <v>598</v>
      </c>
      <c r="B826" s="489" t="s">
        <v>2249</v>
      </c>
      <c r="C826" s="490">
        <v>255</v>
      </c>
      <c r="D826" s="490">
        <v>0</v>
      </c>
      <c r="E826" s="490">
        <v>186.52</v>
      </c>
      <c r="F826" s="490">
        <v>57</v>
      </c>
      <c r="G826" s="490">
        <v>129.52000000000001</v>
      </c>
      <c r="H826" s="489" t="str">
        <f>VLOOKUP(A826,'TB - Expense Data'!$H$3:$I$757,2,FALSE)</f>
        <v>LIFE INSURANCE EXPENSE</v>
      </c>
    </row>
    <row r="827" spans="1:8" x14ac:dyDescent="0.25">
      <c r="A827" s="489" t="s">
        <v>588</v>
      </c>
      <c r="B827" s="489" t="s">
        <v>65</v>
      </c>
      <c r="C827" s="490">
        <v>88</v>
      </c>
      <c r="D827" s="490">
        <v>0</v>
      </c>
      <c r="E827" s="490">
        <v>15.08</v>
      </c>
      <c r="F827" s="490">
        <v>0</v>
      </c>
      <c r="G827" s="490">
        <v>15.08</v>
      </c>
      <c r="H827" s="489" t="str">
        <f>VLOOKUP(A827,'TB - Expense Data'!$H$3:$I$757,2,FALSE)</f>
        <v>BOOT BENEFIT</v>
      </c>
    </row>
    <row r="828" spans="1:8" x14ac:dyDescent="0.25">
      <c r="A828" s="489" t="s">
        <v>605</v>
      </c>
      <c r="B828" s="489" t="s">
        <v>40</v>
      </c>
      <c r="C828" s="490">
        <v>243</v>
      </c>
      <c r="D828" s="490">
        <v>0</v>
      </c>
      <c r="E828" s="490">
        <v>39.26</v>
      </c>
      <c r="F828" s="490">
        <v>1.6</v>
      </c>
      <c r="G828" s="490">
        <v>37.659999999999997</v>
      </c>
      <c r="H828" s="489" t="str">
        <f>VLOOKUP(A828,'TB - Expense Data'!$H$3:$I$757,2,FALSE)</f>
        <v>SUI EXPENSE</v>
      </c>
    </row>
    <row r="829" spans="1:8" x14ac:dyDescent="0.25">
      <c r="A829" s="489" t="s">
        <v>595</v>
      </c>
      <c r="B829" s="489" t="s">
        <v>41</v>
      </c>
      <c r="C829" s="490">
        <v>5.39</v>
      </c>
      <c r="D829" s="490">
        <v>0</v>
      </c>
      <c r="E829" s="490">
        <v>0.92</v>
      </c>
      <c r="F829" s="490">
        <v>0.04</v>
      </c>
      <c r="G829" s="490">
        <v>0.88</v>
      </c>
      <c r="H829" s="489" t="str">
        <f>VLOOKUP(A829,'TB - Expense Data'!$H$3:$I$757,2,FALSE)</f>
        <v>ETT EXPENSE</v>
      </c>
    </row>
    <row r="830" spans="1:8" x14ac:dyDescent="0.25">
      <c r="A830" s="489" t="s">
        <v>592</v>
      </c>
      <c r="B830" s="489" t="s">
        <v>42</v>
      </c>
      <c r="C830" s="490">
        <v>208</v>
      </c>
      <c r="D830" s="490">
        <v>0</v>
      </c>
      <c r="E830" s="490">
        <v>102.09</v>
      </c>
      <c r="F830" s="490">
        <v>6.53</v>
      </c>
      <c r="G830" s="490">
        <v>95.56</v>
      </c>
      <c r="H830" s="489" t="str">
        <f>VLOOKUP(A830,'TB - Expense Data'!$H$3:$I$757,2,FALSE)</f>
        <v>DISABILITY PLAN</v>
      </c>
    </row>
    <row r="831" spans="1:8" x14ac:dyDescent="0.25">
      <c r="A831" s="489" t="s">
        <v>589</v>
      </c>
      <c r="B831" s="489" t="s">
        <v>2252</v>
      </c>
      <c r="C831" s="490">
        <v>6057</v>
      </c>
      <c r="D831" s="490">
        <v>0</v>
      </c>
      <c r="E831" s="490">
        <v>2141.83</v>
      </c>
      <c r="F831" s="490">
        <v>165.06</v>
      </c>
      <c r="G831" s="490">
        <v>1976.77</v>
      </c>
      <c r="H831" s="489" t="str">
        <f>VLOOKUP(A831,'TB - Expense Data'!$H$3:$I$757,2,FALSE)</f>
        <v>CALPERS RETIREMENT</v>
      </c>
    </row>
    <row r="832" spans="1:8" x14ac:dyDescent="0.25">
      <c r="A832" s="489" t="s">
        <v>590</v>
      </c>
      <c r="B832" s="489" t="s">
        <v>44</v>
      </c>
      <c r="C832" s="490">
        <v>5004</v>
      </c>
      <c r="D832" s="490">
        <v>0</v>
      </c>
      <c r="E832" s="490">
        <v>1776.21</v>
      </c>
      <c r="F832" s="490">
        <v>136.09</v>
      </c>
      <c r="G832" s="490">
        <v>1640.12</v>
      </c>
      <c r="H832" s="489" t="str">
        <f>VLOOKUP(A832,'TB - Expense Data'!$H$3:$I$757,2,FALSE)</f>
        <v>CALPERS RETIREMENT (EE)</v>
      </c>
    </row>
    <row r="833" spans="1:8" x14ac:dyDescent="0.25">
      <c r="A833" s="489" t="s">
        <v>602</v>
      </c>
      <c r="B833" s="489" t="s">
        <v>183</v>
      </c>
      <c r="C833" s="490">
        <v>2981</v>
      </c>
      <c r="D833" s="490">
        <v>0</v>
      </c>
      <c r="E833" s="490">
        <v>0</v>
      </c>
      <c r="F833" s="490">
        <v>0</v>
      </c>
      <c r="G833" s="490">
        <v>0</v>
      </c>
      <c r="H833" s="489" t="str">
        <f>VLOOKUP(A833,'TB - Expense Data'!$H$3:$I$757,2,FALSE)</f>
        <v>OPEB EXPENSE</v>
      </c>
    </row>
    <row r="834" spans="1:8" x14ac:dyDescent="0.25">
      <c r="A834" s="489" t="s">
        <v>2980</v>
      </c>
      <c r="B834" s="489" t="s">
        <v>2254</v>
      </c>
      <c r="C834" s="490">
        <v>0</v>
      </c>
      <c r="D834" s="490">
        <v>0</v>
      </c>
      <c r="E834" s="490">
        <v>130.49</v>
      </c>
      <c r="F834" s="490">
        <v>0</v>
      </c>
      <c r="G834" s="490">
        <v>130.49</v>
      </c>
      <c r="H834" s="489" t="str">
        <f>VLOOKUP(A834,'TB - Expense Data'!$H$3:$I$757,2,FALSE)</f>
        <v>CALPERS-62 RETIREMENT (ER)</v>
      </c>
    </row>
    <row r="835" spans="1:8" x14ac:dyDescent="0.25">
      <c r="A835" s="489" t="s">
        <v>2981</v>
      </c>
      <c r="B835" s="489" t="s">
        <v>2256</v>
      </c>
      <c r="C835" s="490">
        <v>0</v>
      </c>
      <c r="D835" s="490">
        <v>0</v>
      </c>
      <c r="E835" s="490">
        <v>166.08</v>
      </c>
      <c r="F835" s="490">
        <v>0</v>
      </c>
      <c r="G835" s="490">
        <v>166.08</v>
      </c>
      <c r="H835" s="489" t="str">
        <f>VLOOKUP(A835,'TB - Expense Data'!$H$3:$I$757,2,FALSE)</f>
        <v>CALPERS-62 RETIREMENT (EE)</v>
      </c>
    </row>
    <row r="836" spans="1:8" x14ac:dyDescent="0.25">
      <c r="A836" s="489" t="s">
        <v>2982</v>
      </c>
      <c r="B836" s="489" t="s">
        <v>1161</v>
      </c>
      <c r="C836" s="490">
        <v>44</v>
      </c>
      <c r="D836" s="490">
        <v>0</v>
      </c>
      <c r="E836" s="490">
        <v>0</v>
      </c>
      <c r="F836" s="490">
        <v>0</v>
      </c>
      <c r="G836" s="490">
        <v>0</v>
      </c>
      <c r="H836" s="489" t="str">
        <f>VLOOKUP(A836,'TB - Expense Data'!$H$3:$I$757,2,FALSE)</f>
        <v>BOOKS &amp; REF MATERIALS</v>
      </c>
    </row>
    <row r="837" spans="1:8" s="509" customFormat="1" x14ac:dyDescent="0.25">
      <c r="A837" s="509" t="s">
        <v>600</v>
      </c>
      <c r="B837" s="509" t="s">
        <v>54</v>
      </c>
      <c r="C837" s="490">
        <v>82.5</v>
      </c>
      <c r="D837" s="490">
        <v>0</v>
      </c>
      <c r="E837" s="490">
        <v>0</v>
      </c>
      <c r="F837" s="490">
        <v>0</v>
      </c>
      <c r="G837" s="490">
        <v>0</v>
      </c>
      <c r="H837" s="509" t="str">
        <f>VLOOKUP(A837,'TB - Expense Data'!$H$3:$I$757,2,FALSE)</f>
        <v>MEMBERSHIPS &amp; DUES</v>
      </c>
    </row>
    <row r="838" spans="1:8" s="509" customFormat="1" x14ac:dyDescent="0.25">
      <c r="A838" s="509" t="s">
        <v>593</v>
      </c>
      <c r="B838" s="509" t="s">
        <v>152</v>
      </c>
      <c r="C838" s="490">
        <v>22000</v>
      </c>
      <c r="D838" s="490">
        <v>0</v>
      </c>
      <c r="E838" s="490">
        <v>931.64</v>
      </c>
      <c r="F838" s="490">
        <v>0</v>
      </c>
      <c r="G838" s="490">
        <v>931.64</v>
      </c>
      <c r="H838" s="509" t="str">
        <f>VLOOKUP(A838,'TB - Expense Data'!$H$3:$I$757,2,FALSE)</f>
        <v>ENGINEERING CONSULTANTS</v>
      </c>
    </row>
    <row r="839" spans="1:8" s="509" customFormat="1" x14ac:dyDescent="0.25">
      <c r="A839" s="509" t="s">
        <v>594</v>
      </c>
      <c r="B839" s="509" t="s">
        <v>1177</v>
      </c>
      <c r="C839" s="490">
        <v>11000</v>
      </c>
      <c r="D839" s="490">
        <v>0</v>
      </c>
      <c r="E839" s="490">
        <v>41007.339999999997</v>
      </c>
      <c r="F839" s="490">
        <v>0</v>
      </c>
      <c r="G839" s="490">
        <v>41007.339999999997</v>
      </c>
      <c r="H839" s="509" t="str">
        <f>VLOOKUP(A839,'TB - Expense Data'!$H$3:$I$757,2,FALSE)</f>
        <v>DEVELOPER EXPENSES (NOT MCWD)</v>
      </c>
    </row>
    <row r="840" spans="1:8" s="509" customFormat="1" x14ac:dyDescent="0.25">
      <c r="A840" s="509" t="s">
        <v>1748</v>
      </c>
      <c r="B840" s="509" t="s">
        <v>1499</v>
      </c>
      <c r="C840" s="490">
        <v>0</v>
      </c>
      <c r="D840" s="490">
        <v>2068934.7</v>
      </c>
      <c r="E840" s="490">
        <v>0</v>
      </c>
      <c r="F840" s="490">
        <v>0</v>
      </c>
      <c r="G840" s="490">
        <v>2068934.7</v>
      </c>
      <c r="H840" s="509" t="str">
        <f>VLOOKUP(A840,'TB - Fixed Assets and CIP'!$C$2:$D$207,2,FALSE)</f>
        <v>CAPITAL - CONST IN PROGRESS</v>
      </c>
    </row>
    <row r="841" spans="1:8" s="509" customFormat="1" x14ac:dyDescent="0.25">
      <c r="A841" s="509" t="s">
        <v>1749</v>
      </c>
      <c r="B841" s="509" t="s">
        <v>1750</v>
      </c>
      <c r="C841" s="490">
        <v>0</v>
      </c>
      <c r="D841" s="490">
        <v>390248.66</v>
      </c>
      <c r="E841" s="490">
        <v>0</v>
      </c>
      <c r="F841" s="490">
        <v>0</v>
      </c>
      <c r="G841" s="490">
        <v>390248.66</v>
      </c>
      <c r="H841" s="509" t="str">
        <f>VLOOKUP(A841,'TB - Fixed Assets and CIP'!$C$2:$D$207,2,FALSE)</f>
        <v>MARINA RECYCLE WATER PROJECT</v>
      </c>
    </row>
    <row r="842" spans="1:8" x14ac:dyDescent="0.25">
      <c r="A842" s="489" t="s">
        <v>1751</v>
      </c>
      <c r="B842" s="489" t="s">
        <v>1752</v>
      </c>
      <c r="C842" s="490">
        <v>0</v>
      </c>
      <c r="D842" s="490">
        <v>5453917.8899999997</v>
      </c>
      <c r="E842" s="490">
        <v>0</v>
      </c>
      <c r="F842" s="490">
        <v>0</v>
      </c>
      <c r="G842" s="490">
        <v>5453917.8899999997</v>
      </c>
      <c r="H842" s="489" t="str">
        <f>VLOOKUP(A842,'TB - Fixed Assets and CIP'!$C$2:$D$207,2,FALSE)</f>
        <v>REGIONAL RECYCLE WATER PROJECT</v>
      </c>
    </row>
    <row r="843" spans="1:8" x14ac:dyDescent="0.25">
      <c r="A843" s="489" t="s">
        <v>1754</v>
      </c>
      <c r="B843" s="489" t="s">
        <v>1755</v>
      </c>
      <c r="C843" s="490">
        <v>0</v>
      </c>
      <c r="D843" s="490">
        <v>2483968.46</v>
      </c>
      <c r="E843" s="490">
        <v>0</v>
      </c>
      <c r="F843" s="490">
        <v>0</v>
      </c>
      <c r="G843" s="490">
        <v>2483968.46</v>
      </c>
      <c r="H843" s="489" t="str">
        <f>VLOOKUP(A843,'TB - Fixed Assets and CIP'!$C$2:$D$207,2,FALSE)</f>
        <v>RW - 0156 CONST RECYCLE WATER</v>
      </c>
    </row>
    <row r="844" spans="1:8" x14ac:dyDescent="0.25">
      <c r="A844" s="489" t="s">
        <v>943</v>
      </c>
      <c r="B844" s="489" t="s">
        <v>15</v>
      </c>
      <c r="C844" s="490">
        <v>8000</v>
      </c>
      <c r="D844" s="490">
        <v>0</v>
      </c>
      <c r="E844" s="490">
        <v>850</v>
      </c>
      <c r="F844" s="490">
        <v>5014.1000000000004</v>
      </c>
      <c r="G844" s="490">
        <v>-4164.1000000000004</v>
      </c>
      <c r="H844" s="489" t="str">
        <f>VLOOKUP(A844,'TB - Revenue Data'!$B$5:C901,2,FALSE)</f>
        <v>INTEREST INCOME - 2006 BOND</v>
      </c>
    </row>
    <row r="845" spans="1:8" x14ac:dyDescent="0.25">
      <c r="A845" s="489" t="s">
        <v>941</v>
      </c>
      <c r="B845" s="489" t="s">
        <v>1128</v>
      </c>
      <c r="C845" s="490">
        <v>3300</v>
      </c>
      <c r="D845" s="490">
        <v>0</v>
      </c>
      <c r="E845" s="490">
        <v>0</v>
      </c>
      <c r="F845" s="490">
        <v>0</v>
      </c>
      <c r="G845" s="490">
        <v>0</v>
      </c>
      <c r="H845" s="489" t="str">
        <f>VLOOKUP(A845,'TB - Revenue Data'!$B$5:C902,2,FALSE)</f>
        <v>DEFERRED REVENUE - 2006 BOND</v>
      </c>
    </row>
    <row r="846" spans="1:8" x14ac:dyDescent="0.25">
      <c r="A846" s="489" t="s">
        <v>841</v>
      </c>
      <c r="B846" s="489" t="s">
        <v>1075</v>
      </c>
      <c r="C846" s="490">
        <v>246368</v>
      </c>
      <c r="D846" s="490">
        <v>0</v>
      </c>
      <c r="E846" s="490">
        <v>123184.22</v>
      </c>
      <c r="F846" s="490">
        <v>20531</v>
      </c>
      <c r="G846" s="490">
        <v>102653.22</v>
      </c>
      <c r="H846" s="489" t="str">
        <f>VLOOKUP(A846,'TB - Expense Data'!$H$3:$I$757,2,FALSE)</f>
        <v>2006 BOND INTEREST EXPENSE</v>
      </c>
    </row>
    <row r="847" spans="1:8" x14ac:dyDescent="0.25">
      <c r="A847" s="489" t="s">
        <v>1762</v>
      </c>
      <c r="B847" s="489" t="s">
        <v>1499</v>
      </c>
      <c r="C847" s="490">
        <v>0</v>
      </c>
      <c r="D847" s="490">
        <v>13123018.369999999</v>
      </c>
      <c r="E847" s="490">
        <v>0</v>
      </c>
      <c r="F847" s="490">
        <v>0</v>
      </c>
      <c r="G847" s="490">
        <v>13123018.369999999</v>
      </c>
      <c r="H847" s="489" t="str">
        <f>VLOOKUP(A847,'TB - Fixed Assets and CIP'!$C$2:$D$207,2,FALSE)</f>
        <v>CAPITAL - CONST IN PROGRESS</v>
      </c>
    </row>
    <row r="848" spans="1:8" x14ac:dyDescent="0.25">
      <c r="A848" s="489" t="s">
        <v>1764</v>
      </c>
      <c r="B848" s="489" t="s">
        <v>1757</v>
      </c>
      <c r="C848" s="490">
        <v>0</v>
      </c>
      <c r="D848" s="490">
        <v>0</v>
      </c>
      <c r="E848" s="490">
        <v>485776.36</v>
      </c>
      <c r="F848" s="490">
        <v>7944.75</v>
      </c>
      <c r="G848" s="490">
        <v>477831.61</v>
      </c>
      <c r="H848" s="489" t="str">
        <f>VLOOKUP(A848,'TB - Fixed Assets and CIP'!$C$2:$D$207,2,FALSE)</f>
        <v>GW - 0157 DESAL DESIGN/CONST</v>
      </c>
    </row>
    <row r="849" spans="1:8" x14ac:dyDescent="0.25">
      <c r="A849" s="489" t="s">
        <v>1766</v>
      </c>
      <c r="B849" s="489" t="s">
        <v>1767</v>
      </c>
      <c r="C849" s="490">
        <v>1000000</v>
      </c>
      <c r="D849" s="490">
        <v>0</v>
      </c>
      <c r="E849" s="490">
        <v>467802.19</v>
      </c>
      <c r="F849" s="490">
        <v>0</v>
      </c>
      <c r="G849" s="490">
        <v>467802.19</v>
      </c>
      <c r="H849" s="489" t="str">
        <f>VLOOKUP(A849,'TB - Fixed Assets and CIP'!$C$2:$D$207,2,FALSE)</f>
        <v>REGIONAL PROJECT(PTL FUND CST)</v>
      </c>
    </row>
    <row r="850" spans="1:8" x14ac:dyDescent="0.25">
      <c r="A850" s="489" t="s">
        <v>3265</v>
      </c>
      <c r="B850" s="489" t="s">
        <v>3266</v>
      </c>
      <c r="C850" s="490">
        <v>0</v>
      </c>
      <c r="D850" s="490">
        <v>14500.99</v>
      </c>
      <c r="E850" s="490">
        <v>0</v>
      </c>
      <c r="F850" s="490">
        <v>0</v>
      </c>
      <c r="G850" s="490">
        <v>14500.99</v>
      </c>
      <c r="H850" s="489" t="str">
        <f>VLOOKUP(A850,'TB - Fixed Assets and CIP'!$C$2:$D$207,2,FALSE)</f>
        <v>REGIONAL PROJECT CAP INTEREST</v>
      </c>
    </row>
    <row r="851" spans="1:8" x14ac:dyDescent="0.25">
      <c r="A851" s="509" t="s">
        <v>3267</v>
      </c>
      <c r="B851" s="509" t="s">
        <v>3268</v>
      </c>
      <c r="C851" s="490">
        <v>0</v>
      </c>
      <c r="D851" s="490">
        <v>240</v>
      </c>
      <c r="E851" s="490">
        <v>0</v>
      </c>
      <c r="F851" s="490">
        <v>0</v>
      </c>
      <c r="G851" s="490">
        <v>240</v>
      </c>
      <c r="H851" s="509" t="str">
        <f>VLOOKUP(A851,'TB - Fixed Assets and CIP'!$C$2:$D$207,2,FALSE)</f>
        <v>REGIONAL PROJECT LOC FEES</v>
      </c>
    </row>
    <row r="852" spans="1:8" x14ac:dyDescent="0.25">
      <c r="C852" s="487">
        <f>SUM(C2:C851)</f>
        <v>32495557.440000005</v>
      </c>
      <c r="D852" s="487">
        <f>SUM(D2:D851)</f>
        <v>201257263.24999997</v>
      </c>
      <c r="E852" s="487">
        <f>SUM(E2:E851)</f>
        <v>7075012.0899999943</v>
      </c>
      <c r="F852" s="487">
        <f>SUM(F2:F851)</f>
        <v>7716086.0799999991</v>
      </c>
      <c r="G852" s="487">
        <f>SUM(G2:G851)</f>
        <v>200616189.26000011</v>
      </c>
    </row>
    <row r="853" spans="1:8" x14ac:dyDescent="0.25">
      <c r="C853" s="496">
        <f>C852-'TB - Revenue Data'!D112-'TB - Expense Data'!J795-'TB - Fixed Assets and CIP'!E221</f>
        <v>9.3132257461547852E-9</v>
      </c>
      <c r="D853" s="496">
        <f>D852-'TB - Revenue Data'!E112-'TB - Expense Data'!K795-'TB - Fixed Assets and CIP'!F221</f>
        <v>0</v>
      </c>
      <c r="E853" s="496">
        <f>E852-'TB - Revenue Data'!F112-'TB - Expense Data'!L795-'TB - Fixed Assets and CIP'!G221</f>
        <v>0</v>
      </c>
      <c r="F853" s="496">
        <f>F852-'TB - Revenue Data'!G112-'TB - Expense Data'!M795-'TB - Fixed Assets and CIP'!H221</f>
        <v>-1.1641532182693481E-10</v>
      </c>
      <c r="G853" s="496">
        <f>G852-'TB - Revenue Data'!H112-'TB - Expense Data'!N795-'TB - Fixed Assets and CIP'!I221</f>
        <v>0</v>
      </c>
      <c r="H853" s="497" t="s">
        <v>3449</v>
      </c>
    </row>
  </sheetData>
  <sheetProtection password="CFD3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7"/>
  <sheetViews>
    <sheetView workbookViewId="0">
      <pane ySplit="3" topLeftCell="A4" activePane="bottomLeft" state="frozenSplit"/>
      <selection pane="bottomLeft" activeCell="E8" sqref="E8"/>
    </sheetView>
  </sheetViews>
  <sheetFormatPr defaultRowHeight="15" x14ac:dyDescent="0.25"/>
  <cols>
    <col min="1" max="1" width="23.140625" bestFit="1" customWidth="1"/>
    <col min="2" max="2" width="48.5703125" bestFit="1" customWidth="1"/>
    <col min="3" max="3" width="20.28515625" bestFit="1" customWidth="1"/>
    <col min="4" max="4" width="18.85546875" bestFit="1" customWidth="1"/>
    <col min="5" max="5" width="17.85546875" bestFit="1" customWidth="1"/>
    <col min="6" max="6" width="18.42578125" bestFit="1" customWidth="1"/>
    <col min="7" max="7" width="15.85546875" bestFit="1" customWidth="1"/>
  </cols>
  <sheetData>
    <row r="1" spans="1:7" x14ac:dyDescent="0.25">
      <c r="A1" s="477" t="s">
        <v>1931</v>
      </c>
      <c r="B1" s="477" t="s">
        <v>3453</v>
      </c>
      <c r="C1" s="477" t="s">
        <v>3454</v>
      </c>
      <c r="D1" s="477"/>
      <c r="E1" s="477"/>
      <c r="F1" s="477"/>
      <c r="G1" s="477"/>
    </row>
    <row r="2" spans="1:7" x14ac:dyDescent="0.25">
      <c r="A2" s="577" t="s">
        <v>3429</v>
      </c>
      <c r="B2" s="577"/>
      <c r="C2" s="577"/>
      <c r="D2" s="577"/>
      <c r="E2" s="577"/>
      <c r="F2" s="577"/>
      <c r="G2" s="577"/>
    </row>
    <row r="3" spans="1:7" x14ac:dyDescent="0.25">
      <c r="A3" s="479" t="s">
        <v>1149</v>
      </c>
      <c r="B3" s="479" t="s">
        <v>1150</v>
      </c>
      <c r="C3" s="484" t="s">
        <v>1115</v>
      </c>
      <c r="D3" s="484" t="s">
        <v>1116</v>
      </c>
      <c r="E3" s="484" t="s">
        <v>1117</v>
      </c>
      <c r="F3" s="484" t="s">
        <v>1118</v>
      </c>
      <c r="G3" s="484" t="s">
        <v>1119</v>
      </c>
    </row>
    <row r="4" spans="1:7" x14ac:dyDescent="0.25">
      <c r="A4" s="470" t="s">
        <v>1932</v>
      </c>
      <c r="B4" s="470" t="s">
        <v>1933</v>
      </c>
      <c r="C4" s="515">
        <v>0</v>
      </c>
      <c r="D4" s="515">
        <v>7400000</v>
      </c>
      <c r="E4" s="515">
        <v>0</v>
      </c>
      <c r="F4" s="515">
        <v>7400000</v>
      </c>
      <c r="G4" s="515">
        <v>0</v>
      </c>
    </row>
    <row r="5" spans="1:7" x14ac:dyDescent="0.25">
      <c r="A5" s="509" t="s">
        <v>1934</v>
      </c>
      <c r="B5" s="509" t="s">
        <v>1935</v>
      </c>
      <c r="C5" s="510">
        <v>0</v>
      </c>
      <c r="D5" s="510">
        <v>0</v>
      </c>
      <c r="E5" s="510">
        <v>0</v>
      </c>
      <c r="F5" s="510">
        <v>0</v>
      </c>
      <c r="G5" s="510">
        <v>0</v>
      </c>
    </row>
    <row r="6" spans="1:7" x14ac:dyDescent="0.25">
      <c r="A6" s="509" t="s">
        <v>1936</v>
      </c>
      <c r="B6" s="509" t="s">
        <v>1937</v>
      </c>
      <c r="C6" s="510">
        <v>0</v>
      </c>
      <c r="D6" s="510">
        <v>0</v>
      </c>
      <c r="E6" s="510">
        <v>0</v>
      </c>
      <c r="F6" s="510">
        <v>0</v>
      </c>
      <c r="G6" s="510">
        <v>0</v>
      </c>
    </row>
    <row r="7" spans="1:7" x14ac:dyDescent="0.25">
      <c r="A7" s="509" t="s">
        <v>1938</v>
      </c>
      <c r="B7" s="509" t="s">
        <v>1939</v>
      </c>
      <c r="C7" s="510">
        <v>0</v>
      </c>
      <c r="D7" s="510">
        <v>0</v>
      </c>
      <c r="E7" s="510">
        <v>0</v>
      </c>
      <c r="F7" s="510">
        <v>0</v>
      </c>
      <c r="G7" s="510">
        <v>0</v>
      </c>
    </row>
    <row r="8" spans="1:7" x14ac:dyDescent="0.25">
      <c r="A8" s="509" t="s">
        <v>1940</v>
      </c>
      <c r="B8" s="509" t="s">
        <v>1941</v>
      </c>
      <c r="C8" s="510">
        <v>0</v>
      </c>
      <c r="D8" s="510">
        <v>0</v>
      </c>
      <c r="E8" s="510">
        <v>0</v>
      </c>
      <c r="F8" s="510">
        <v>0</v>
      </c>
      <c r="G8" s="510">
        <v>0</v>
      </c>
    </row>
    <row r="9" spans="1:7" x14ac:dyDescent="0.25">
      <c r="A9" s="509" t="s">
        <v>1942</v>
      </c>
      <c r="B9" s="509" t="s">
        <v>1943</v>
      </c>
      <c r="C9" s="510">
        <v>0</v>
      </c>
      <c r="D9" s="510">
        <v>0</v>
      </c>
      <c r="E9" s="510">
        <v>0</v>
      </c>
      <c r="F9" s="510">
        <v>0</v>
      </c>
      <c r="G9" s="510">
        <v>0</v>
      </c>
    </row>
    <row r="10" spans="1:7" x14ac:dyDescent="0.25">
      <c r="A10" s="509" t="s">
        <v>1944</v>
      </c>
      <c r="B10" s="509" t="s">
        <v>1945</v>
      </c>
      <c r="C10" s="510">
        <v>0</v>
      </c>
      <c r="D10" s="510">
        <v>-17365121.73</v>
      </c>
      <c r="E10" s="510">
        <v>0</v>
      </c>
      <c r="F10" s="510">
        <v>0</v>
      </c>
      <c r="G10" s="510">
        <v>-17365121.73</v>
      </c>
    </row>
    <row r="11" spans="1:7" x14ac:dyDescent="0.25">
      <c r="A11" s="509" t="s">
        <v>1946</v>
      </c>
      <c r="B11" s="509" t="s">
        <v>1947</v>
      </c>
      <c r="C11" s="510">
        <v>0</v>
      </c>
      <c r="D11" s="510">
        <v>-3968638.77</v>
      </c>
      <c r="E11" s="510">
        <v>0</v>
      </c>
      <c r="F11" s="510">
        <v>0</v>
      </c>
      <c r="G11" s="510">
        <v>-3968638.77</v>
      </c>
    </row>
    <row r="12" spans="1:7" x14ac:dyDescent="0.25">
      <c r="A12" s="509" t="s">
        <v>1948</v>
      </c>
      <c r="B12" s="509" t="s">
        <v>1949</v>
      </c>
      <c r="C12" s="510">
        <v>0</v>
      </c>
      <c r="D12" s="510">
        <v>2696185.66</v>
      </c>
      <c r="E12" s="510">
        <v>0</v>
      </c>
      <c r="F12" s="510">
        <v>0</v>
      </c>
      <c r="G12" s="510">
        <v>2696185.66</v>
      </c>
    </row>
    <row r="13" spans="1:7" x14ac:dyDescent="0.25">
      <c r="A13" s="509" t="s">
        <v>1950</v>
      </c>
      <c r="B13" s="509" t="s">
        <v>1951</v>
      </c>
      <c r="C13" s="510">
        <v>0</v>
      </c>
      <c r="D13" s="510">
        <v>0</v>
      </c>
      <c r="E13" s="510">
        <v>0</v>
      </c>
      <c r="F13" s="510">
        <v>0</v>
      </c>
      <c r="G13" s="510">
        <v>0</v>
      </c>
    </row>
    <row r="14" spans="1:7" x14ac:dyDescent="0.25">
      <c r="A14" s="509" t="s">
        <v>1952</v>
      </c>
      <c r="B14" s="509" t="s">
        <v>1953</v>
      </c>
      <c r="C14" s="510">
        <v>0</v>
      </c>
      <c r="D14" s="510">
        <v>97104.25</v>
      </c>
      <c r="E14" s="510">
        <v>10892143.5</v>
      </c>
      <c r="F14" s="510">
        <v>2648586.7000000002</v>
      </c>
      <c r="G14" s="510">
        <v>8340661.0499999998</v>
      </c>
    </row>
    <row r="15" spans="1:7" x14ac:dyDescent="0.25">
      <c r="A15" s="509" t="s">
        <v>1954</v>
      </c>
      <c r="B15" s="509" t="s">
        <v>1955</v>
      </c>
      <c r="C15" s="510">
        <v>0</v>
      </c>
      <c r="D15" s="510">
        <v>0</v>
      </c>
      <c r="E15" s="510">
        <v>0</v>
      </c>
      <c r="F15" s="510">
        <v>0</v>
      </c>
      <c r="G15" s="510">
        <v>0</v>
      </c>
    </row>
    <row r="16" spans="1:7" x14ac:dyDescent="0.25">
      <c r="A16" s="509" t="s">
        <v>1956</v>
      </c>
      <c r="B16" s="509" t="s">
        <v>1957</v>
      </c>
      <c r="C16" s="510">
        <v>0</v>
      </c>
      <c r="D16" s="510">
        <v>0</v>
      </c>
      <c r="E16" s="510">
        <v>0</v>
      </c>
      <c r="F16" s="510">
        <v>0</v>
      </c>
      <c r="G16" s="510">
        <v>0</v>
      </c>
    </row>
    <row r="17" spans="1:7" x14ac:dyDescent="0.25">
      <c r="A17" s="509" t="s">
        <v>1958</v>
      </c>
      <c r="B17" s="509" t="s">
        <v>1959</v>
      </c>
      <c r="C17" s="510">
        <v>0</v>
      </c>
      <c r="D17" s="510">
        <v>0</v>
      </c>
      <c r="E17" s="510">
        <v>14446.88</v>
      </c>
      <c r="F17" s="510">
        <v>0</v>
      </c>
      <c r="G17" s="510">
        <v>14446.88</v>
      </c>
    </row>
    <row r="18" spans="1:7" x14ac:dyDescent="0.25">
      <c r="A18" s="509" t="s">
        <v>1960</v>
      </c>
      <c r="B18" s="509" t="s">
        <v>1961</v>
      </c>
      <c r="C18" s="510">
        <v>0</v>
      </c>
      <c r="D18" s="510">
        <v>0</v>
      </c>
      <c r="E18" s="510">
        <v>0</v>
      </c>
      <c r="F18" s="510">
        <v>0</v>
      </c>
      <c r="G18" s="510">
        <v>0</v>
      </c>
    </row>
    <row r="19" spans="1:7" x14ac:dyDescent="0.25">
      <c r="A19" s="509" t="s">
        <v>1962</v>
      </c>
      <c r="B19" s="509" t="s">
        <v>1963</v>
      </c>
      <c r="C19" s="510">
        <v>0</v>
      </c>
      <c r="D19" s="510">
        <v>0</v>
      </c>
      <c r="E19" s="510">
        <v>0</v>
      </c>
      <c r="F19" s="510">
        <v>0</v>
      </c>
      <c r="G19" s="510">
        <v>0</v>
      </c>
    </row>
    <row r="20" spans="1:7" x14ac:dyDescent="0.25">
      <c r="A20" s="509" t="s">
        <v>1964</v>
      </c>
      <c r="B20" s="509" t="s">
        <v>1965</v>
      </c>
      <c r="C20" s="510">
        <v>0</v>
      </c>
      <c r="D20" s="510">
        <v>817444.81</v>
      </c>
      <c r="E20" s="510">
        <v>1055.96</v>
      </c>
      <c r="F20" s="510">
        <v>0</v>
      </c>
      <c r="G20" s="510">
        <v>818500.77</v>
      </c>
    </row>
    <row r="21" spans="1:7" x14ac:dyDescent="0.25">
      <c r="A21" s="509" t="s">
        <v>1966</v>
      </c>
      <c r="B21" s="509" t="s">
        <v>1967</v>
      </c>
      <c r="C21" s="510">
        <v>0</v>
      </c>
      <c r="D21" s="510">
        <v>230587.37</v>
      </c>
      <c r="E21" s="510">
        <v>175.88</v>
      </c>
      <c r="F21" s="510">
        <v>0</v>
      </c>
      <c r="G21" s="510">
        <v>230763.25</v>
      </c>
    </row>
    <row r="22" spans="1:7" x14ac:dyDescent="0.25">
      <c r="A22" s="509" t="s">
        <v>1968</v>
      </c>
      <c r="B22" s="509" t="s">
        <v>1969</v>
      </c>
      <c r="C22" s="510">
        <v>0</v>
      </c>
      <c r="D22" s="510">
        <v>0</v>
      </c>
      <c r="E22" s="510">
        <v>0</v>
      </c>
      <c r="F22" s="510">
        <v>0</v>
      </c>
      <c r="G22" s="510">
        <v>0</v>
      </c>
    </row>
    <row r="23" spans="1:7" x14ac:dyDescent="0.25">
      <c r="A23" s="509" t="s">
        <v>1970</v>
      </c>
      <c r="B23" s="509" t="s">
        <v>1971</v>
      </c>
      <c r="C23" s="510">
        <v>0</v>
      </c>
      <c r="D23" s="510">
        <v>997789.17</v>
      </c>
      <c r="E23" s="510">
        <v>1962.88</v>
      </c>
      <c r="F23" s="510">
        <v>0</v>
      </c>
      <c r="G23" s="510">
        <v>999752.05</v>
      </c>
    </row>
    <row r="24" spans="1:7" x14ac:dyDescent="0.25">
      <c r="A24" s="509" t="s">
        <v>1972</v>
      </c>
      <c r="B24" s="509" t="s">
        <v>1973</v>
      </c>
      <c r="C24" s="510">
        <v>0</v>
      </c>
      <c r="D24" s="510">
        <v>0</v>
      </c>
      <c r="E24" s="510">
        <v>0</v>
      </c>
      <c r="F24" s="510">
        <v>0</v>
      </c>
      <c r="G24" s="510">
        <v>0</v>
      </c>
    </row>
    <row r="25" spans="1:7" x14ac:dyDescent="0.25">
      <c r="A25" s="509" t="s">
        <v>1974</v>
      </c>
      <c r="B25" s="509" t="s">
        <v>1975</v>
      </c>
      <c r="C25" s="510">
        <v>0</v>
      </c>
      <c r="D25" s="510">
        <v>1012819.85</v>
      </c>
      <c r="E25" s="510">
        <v>1308.3599999999999</v>
      </c>
      <c r="F25" s="510">
        <v>0</v>
      </c>
      <c r="G25" s="510">
        <v>1014128.21</v>
      </c>
    </row>
    <row r="26" spans="1:7" x14ac:dyDescent="0.25">
      <c r="A26" s="509" t="s">
        <v>1976</v>
      </c>
      <c r="B26" s="509" t="s">
        <v>1977</v>
      </c>
      <c r="C26" s="510">
        <v>0</v>
      </c>
      <c r="D26" s="510">
        <v>0</v>
      </c>
      <c r="E26" s="510">
        <v>0</v>
      </c>
      <c r="F26" s="510">
        <v>0</v>
      </c>
      <c r="G26" s="510">
        <v>0</v>
      </c>
    </row>
    <row r="27" spans="1:7" x14ac:dyDescent="0.25">
      <c r="A27" s="509" t="s">
        <v>1978</v>
      </c>
      <c r="B27" s="509" t="s">
        <v>1979</v>
      </c>
      <c r="C27" s="510">
        <v>0</v>
      </c>
      <c r="D27" s="510">
        <v>408070.94</v>
      </c>
      <c r="E27" s="510">
        <v>9989.1</v>
      </c>
      <c r="F27" s="510">
        <v>9988.34</v>
      </c>
      <c r="G27" s="510">
        <v>408071.7</v>
      </c>
    </row>
    <row r="28" spans="1:7" x14ac:dyDescent="0.25">
      <c r="A28" s="509" t="s">
        <v>1980</v>
      </c>
      <c r="B28" s="509" t="s">
        <v>1981</v>
      </c>
      <c r="C28" s="510">
        <v>0</v>
      </c>
      <c r="D28" s="510">
        <v>0</v>
      </c>
      <c r="E28" s="510">
        <v>0</v>
      </c>
      <c r="F28" s="510">
        <v>0</v>
      </c>
      <c r="G28" s="510">
        <v>0</v>
      </c>
    </row>
    <row r="29" spans="1:7" x14ac:dyDescent="0.25">
      <c r="A29" s="509" t="s">
        <v>1982</v>
      </c>
      <c r="B29" s="509" t="s">
        <v>1983</v>
      </c>
      <c r="C29" s="510">
        <v>0</v>
      </c>
      <c r="D29" s="510">
        <v>0</v>
      </c>
      <c r="E29" s="510">
        <v>0</v>
      </c>
      <c r="F29" s="510">
        <v>0</v>
      </c>
      <c r="G29" s="510">
        <v>0</v>
      </c>
    </row>
    <row r="30" spans="1:7" x14ac:dyDescent="0.25">
      <c r="A30" s="509" t="s">
        <v>1984</v>
      </c>
      <c r="B30" s="509" t="s">
        <v>1985</v>
      </c>
      <c r="C30" s="510">
        <v>0</v>
      </c>
      <c r="D30" s="510">
        <v>4.8</v>
      </c>
      <c r="E30" s="510">
        <v>69100.72</v>
      </c>
      <c r="F30" s="510">
        <v>69100</v>
      </c>
      <c r="G30" s="510">
        <v>5.52</v>
      </c>
    </row>
    <row r="31" spans="1:7" x14ac:dyDescent="0.25">
      <c r="A31" s="509" t="s">
        <v>1986</v>
      </c>
      <c r="B31" s="509" t="s">
        <v>1987</v>
      </c>
      <c r="C31" s="510">
        <v>0</v>
      </c>
      <c r="D31" s="510">
        <v>0</v>
      </c>
      <c r="E31" s="510">
        <v>0</v>
      </c>
      <c r="F31" s="510">
        <v>0</v>
      </c>
      <c r="G31" s="510">
        <v>0</v>
      </c>
    </row>
    <row r="32" spans="1:7" x14ac:dyDescent="0.25">
      <c r="A32" s="509" t="s">
        <v>1988</v>
      </c>
      <c r="B32" s="509" t="s">
        <v>1989</v>
      </c>
      <c r="C32" s="510">
        <v>0</v>
      </c>
      <c r="D32" s="510">
        <v>0</v>
      </c>
      <c r="E32" s="510">
        <v>0</v>
      </c>
      <c r="F32" s="510">
        <v>0</v>
      </c>
      <c r="G32" s="510">
        <v>0</v>
      </c>
    </row>
    <row r="33" spans="1:7" x14ac:dyDescent="0.25">
      <c r="A33" s="509" t="s">
        <v>1990</v>
      </c>
      <c r="B33" s="509" t="s">
        <v>1991</v>
      </c>
      <c r="C33" s="510">
        <v>0</v>
      </c>
      <c r="D33" s="510">
        <v>0</v>
      </c>
      <c r="E33" s="510">
        <v>0</v>
      </c>
      <c r="F33" s="510">
        <v>0</v>
      </c>
      <c r="G33" s="510">
        <v>0</v>
      </c>
    </row>
    <row r="34" spans="1:7" x14ac:dyDescent="0.25">
      <c r="A34" s="509" t="s">
        <v>1992</v>
      </c>
      <c r="B34" s="509" t="s">
        <v>1993</v>
      </c>
      <c r="C34" s="510">
        <v>0</v>
      </c>
      <c r="D34" s="510">
        <v>0.65</v>
      </c>
      <c r="E34" s="510">
        <v>36518.620000000003</v>
      </c>
      <c r="F34" s="510">
        <v>36519</v>
      </c>
      <c r="G34" s="510">
        <v>0.27</v>
      </c>
    </row>
    <row r="35" spans="1:7" x14ac:dyDescent="0.25">
      <c r="A35" s="509" t="s">
        <v>1994</v>
      </c>
      <c r="B35" s="509" t="s">
        <v>1995</v>
      </c>
      <c r="C35" s="510">
        <v>0</v>
      </c>
      <c r="D35" s="510">
        <v>237863.92</v>
      </c>
      <c r="E35" s="510">
        <v>17</v>
      </c>
      <c r="F35" s="510">
        <v>11.79</v>
      </c>
      <c r="G35" s="510">
        <v>237869.13</v>
      </c>
    </row>
    <row r="36" spans="1:7" x14ac:dyDescent="0.25">
      <c r="A36" s="509" t="s">
        <v>1996</v>
      </c>
      <c r="B36" s="509" t="s">
        <v>1997</v>
      </c>
      <c r="C36" s="510">
        <v>0</v>
      </c>
      <c r="D36" s="510">
        <v>0</v>
      </c>
      <c r="E36" s="510">
        <v>0</v>
      </c>
      <c r="F36" s="510">
        <v>0</v>
      </c>
      <c r="G36" s="510">
        <v>0</v>
      </c>
    </row>
    <row r="37" spans="1:7" x14ac:dyDescent="0.25">
      <c r="A37" s="509" t="s">
        <v>1998</v>
      </c>
      <c r="B37" s="509" t="s">
        <v>1999</v>
      </c>
      <c r="C37" s="510">
        <v>0</v>
      </c>
      <c r="D37" s="510">
        <v>0</v>
      </c>
      <c r="E37" s="510">
        <v>0</v>
      </c>
      <c r="F37" s="510">
        <v>0</v>
      </c>
      <c r="G37" s="510">
        <v>0</v>
      </c>
    </row>
    <row r="38" spans="1:7" x14ac:dyDescent="0.25">
      <c r="A38" s="509" t="s">
        <v>2000</v>
      </c>
      <c r="B38" s="509" t="s">
        <v>2001</v>
      </c>
      <c r="C38" s="510">
        <v>0</v>
      </c>
      <c r="D38" s="510">
        <v>1150</v>
      </c>
      <c r="E38" s="510">
        <v>0</v>
      </c>
      <c r="F38" s="510">
        <v>0</v>
      </c>
      <c r="G38" s="510">
        <v>1150</v>
      </c>
    </row>
    <row r="39" spans="1:7" x14ac:dyDescent="0.25">
      <c r="A39" s="509" t="s">
        <v>2002</v>
      </c>
      <c r="B39" s="509" t="s">
        <v>2003</v>
      </c>
      <c r="C39" s="510">
        <v>0</v>
      </c>
      <c r="D39" s="510">
        <v>0</v>
      </c>
      <c r="E39" s="510">
        <v>0</v>
      </c>
      <c r="F39" s="510">
        <v>0</v>
      </c>
      <c r="G39" s="510">
        <v>0</v>
      </c>
    </row>
    <row r="40" spans="1:7" x14ac:dyDescent="0.25">
      <c r="A40" s="509" t="s">
        <v>1809</v>
      </c>
      <c r="B40" s="509" t="s">
        <v>2004</v>
      </c>
      <c r="C40" s="510">
        <v>0</v>
      </c>
      <c r="D40" s="510">
        <v>180484.96</v>
      </c>
      <c r="E40" s="510">
        <v>209.58</v>
      </c>
      <c r="F40" s="510">
        <v>0</v>
      </c>
      <c r="G40" s="510">
        <v>180694.54</v>
      </c>
    </row>
    <row r="41" spans="1:7" x14ac:dyDescent="0.25">
      <c r="A41" s="509" t="s">
        <v>1811</v>
      </c>
      <c r="B41" s="509" t="s">
        <v>2005</v>
      </c>
      <c r="C41" s="510">
        <v>0</v>
      </c>
      <c r="D41" s="510">
        <v>401460.85</v>
      </c>
      <c r="E41" s="510">
        <v>466.17</v>
      </c>
      <c r="F41" s="510">
        <v>0</v>
      </c>
      <c r="G41" s="510">
        <v>401927.02</v>
      </c>
    </row>
    <row r="42" spans="1:7" x14ac:dyDescent="0.25">
      <c r="A42" s="509" t="s">
        <v>1813</v>
      </c>
      <c r="B42" s="509" t="s">
        <v>2006</v>
      </c>
      <c r="C42" s="510">
        <v>0</v>
      </c>
      <c r="D42" s="510">
        <v>1710848.92</v>
      </c>
      <c r="E42" s="510">
        <v>1986.62</v>
      </c>
      <c r="F42" s="510">
        <v>0</v>
      </c>
      <c r="G42" s="510">
        <v>1712835.54</v>
      </c>
    </row>
    <row r="43" spans="1:7" x14ac:dyDescent="0.25">
      <c r="A43" s="509" t="s">
        <v>2007</v>
      </c>
      <c r="B43" s="509" t="s">
        <v>2008</v>
      </c>
      <c r="C43" s="510">
        <v>0</v>
      </c>
      <c r="D43" s="510">
        <v>147895.37</v>
      </c>
      <c r="E43" s="510">
        <v>0</v>
      </c>
      <c r="F43" s="510">
        <v>0</v>
      </c>
      <c r="G43" s="510">
        <v>147895.37</v>
      </c>
    </row>
    <row r="44" spans="1:7" x14ac:dyDescent="0.25">
      <c r="A44" s="509" t="s">
        <v>2009</v>
      </c>
      <c r="B44" s="509" t="s">
        <v>2010</v>
      </c>
      <c r="C44" s="510">
        <v>0</v>
      </c>
      <c r="D44" s="510">
        <v>0</v>
      </c>
      <c r="E44" s="510">
        <v>0</v>
      </c>
      <c r="F44" s="510">
        <v>0</v>
      </c>
      <c r="G44" s="510">
        <v>0</v>
      </c>
    </row>
    <row r="45" spans="1:7" x14ac:dyDescent="0.25">
      <c r="A45" s="509" t="s">
        <v>2011</v>
      </c>
      <c r="B45" s="509" t="s">
        <v>2012</v>
      </c>
      <c r="C45" s="510">
        <v>0</v>
      </c>
      <c r="D45" s="510">
        <v>10121.1</v>
      </c>
      <c r="E45" s="510">
        <v>668.16</v>
      </c>
      <c r="F45" s="510">
        <v>0</v>
      </c>
      <c r="G45" s="510">
        <v>10789.26</v>
      </c>
    </row>
    <row r="46" spans="1:7" x14ac:dyDescent="0.25">
      <c r="A46" s="509" t="s">
        <v>2013</v>
      </c>
      <c r="B46" s="509" t="s">
        <v>2014</v>
      </c>
      <c r="C46" s="510">
        <v>0</v>
      </c>
      <c r="D46" s="510">
        <v>0</v>
      </c>
      <c r="E46" s="510">
        <v>0</v>
      </c>
      <c r="F46" s="510">
        <v>0</v>
      </c>
      <c r="G46" s="510">
        <v>0</v>
      </c>
    </row>
    <row r="47" spans="1:7" x14ac:dyDescent="0.25">
      <c r="A47" s="509" t="s">
        <v>2015</v>
      </c>
      <c r="B47" s="509" t="s">
        <v>2016</v>
      </c>
      <c r="C47" s="510">
        <v>0</v>
      </c>
      <c r="D47" s="510">
        <v>44513.89</v>
      </c>
      <c r="E47" s="510">
        <v>0</v>
      </c>
      <c r="F47" s="510">
        <v>0</v>
      </c>
      <c r="G47" s="510">
        <v>44513.89</v>
      </c>
    </row>
    <row r="48" spans="1:7" x14ac:dyDescent="0.25">
      <c r="A48" s="509" t="s">
        <v>2017</v>
      </c>
      <c r="B48" s="509" t="s">
        <v>2018</v>
      </c>
      <c r="C48" s="510">
        <v>0</v>
      </c>
      <c r="D48" s="510">
        <v>2957.58</v>
      </c>
      <c r="E48" s="510">
        <v>2868.62</v>
      </c>
      <c r="F48" s="510">
        <v>4355.37</v>
      </c>
      <c r="G48" s="510">
        <v>1470.83</v>
      </c>
    </row>
    <row r="49" spans="1:7" x14ac:dyDescent="0.25">
      <c r="A49" s="509" t="s">
        <v>2019</v>
      </c>
      <c r="B49" s="509" t="s">
        <v>2020</v>
      </c>
      <c r="C49" s="510">
        <v>0</v>
      </c>
      <c r="D49" s="510">
        <v>0</v>
      </c>
      <c r="E49" s="510">
        <v>0</v>
      </c>
      <c r="F49" s="510">
        <v>0</v>
      </c>
      <c r="G49" s="510">
        <v>0</v>
      </c>
    </row>
    <row r="50" spans="1:7" x14ac:dyDescent="0.25">
      <c r="A50" s="509" t="s">
        <v>2021</v>
      </c>
      <c r="B50" s="509" t="s">
        <v>2022</v>
      </c>
      <c r="C50" s="510">
        <v>0</v>
      </c>
      <c r="D50" s="510">
        <v>7839.77</v>
      </c>
      <c r="E50" s="510">
        <v>28431.599999999999</v>
      </c>
      <c r="F50" s="510">
        <v>14947.67</v>
      </c>
      <c r="G50" s="510">
        <v>21323.7</v>
      </c>
    </row>
    <row r="51" spans="1:7" x14ac:dyDescent="0.25">
      <c r="A51" s="509" t="s">
        <v>2023</v>
      </c>
      <c r="B51" s="509" t="s">
        <v>2024</v>
      </c>
      <c r="C51" s="510">
        <v>0</v>
      </c>
      <c r="D51" s="510">
        <v>3690.9</v>
      </c>
      <c r="E51" s="510">
        <v>0</v>
      </c>
      <c r="F51" s="510">
        <v>2460.6</v>
      </c>
      <c r="G51" s="510">
        <v>1230.3</v>
      </c>
    </row>
    <row r="52" spans="1:7" x14ac:dyDescent="0.25">
      <c r="A52" s="509" t="s">
        <v>2025</v>
      </c>
      <c r="B52" s="509" t="s">
        <v>2026</v>
      </c>
      <c r="C52" s="510">
        <v>0</v>
      </c>
      <c r="D52" s="510">
        <v>1304.55</v>
      </c>
      <c r="E52" s="510">
        <v>0</v>
      </c>
      <c r="F52" s="510">
        <v>869.7</v>
      </c>
      <c r="G52" s="510">
        <v>434.85</v>
      </c>
    </row>
    <row r="53" spans="1:7" x14ac:dyDescent="0.25">
      <c r="A53" s="509" t="s">
        <v>2027</v>
      </c>
      <c r="B53" s="509" t="s">
        <v>2028</v>
      </c>
      <c r="C53" s="510">
        <v>0</v>
      </c>
      <c r="D53" s="510">
        <v>0</v>
      </c>
      <c r="E53" s="510">
        <v>0</v>
      </c>
      <c r="F53" s="510">
        <v>0</v>
      </c>
      <c r="G53" s="510">
        <v>0</v>
      </c>
    </row>
    <row r="54" spans="1:7" x14ac:dyDescent="0.25">
      <c r="A54" s="509" t="s">
        <v>2029</v>
      </c>
      <c r="B54" s="509" t="s">
        <v>2030</v>
      </c>
      <c r="C54" s="510">
        <v>0</v>
      </c>
      <c r="D54" s="510">
        <v>0</v>
      </c>
      <c r="E54" s="510">
        <v>0</v>
      </c>
      <c r="F54" s="510">
        <v>0</v>
      </c>
      <c r="G54" s="510">
        <v>0</v>
      </c>
    </row>
    <row r="55" spans="1:7" x14ac:dyDescent="0.25">
      <c r="A55" s="509" t="s">
        <v>2031</v>
      </c>
      <c r="B55" s="509" t="s">
        <v>2032</v>
      </c>
      <c r="C55" s="510">
        <v>0</v>
      </c>
      <c r="D55" s="510">
        <v>58505.599999999999</v>
      </c>
      <c r="E55" s="510">
        <v>6232.95</v>
      </c>
      <c r="F55" s="510">
        <v>61861.91</v>
      </c>
      <c r="G55" s="510">
        <v>2876.64</v>
      </c>
    </row>
    <row r="56" spans="1:7" x14ac:dyDescent="0.25">
      <c r="A56" s="509" t="s">
        <v>2033</v>
      </c>
      <c r="B56" s="509" t="s">
        <v>2034</v>
      </c>
      <c r="C56" s="510">
        <v>0</v>
      </c>
      <c r="D56" s="510">
        <v>300268.86</v>
      </c>
      <c r="E56" s="510">
        <v>1978227.18</v>
      </c>
      <c r="F56" s="510">
        <v>2048591.86</v>
      </c>
      <c r="G56" s="510">
        <v>229904.18</v>
      </c>
    </row>
    <row r="57" spans="1:7" x14ac:dyDescent="0.25">
      <c r="A57" s="509" t="s">
        <v>2035</v>
      </c>
      <c r="B57" s="509" t="s">
        <v>2036</v>
      </c>
      <c r="C57" s="510">
        <v>0</v>
      </c>
      <c r="D57" s="510">
        <v>-454746.69</v>
      </c>
      <c r="E57" s="510">
        <v>0</v>
      </c>
      <c r="F57" s="510">
        <v>0</v>
      </c>
      <c r="G57" s="510">
        <v>-454746.69</v>
      </c>
    </row>
    <row r="58" spans="1:7" x14ac:dyDescent="0.25">
      <c r="A58" s="509" t="s">
        <v>2037</v>
      </c>
      <c r="B58" s="509" t="s">
        <v>2038</v>
      </c>
      <c r="C58" s="510">
        <v>0</v>
      </c>
      <c r="D58" s="510">
        <v>0</v>
      </c>
      <c r="E58" s="510">
        <v>0</v>
      </c>
      <c r="F58" s="510">
        <v>0</v>
      </c>
      <c r="G58" s="510">
        <v>0</v>
      </c>
    </row>
    <row r="59" spans="1:7" x14ac:dyDescent="0.25">
      <c r="A59" s="509" t="s">
        <v>2039</v>
      </c>
      <c r="B59" s="509" t="s">
        <v>2040</v>
      </c>
      <c r="C59" s="510">
        <v>0</v>
      </c>
      <c r="D59" s="510">
        <v>423143.79</v>
      </c>
      <c r="E59" s="510">
        <v>12261.62</v>
      </c>
      <c r="F59" s="510">
        <v>11665.73</v>
      </c>
      <c r="G59" s="510">
        <v>423739.68</v>
      </c>
    </row>
    <row r="60" spans="1:7" x14ac:dyDescent="0.25">
      <c r="A60" s="509" t="s">
        <v>2041</v>
      </c>
      <c r="B60" s="509" t="s">
        <v>2042</v>
      </c>
      <c r="C60" s="510">
        <v>0</v>
      </c>
      <c r="D60" s="510">
        <v>0</v>
      </c>
      <c r="E60" s="510">
        <v>0</v>
      </c>
      <c r="F60" s="510">
        <v>0</v>
      </c>
      <c r="G60" s="510">
        <v>0</v>
      </c>
    </row>
    <row r="61" spans="1:7" x14ac:dyDescent="0.25">
      <c r="A61" s="509" t="s">
        <v>2043</v>
      </c>
      <c r="B61" s="509" t="s">
        <v>2044</v>
      </c>
      <c r="C61" s="510">
        <v>0</v>
      </c>
      <c r="D61" s="510">
        <v>0</v>
      </c>
      <c r="E61" s="510">
        <v>0</v>
      </c>
      <c r="F61" s="510">
        <v>0</v>
      </c>
      <c r="G61" s="510">
        <v>0</v>
      </c>
    </row>
    <row r="62" spans="1:7" x14ac:dyDescent="0.25">
      <c r="A62" s="509" t="s">
        <v>2045</v>
      </c>
      <c r="B62" s="509" t="s">
        <v>2046</v>
      </c>
      <c r="C62" s="510">
        <v>0</v>
      </c>
      <c r="D62" s="510">
        <v>38046.22</v>
      </c>
      <c r="E62" s="510">
        <v>0</v>
      </c>
      <c r="F62" s="510">
        <v>38046.22</v>
      </c>
      <c r="G62" s="510">
        <v>0</v>
      </c>
    </row>
    <row r="63" spans="1:7" x14ac:dyDescent="0.25">
      <c r="A63" s="509" t="s">
        <v>2047</v>
      </c>
      <c r="B63" s="509" t="s">
        <v>2048</v>
      </c>
      <c r="C63" s="510">
        <v>0</v>
      </c>
      <c r="D63" s="510">
        <v>0</v>
      </c>
      <c r="E63" s="510">
        <v>0</v>
      </c>
      <c r="F63" s="510">
        <v>0</v>
      </c>
      <c r="G63" s="510">
        <v>0</v>
      </c>
    </row>
    <row r="64" spans="1:7" x14ac:dyDescent="0.25">
      <c r="A64" s="509" t="s">
        <v>2049</v>
      </c>
      <c r="B64" s="509" t="s">
        <v>2050</v>
      </c>
      <c r="C64" s="510">
        <v>0</v>
      </c>
      <c r="D64" s="510">
        <v>0</v>
      </c>
      <c r="E64" s="510">
        <v>0</v>
      </c>
      <c r="F64" s="510">
        <v>0</v>
      </c>
      <c r="G64" s="510">
        <v>0</v>
      </c>
    </row>
    <row r="65" spans="1:7" x14ac:dyDescent="0.25">
      <c r="A65" s="509" t="s">
        <v>1467</v>
      </c>
      <c r="B65" s="509" t="s">
        <v>1468</v>
      </c>
      <c r="C65" s="510">
        <v>0</v>
      </c>
      <c r="D65" s="510">
        <v>145666.84</v>
      </c>
      <c r="E65" s="510">
        <v>0</v>
      </c>
      <c r="F65" s="510">
        <v>0</v>
      </c>
      <c r="G65" s="510">
        <v>145666.84</v>
      </c>
    </row>
    <row r="66" spans="1:7" x14ac:dyDescent="0.25">
      <c r="A66" s="509" t="s">
        <v>1469</v>
      </c>
      <c r="B66" s="509" t="s">
        <v>1470</v>
      </c>
      <c r="C66" s="510">
        <v>0</v>
      </c>
      <c r="D66" s="510">
        <v>314463.02</v>
      </c>
      <c r="E66" s="510">
        <v>0</v>
      </c>
      <c r="F66" s="510">
        <v>0</v>
      </c>
      <c r="G66" s="510">
        <v>314463.02</v>
      </c>
    </row>
    <row r="67" spans="1:7" x14ac:dyDescent="0.25">
      <c r="A67" s="509" t="s">
        <v>1471</v>
      </c>
      <c r="B67" s="509" t="s">
        <v>1472</v>
      </c>
      <c r="C67" s="510">
        <v>0</v>
      </c>
      <c r="D67" s="510">
        <v>60134.93</v>
      </c>
      <c r="E67" s="510">
        <v>0</v>
      </c>
      <c r="F67" s="510">
        <v>0</v>
      </c>
      <c r="G67" s="510">
        <v>60134.93</v>
      </c>
    </row>
    <row r="68" spans="1:7" x14ac:dyDescent="0.25">
      <c r="A68" s="509" t="s">
        <v>1473</v>
      </c>
      <c r="B68" s="509" t="s">
        <v>1474</v>
      </c>
      <c r="C68" s="510">
        <v>0</v>
      </c>
      <c r="D68" s="510">
        <v>2379410</v>
      </c>
      <c r="E68" s="510">
        <v>0</v>
      </c>
      <c r="F68" s="510">
        <v>0</v>
      </c>
      <c r="G68" s="510">
        <v>2379410</v>
      </c>
    </row>
    <row r="69" spans="1:7" x14ac:dyDescent="0.25">
      <c r="A69" s="509" t="s">
        <v>1475</v>
      </c>
      <c r="B69" s="509" t="s">
        <v>1476</v>
      </c>
      <c r="C69" s="510">
        <v>0</v>
      </c>
      <c r="D69" s="510">
        <v>0</v>
      </c>
      <c r="E69" s="510">
        <v>0</v>
      </c>
      <c r="F69" s="510">
        <v>0</v>
      </c>
      <c r="G69" s="510">
        <v>0</v>
      </c>
    </row>
    <row r="70" spans="1:7" x14ac:dyDescent="0.25">
      <c r="A70" s="509" t="s">
        <v>1477</v>
      </c>
      <c r="B70" s="509" t="s">
        <v>1478</v>
      </c>
      <c r="C70" s="510">
        <v>0</v>
      </c>
      <c r="D70" s="510">
        <v>2643500.08</v>
      </c>
      <c r="E70" s="510">
        <v>0</v>
      </c>
      <c r="F70" s="510">
        <v>0</v>
      </c>
      <c r="G70" s="510">
        <v>2643500.08</v>
      </c>
    </row>
    <row r="71" spans="1:7" x14ac:dyDescent="0.25">
      <c r="A71" s="509" t="s">
        <v>1479</v>
      </c>
      <c r="B71" s="509" t="s">
        <v>1480</v>
      </c>
      <c r="C71" s="510">
        <v>0</v>
      </c>
      <c r="D71" s="510">
        <v>4901324.45</v>
      </c>
      <c r="E71" s="510">
        <v>0</v>
      </c>
      <c r="F71" s="510">
        <v>0</v>
      </c>
      <c r="G71" s="510">
        <v>4901324.45</v>
      </c>
    </row>
    <row r="72" spans="1:7" x14ac:dyDescent="0.25">
      <c r="A72" s="509" t="s">
        <v>1481</v>
      </c>
      <c r="B72" s="509" t="s">
        <v>1482</v>
      </c>
      <c r="C72" s="510">
        <v>0</v>
      </c>
      <c r="D72" s="510">
        <v>0</v>
      </c>
      <c r="E72" s="510">
        <v>0</v>
      </c>
      <c r="F72" s="510">
        <v>0</v>
      </c>
      <c r="G72" s="510">
        <v>0</v>
      </c>
    </row>
    <row r="73" spans="1:7" x14ac:dyDescent="0.25">
      <c r="A73" s="509" t="s">
        <v>1483</v>
      </c>
      <c r="B73" s="509" t="s">
        <v>1484</v>
      </c>
      <c r="C73" s="510">
        <v>0</v>
      </c>
      <c r="D73" s="510">
        <v>19798.72</v>
      </c>
      <c r="E73" s="510">
        <v>0</v>
      </c>
      <c r="F73" s="510">
        <v>0</v>
      </c>
      <c r="G73" s="510">
        <v>19798.72</v>
      </c>
    </row>
    <row r="74" spans="1:7" x14ac:dyDescent="0.25">
      <c r="A74" s="509" t="s">
        <v>2051</v>
      </c>
      <c r="B74" s="509" t="s">
        <v>2052</v>
      </c>
      <c r="C74" s="510">
        <v>0</v>
      </c>
      <c r="D74" s="510">
        <v>0</v>
      </c>
      <c r="E74" s="510">
        <v>0</v>
      </c>
      <c r="F74" s="510">
        <v>0</v>
      </c>
      <c r="G74" s="510">
        <v>0</v>
      </c>
    </row>
    <row r="75" spans="1:7" x14ac:dyDescent="0.25">
      <c r="A75" s="509" t="s">
        <v>1485</v>
      </c>
      <c r="B75" s="509" t="s">
        <v>1486</v>
      </c>
      <c r="C75" s="510">
        <v>0</v>
      </c>
      <c r="D75" s="510">
        <v>60198.22</v>
      </c>
      <c r="E75" s="510">
        <v>2996.1</v>
      </c>
      <c r="F75" s="510">
        <v>0</v>
      </c>
      <c r="G75" s="510">
        <v>63194.32</v>
      </c>
    </row>
    <row r="76" spans="1:7" x14ac:dyDescent="0.25">
      <c r="A76" s="509" t="s">
        <v>1487</v>
      </c>
      <c r="B76" s="509" t="s">
        <v>1488</v>
      </c>
      <c r="C76" s="510">
        <v>0</v>
      </c>
      <c r="D76" s="510">
        <v>5381.81</v>
      </c>
      <c r="E76" s="510">
        <v>0</v>
      </c>
      <c r="F76" s="510">
        <v>0</v>
      </c>
      <c r="G76" s="510">
        <v>5381.81</v>
      </c>
    </row>
    <row r="77" spans="1:7" x14ac:dyDescent="0.25">
      <c r="A77" s="509" t="s">
        <v>1489</v>
      </c>
      <c r="B77" s="509" t="s">
        <v>84</v>
      </c>
      <c r="C77" s="510">
        <v>0</v>
      </c>
      <c r="D77" s="510">
        <v>600647.19999999995</v>
      </c>
      <c r="E77" s="510">
        <v>0</v>
      </c>
      <c r="F77" s="510">
        <v>0</v>
      </c>
      <c r="G77" s="510">
        <v>600647.19999999995</v>
      </c>
    </row>
    <row r="78" spans="1:7" x14ac:dyDescent="0.25">
      <c r="A78" s="509" t="s">
        <v>1490</v>
      </c>
      <c r="B78" s="509" t="s">
        <v>1491</v>
      </c>
      <c r="C78" s="510">
        <v>0</v>
      </c>
      <c r="D78" s="510">
        <v>1754349.41</v>
      </c>
      <c r="E78" s="510">
        <v>0</v>
      </c>
      <c r="F78" s="510">
        <v>0</v>
      </c>
      <c r="G78" s="510">
        <v>1754349.41</v>
      </c>
    </row>
    <row r="79" spans="1:7" x14ac:dyDescent="0.25">
      <c r="A79" s="509" t="s">
        <v>1492</v>
      </c>
      <c r="B79" s="509" t="s">
        <v>1493</v>
      </c>
      <c r="C79" s="510">
        <v>0</v>
      </c>
      <c r="D79" s="510">
        <v>215193.71</v>
      </c>
      <c r="E79" s="510">
        <v>5915.4</v>
      </c>
      <c r="F79" s="510">
        <v>0</v>
      </c>
      <c r="G79" s="510">
        <v>221109.11</v>
      </c>
    </row>
    <row r="80" spans="1:7" x14ac:dyDescent="0.25">
      <c r="A80" s="509" t="s">
        <v>1494</v>
      </c>
      <c r="B80" s="509" t="s">
        <v>1495</v>
      </c>
      <c r="C80" s="510">
        <v>0</v>
      </c>
      <c r="D80" s="510">
        <v>302866</v>
      </c>
      <c r="E80" s="510">
        <v>0</v>
      </c>
      <c r="F80" s="510">
        <v>0</v>
      </c>
      <c r="G80" s="510">
        <v>302866</v>
      </c>
    </row>
    <row r="81" spans="1:7" x14ac:dyDescent="0.25">
      <c r="A81" s="509" t="s">
        <v>1496</v>
      </c>
      <c r="B81" s="509" t="s">
        <v>1497</v>
      </c>
      <c r="C81" s="510">
        <v>0</v>
      </c>
      <c r="D81" s="510">
        <v>99740.07</v>
      </c>
      <c r="E81" s="510">
        <v>0</v>
      </c>
      <c r="F81" s="510">
        <v>0</v>
      </c>
      <c r="G81" s="510">
        <v>99740.07</v>
      </c>
    </row>
    <row r="82" spans="1:7" x14ac:dyDescent="0.25">
      <c r="A82" s="509" t="s">
        <v>1498</v>
      </c>
      <c r="B82" s="509" t="s">
        <v>1499</v>
      </c>
      <c r="C82" s="510">
        <v>0</v>
      </c>
      <c r="D82" s="510">
        <v>622908.55000000005</v>
      </c>
      <c r="E82" s="510">
        <v>0</v>
      </c>
      <c r="F82" s="510">
        <v>0</v>
      </c>
      <c r="G82" s="510">
        <v>622908.55000000005</v>
      </c>
    </row>
    <row r="83" spans="1:7" x14ac:dyDescent="0.25">
      <c r="A83" s="509" t="s">
        <v>2053</v>
      </c>
      <c r="B83" s="509" t="s">
        <v>2054</v>
      </c>
      <c r="C83" s="510">
        <v>0</v>
      </c>
      <c r="D83" s="510">
        <v>0</v>
      </c>
      <c r="E83" s="510">
        <v>0</v>
      </c>
      <c r="F83" s="510">
        <v>0</v>
      </c>
      <c r="G83" s="510">
        <v>0</v>
      </c>
    </row>
    <row r="84" spans="1:7" x14ac:dyDescent="0.25">
      <c r="A84" s="509" t="s">
        <v>2055</v>
      </c>
      <c r="B84" s="509" t="s">
        <v>846</v>
      </c>
      <c r="C84" s="510">
        <v>0</v>
      </c>
      <c r="D84" s="510">
        <v>0</v>
      </c>
      <c r="E84" s="510">
        <v>0</v>
      </c>
      <c r="F84" s="510">
        <v>0</v>
      </c>
      <c r="G84" s="510">
        <v>0</v>
      </c>
    </row>
    <row r="85" spans="1:7" x14ac:dyDescent="0.25">
      <c r="A85" s="509" t="s">
        <v>2056</v>
      </c>
      <c r="B85" s="509" t="s">
        <v>2057</v>
      </c>
      <c r="C85" s="510">
        <v>0</v>
      </c>
      <c r="D85" s="510">
        <v>0</v>
      </c>
      <c r="E85" s="510">
        <v>0</v>
      </c>
      <c r="F85" s="510">
        <v>0</v>
      </c>
      <c r="G85" s="510">
        <v>0</v>
      </c>
    </row>
    <row r="86" spans="1:7" x14ac:dyDescent="0.25">
      <c r="A86" s="509" t="s">
        <v>1500</v>
      </c>
      <c r="B86" s="509" t="s">
        <v>1501</v>
      </c>
      <c r="C86" s="510">
        <v>0</v>
      </c>
      <c r="D86" s="510">
        <v>255322.88</v>
      </c>
      <c r="E86" s="510">
        <v>0</v>
      </c>
      <c r="F86" s="510">
        <v>0</v>
      </c>
      <c r="G86" s="510">
        <v>255322.88</v>
      </c>
    </row>
    <row r="87" spans="1:7" x14ac:dyDescent="0.25">
      <c r="A87" s="509" t="s">
        <v>1502</v>
      </c>
      <c r="B87" s="509" t="s">
        <v>1503</v>
      </c>
      <c r="C87" s="510">
        <v>0</v>
      </c>
      <c r="D87" s="510">
        <v>1241417.24</v>
      </c>
      <c r="E87" s="510">
        <v>0</v>
      </c>
      <c r="F87" s="510">
        <v>0</v>
      </c>
      <c r="G87" s="510">
        <v>1241417.24</v>
      </c>
    </row>
    <row r="88" spans="1:7" x14ac:dyDescent="0.25">
      <c r="A88" s="509" t="s">
        <v>1504</v>
      </c>
      <c r="B88" s="509" t="s">
        <v>1505</v>
      </c>
      <c r="C88" s="510">
        <v>0</v>
      </c>
      <c r="D88" s="510">
        <v>0</v>
      </c>
      <c r="E88" s="510">
        <v>0</v>
      </c>
      <c r="F88" s="510">
        <v>0</v>
      </c>
      <c r="G88" s="510">
        <v>0</v>
      </c>
    </row>
    <row r="89" spans="1:7" x14ac:dyDescent="0.25">
      <c r="A89" s="509" t="s">
        <v>1506</v>
      </c>
      <c r="B89" s="509" t="s">
        <v>1507</v>
      </c>
      <c r="C89" s="510">
        <v>0</v>
      </c>
      <c r="D89" s="510">
        <v>0</v>
      </c>
      <c r="E89" s="510">
        <v>0</v>
      </c>
      <c r="F89" s="510">
        <v>0</v>
      </c>
      <c r="G89" s="510">
        <v>0</v>
      </c>
    </row>
    <row r="90" spans="1:7" x14ac:dyDescent="0.25">
      <c r="A90" s="509" t="s">
        <v>1508</v>
      </c>
      <c r="B90" s="509" t="s">
        <v>1509</v>
      </c>
      <c r="C90" s="510">
        <v>0</v>
      </c>
      <c r="D90" s="510">
        <v>0</v>
      </c>
      <c r="E90" s="510">
        <v>0</v>
      </c>
      <c r="F90" s="510">
        <v>0</v>
      </c>
      <c r="G90" s="510">
        <v>0</v>
      </c>
    </row>
    <row r="91" spans="1:7" x14ac:dyDescent="0.25">
      <c r="A91" s="509" t="s">
        <v>1510</v>
      </c>
      <c r="B91" s="509" t="s">
        <v>1511</v>
      </c>
      <c r="C91" s="510">
        <v>0</v>
      </c>
      <c r="D91" s="510">
        <v>524.95000000000005</v>
      </c>
      <c r="E91" s="510">
        <v>0</v>
      </c>
      <c r="F91" s="510">
        <v>0</v>
      </c>
      <c r="G91" s="510">
        <v>524.95000000000005</v>
      </c>
    </row>
    <row r="92" spans="1:7" x14ac:dyDescent="0.25">
      <c r="A92" s="509" t="s">
        <v>1512</v>
      </c>
      <c r="B92" s="509" t="s">
        <v>1513</v>
      </c>
      <c r="C92" s="510">
        <v>0</v>
      </c>
      <c r="D92" s="510">
        <v>0</v>
      </c>
      <c r="E92" s="510">
        <v>0</v>
      </c>
      <c r="F92" s="510">
        <v>0</v>
      </c>
      <c r="G92" s="510">
        <v>0</v>
      </c>
    </row>
    <row r="93" spans="1:7" x14ac:dyDescent="0.25">
      <c r="A93" s="509" t="s">
        <v>1514</v>
      </c>
      <c r="B93" s="509" t="s">
        <v>1515</v>
      </c>
      <c r="C93" s="510">
        <v>0</v>
      </c>
      <c r="D93" s="510">
        <v>0</v>
      </c>
      <c r="E93" s="510">
        <v>0</v>
      </c>
      <c r="F93" s="510">
        <v>0</v>
      </c>
      <c r="G93" s="510">
        <v>0</v>
      </c>
    </row>
    <row r="94" spans="1:7" x14ac:dyDescent="0.25">
      <c r="A94" s="509" t="s">
        <v>1516</v>
      </c>
      <c r="B94" s="509" t="s">
        <v>1517</v>
      </c>
      <c r="C94" s="510">
        <v>0</v>
      </c>
      <c r="D94" s="510">
        <v>0</v>
      </c>
      <c r="E94" s="510">
        <v>0</v>
      </c>
      <c r="F94" s="510">
        <v>0</v>
      </c>
      <c r="G94" s="510">
        <v>0</v>
      </c>
    </row>
    <row r="95" spans="1:7" x14ac:dyDescent="0.25">
      <c r="A95" s="509" t="s">
        <v>1518</v>
      </c>
      <c r="B95" s="509" t="s">
        <v>1519</v>
      </c>
      <c r="C95" s="510">
        <v>0</v>
      </c>
      <c r="D95" s="510">
        <v>267221.94</v>
      </c>
      <c r="E95" s="510">
        <v>0</v>
      </c>
      <c r="F95" s="510">
        <v>0</v>
      </c>
      <c r="G95" s="510">
        <v>267221.94</v>
      </c>
    </row>
    <row r="96" spans="1:7" x14ac:dyDescent="0.25">
      <c r="A96" s="509" t="s">
        <v>1520</v>
      </c>
      <c r="B96" s="509" t="s">
        <v>1521</v>
      </c>
      <c r="C96" s="510">
        <v>0</v>
      </c>
      <c r="D96" s="510">
        <v>0</v>
      </c>
      <c r="E96" s="510">
        <v>0</v>
      </c>
      <c r="F96" s="510">
        <v>0</v>
      </c>
      <c r="G96" s="510">
        <v>0</v>
      </c>
    </row>
    <row r="97" spans="1:7" x14ac:dyDescent="0.25">
      <c r="A97" s="509" t="s">
        <v>1522</v>
      </c>
      <c r="B97" s="509" t="s">
        <v>1523</v>
      </c>
      <c r="C97" s="510">
        <v>0</v>
      </c>
      <c r="D97" s="510">
        <v>75055.28</v>
      </c>
      <c r="E97" s="510">
        <v>0</v>
      </c>
      <c r="F97" s="510">
        <v>0</v>
      </c>
      <c r="G97" s="510">
        <v>75055.28</v>
      </c>
    </row>
    <row r="98" spans="1:7" x14ac:dyDescent="0.25">
      <c r="A98" s="509" t="s">
        <v>1524</v>
      </c>
      <c r="B98" s="509" t="s">
        <v>1525</v>
      </c>
      <c r="C98" s="510">
        <v>0</v>
      </c>
      <c r="D98" s="510">
        <v>0</v>
      </c>
      <c r="E98" s="510">
        <v>0</v>
      </c>
      <c r="F98" s="510">
        <v>0</v>
      </c>
      <c r="G98" s="510">
        <v>0</v>
      </c>
    </row>
    <row r="99" spans="1:7" x14ac:dyDescent="0.25">
      <c r="A99" s="509" t="s">
        <v>1526</v>
      </c>
      <c r="B99" s="509" t="s">
        <v>1527</v>
      </c>
      <c r="C99" s="510">
        <v>0</v>
      </c>
      <c r="D99" s="510">
        <v>0</v>
      </c>
      <c r="E99" s="510">
        <v>3682.98</v>
      </c>
      <c r="F99" s="510">
        <v>0</v>
      </c>
      <c r="G99" s="510">
        <v>3682.98</v>
      </c>
    </row>
    <row r="100" spans="1:7" x14ac:dyDescent="0.25">
      <c r="A100" s="509" t="s">
        <v>1528</v>
      </c>
      <c r="B100" s="509" t="s">
        <v>1529</v>
      </c>
      <c r="C100" s="510">
        <v>0</v>
      </c>
      <c r="D100" s="510">
        <v>0</v>
      </c>
      <c r="E100" s="510">
        <v>0</v>
      </c>
      <c r="F100" s="510">
        <v>0</v>
      </c>
      <c r="G100" s="510">
        <v>0</v>
      </c>
    </row>
    <row r="101" spans="1:7" x14ac:dyDescent="0.25">
      <c r="A101" s="509" t="s">
        <v>1530</v>
      </c>
      <c r="B101" s="509" t="s">
        <v>1531</v>
      </c>
      <c r="C101" s="510">
        <v>0</v>
      </c>
      <c r="D101" s="510">
        <v>107124.32</v>
      </c>
      <c r="E101" s="510">
        <v>0</v>
      </c>
      <c r="F101" s="510">
        <v>0</v>
      </c>
      <c r="G101" s="510">
        <v>107124.32</v>
      </c>
    </row>
    <row r="102" spans="1:7" x14ac:dyDescent="0.25">
      <c r="A102" s="509" t="s">
        <v>1532</v>
      </c>
      <c r="B102" s="509" t="s">
        <v>1533</v>
      </c>
      <c r="C102" s="510">
        <v>0</v>
      </c>
      <c r="D102" s="510">
        <v>1933341.71</v>
      </c>
      <c r="E102" s="510">
        <v>0</v>
      </c>
      <c r="F102" s="510">
        <v>0</v>
      </c>
      <c r="G102" s="510">
        <v>1933341.71</v>
      </c>
    </row>
    <row r="103" spans="1:7" x14ac:dyDescent="0.25">
      <c r="A103" s="509" t="s">
        <v>1534</v>
      </c>
      <c r="B103" s="509" t="s">
        <v>1535</v>
      </c>
      <c r="C103" s="510">
        <v>0</v>
      </c>
      <c r="D103" s="510">
        <v>0</v>
      </c>
      <c r="E103" s="510">
        <v>0</v>
      </c>
      <c r="F103" s="510">
        <v>0</v>
      </c>
      <c r="G103" s="510">
        <v>0</v>
      </c>
    </row>
    <row r="104" spans="1:7" x14ac:dyDescent="0.25">
      <c r="A104" s="509" t="s">
        <v>1536</v>
      </c>
      <c r="B104" s="509" t="s">
        <v>1537</v>
      </c>
      <c r="C104" s="510">
        <v>0</v>
      </c>
      <c r="D104" s="510">
        <v>97878.77</v>
      </c>
      <c r="E104" s="510">
        <v>0</v>
      </c>
      <c r="F104" s="510">
        <v>0</v>
      </c>
      <c r="G104" s="510">
        <v>97878.77</v>
      </c>
    </row>
    <row r="105" spans="1:7" x14ac:dyDescent="0.25">
      <c r="A105" s="509" t="s">
        <v>1538</v>
      </c>
      <c r="B105" s="509" t="s">
        <v>1539</v>
      </c>
      <c r="C105" s="510">
        <v>0</v>
      </c>
      <c r="D105" s="510">
        <v>0</v>
      </c>
      <c r="E105" s="510">
        <v>0</v>
      </c>
      <c r="F105" s="510">
        <v>0</v>
      </c>
      <c r="G105" s="510">
        <v>0</v>
      </c>
    </row>
    <row r="106" spans="1:7" x14ac:dyDescent="0.25">
      <c r="A106" s="509" t="s">
        <v>3451</v>
      </c>
      <c r="B106" s="509" t="s">
        <v>3455</v>
      </c>
      <c r="C106" s="510">
        <v>0</v>
      </c>
      <c r="D106" s="510">
        <v>0</v>
      </c>
      <c r="E106" s="510">
        <v>0</v>
      </c>
      <c r="F106" s="510">
        <v>0</v>
      </c>
      <c r="G106" s="510">
        <v>0</v>
      </c>
    </row>
    <row r="107" spans="1:7" x14ac:dyDescent="0.25">
      <c r="A107" s="509" t="s">
        <v>1540</v>
      </c>
      <c r="B107" s="509" t="s">
        <v>1541</v>
      </c>
      <c r="C107" s="510">
        <v>0</v>
      </c>
      <c r="D107" s="510">
        <v>0</v>
      </c>
      <c r="E107" s="510">
        <v>0</v>
      </c>
      <c r="F107" s="510">
        <v>0</v>
      </c>
      <c r="G107" s="510">
        <v>0</v>
      </c>
    </row>
    <row r="108" spans="1:7" x14ac:dyDescent="0.25">
      <c r="A108" s="509" t="s">
        <v>1542</v>
      </c>
      <c r="B108" s="509" t="s">
        <v>1543</v>
      </c>
      <c r="C108" s="510">
        <v>0</v>
      </c>
      <c r="D108" s="510">
        <v>38121</v>
      </c>
      <c r="E108" s="510">
        <v>0</v>
      </c>
      <c r="F108" s="510">
        <v>0</v>
      </c>
      <c r="G108" s="510">
        <v>38121</v>
      </c>
    </row>
    <row r="109" spans="1:7" x14ac:dyDescent="0.25">
      <c r="A109" s="509" t="s">
        <v>2058</v>
      </c>
      <c r="B109" s="509" t="s">
        <v>2059</v>
      </c>
      <c r="C109" s="510">
        <v>0</v>
      </c>
      <c r="D109" s="510">
        <v>0</v>
      </c>
      <c r="E109" s="510">
        <v>0</v>
      </c>
      <c r="F109" s="510">
        <v>0</v>
      </c>
      <c r="G109" s="510">
        <v>0</v>
      </c>
    </row>
    <row r="110" spans="1:7" x14ac:dyDescent="0.25">
      <c r="A110" s="509" t="s">
        <v>1544</v>
      </c>
      <c r="B110" s="509" t="s">
        <v>1545</v>
      </c>
      <c r="C110" s="510">
        <v>0</v>
      </c>
      <c r="D110" s="510">
        <v>218265.06</v>
      </c>
      <c r="E110" s="510">
        <v>0</v>
      </c>
      <c r="F110" s="510">
        <v>0</v>
      </c>
      <c r="G110" s="510">
        <v>218265.06</v>
      </c>
    </row>
    <row r="111" spans="1:7" x14ac:dyDescent="0.25">
      <c r="A111" s="509" t="s">
        <v>1546</v>
      </c>
      <c r="B111" s="509" t="s">
        <v>1547</v>
      </c>
      <c r="C111" s="510">
        <v>0</v>
      </c>
      <c r="D111" s="510">
        <v>1012001.71</v>
      </c>
      <c r="E111" s="510">
        <v>1260.1400000000001</v>
      </c>
      <c r="F111" s="510">
        <v>1260.1400000000001</v>
      </c>
      <c r="G111" s="510">
        <v>1012001.71</v>
      </c>
    </row>
    <row r="112" spans="1:7" x14ac:dyDescent="0.25">
      <c r="A112" s="509" t="s">
        <v>1548</v>
      </c>
      <c r="B112" s="509" t="s">
        <v>2060</v>
      </c>
      <c r="C112" s="510">
        <v>0</v>
      </c>
      <c r="D112" s="510">
        <v>0</v>
      </c>
      <c r="E112" s="510">
        <v>15551.86</v>
      </c>
      <c r="F112" s="510">
        <v>0</v>
      </c>
      <c r="G112" s="510">
        <v>15551.86</v>
      </c>
    </row>
    <row r="113" spans="1:7" x14ac:dyDescent="0.25">
      <c r="A113" s="509" t="s">
        <v>1549</v>
      </c>
      <c r="B113" s="509" t="s">
        <v>1550</v>
      </c>
      <c r="C113" s="510">
        <v>0</v>
      </c>
      <c r="D113" s="510">
        <v>0</v>
      </c>
      <c r="E113" s="510">
        <v>0</v>
      </c>
      <c r="F113" s="510">
        <v>0</v>
      </c>
      <c r="G113" s="510">
        <v>0</v>
      </c>
    </row>
    <row r="114" spans="1:7" x14ac:dyDescent="0.25">
      <c r="A114" s="509" t="s">
        <v>1551</v>
      </c>
      <c r="B114" s="509" t="s">
        <v>1552</v>
      </c>
      <c r="C114" s="510">
        <v>0</v>
      </c>
      <c r="D114" s="510">
        <v>636134.81000000006</v>
      </c>
      <c r="E114" s="510">
        <v>0</v>
      </c>
      <c r="F114" s="510">
        <v>0</v>
      </c>
      <c r="G114" s="510">
        <v>636134.81000000006</v>
      </c>
    </row>
    <row r="115" spans="1:7" x14ac:dyDescent="0.25">
      <c r="A115" s="509" t="s">
        <v>1553</v>
      </c>
      <c r="B115" s="509" t="s">
        <v>1554</v>
      </c>
      <c r="C115" s="510">
        <v>0</v>
      </c>
      <c r="D115" s="510">
        <v>2922366.67</v>
      </c>
      <c r="E115" s="510">
        <v>0</v>
      </c>
      <c r="F115" s="510">
        <v>0</v>
      </c>
      <c r="G115" s="510">
        <v>2922366.67</v>
      </c>
    </row>
    <row r="116" spans="1:7" x14ac:dyDescent="0.25">
      <c r="A116" s="509" t="s">
        <v>2061</v>
      </c>
      <c r="B116" s="509" t="s">
        <v>2062</v>
      </c>
      <c r="C116" s="510">
        <v>0</v>
      </c>
      <c r="D116" s="510">
        <v>0</v>
      </c>
      <c r="E116" s="510">
        <v>0</v>
      </c>
      <c r="F116" s="510">
        <v>0</v>
      </c>
      <c r="G116" s="510">
        <v>0</v>
      </c>
    </row>
    <row r="117" spans="1:7" x14ac:dyDescent="0.25">
      <c r="A117" s="509" t="s">
        <v>2063</v>
      </c>
      <c r="B117" s="509" t="s">
        <v>2064</v>
      </c>
      <c r="C117" s="510">
        <v>0</v>
      </c>
      <c r="D117" s="510">
        <v>0</v>
      </c>
      <c r="E117" s="510">
        <v>0</v>
      </c>
      <c r="F117" s="510">
        <v>0</v>
      </c>
      <c r="G117" s="510">
        <v>0</v>
      </c>
    </row>
    <row r="118" spans="1:7" x14ac:dyDescent="0.25">
      <c r="A118" s="509" t="s">
        <v>1555</v>
      </c>
      <c r="B118" s="509" t="s">
        <v>1556</v>
      </c>
      <c r="C118" s="510">
        <v>0</v>
      </c>
      <c r="D118" s="510">
        <v>9721.5</v>
      </c>
      <c r="E118" s="510">
        <v>0</v>
      </c>
      <c r="F118" s="510">
        <v>0</v>
      </c>
      <c r="G118" s="510">
        <v>9721.5</v>
      </c>
    </row>
    <row r="119" spans="1:7" x14ac:dyDescent="0.25">
      <c r="A119" s="509" t="s">
        <v>1557</v>
      </c>
      <c r="B119" s="509" t="s">
        <v>1558</v>
      </c>
      <c r="C119" s="510">
        <v>0</v>
      </c>
      <c r="D119" s="510">
        <v>540032.43999999994</v>
      </c>
      <c r="E119" s="510">
        <v>0</v>
      </c>
      <c r="F119" s="510">
        <v>0</v>
      </c>
      <c r="G119" s="510">
        <v>540032.43999999994</v>
      </c>
    </row>
    <row r="120" spans="1:7" x14ac:dyDescent="0.25">
      <c r="A120" s="509" t="s">
        <v>2065</v>
      </c>
      <c r="B120" s="509" t="s">
        <v>2066</v>
      </c>
      <c r="C120" s="510">
        <v>0</v>
      </c>
      <c r="D120" s="510">
        <v>18260</v>
      </c>
      <c r="E120" s="510">
        <v>0</v>
      </c>
      <c r="F120" s="510">
        <v>0</v>
      </c>
      <c r="G120" s="510">
        <v>18260</v>
      </c>
    </row>
    <row r="121" spans="1:7" x14ac:dyDescent="0.25">
      <c r="A121" s="509" t="s">
        <v>2067</v>
      </c>
      <c r="B121" s="509" t="s">
        <v>2068</v>
      </c>
      <c r="C121" s="510">
        <v>0</v>
      </c>
      <c r="D121" s="510">
        <v>-18260</v>
      </c>
      <c r="E121" s="510">
        <v>0</v>
      </c>
      <c r="F121" s="510">
        <v>0</v>
      </c>
      <c r="G121" s="510">
        <v>-18260</v>
      </c>
    </row>
    <row r="122" spans="1:7" x14ac:dyDescent="0.25">
      <c r="A122" s="509" t="s">
        <v>2069</v>
      </c>
      <c r="B122" s="509" t="s">
        <v>2070</v>
      </c>
      <c r="C122" s="510">
        <v>0</v>
      </c>
      <c r="D122" s="510">
        <v>30024.55</v>
      </c>
      <c r="E122" s="510">
        <v>0</v>
      </c>
      <c r="F122" s="510">
        <v>0</v>
      </c>
      <c r="G122" s="510">
        <v>30024.55</v>
      </c>
    </row>
    <row r="123" spans="1:7" x14ac:dyDescent="0.25">
      <c r="A123" s="509" t="s">
        <v>2071</v>
      </c>
      <c r="B123" s="509" t="s">
        <v>2072</v>
      </c>
      <c r="C123" s="510">
        <v>0</v>
      </c>
      <c r="D123" s="510">
        <v>-30024.55</v>
      </c>
      <c r="E123" s="510">
        <v>0</v>
      </c>
      <c r="F123" s="510">
        <v>0</v>
      </c>
      <c r="G123" s="510">
        <v>-30024.55</v>
      </c>
    </row>
    <row r="124" spans="1:7" x14ac:dyDescent="0.25">
      <c r="A124" s="509" t="s">
        <v>2073</v>
      </c>
      <c r="B124" s="509" t="s">
        <v>2074</v>
      </c>
      <c r="C124" s="510">
        <v>0</v>
      </c>
      <c r="D124" s="510">
        <v>0</v>
      </c>
      <c r="E124" s="510">
        <v>0</v>
      </c>
      <c r="F124" s="510">
        <v>0</v>
      </c>
      <c r="G124" s="510">
        <v>0</v>
      </c>
    </row>
    <row r="125" spans="1:7" x14ac:dyDescent="0.25">
      <c r="A125" s="509" t="s">
        <v>2075</v>
      </c>
      <c r="B125" s="509" t="s">
        <v>2076</v>
      </c>
      <c r="C125" s="510">
        <v>0</v>
      </c>
      <c r="D125" s="510">
        <v>0</v>
      </c>
      <c r="E125" s="510">
        <v>0</v>
      </c>
      <c r="F125" s="510">
        <v>0</v>
      </c>
      <c r="G125" s="510">
        <v>0</v>
      </c>
    </row>
    <row r="126" spans="1:7" x14ac:dyDescent="0.25">
      <c r="A126" s="509" t="s">
        <v>2077</v>
      </c>
      <c r="B126" s="509" t="s">
        <v>2078</v>
      </c>
      <c r="C126" s="510">
        <v>0</v>
      </c>
      <c r="D126" s="510">
        <v>0</v>
      </c>
      <c r="E126" s="510">
        <v>0</v>
      </c>
      <c r="F126" s="510">
        <v>0</v>
      </c>
      <c r="G126" s="510">
        <v>0</v>
      </c>
    </row>
    <row r="127" spans="1:7" x14ac:dyDescent="0.25">
      <c r="A127" s="509" t="s">
        <v>1559</v>
      </c>
      <c r="B127" s="509" t="s">
        <v>1560</v>
      </c>
      <c r="C127" s="510">
        <v>0</v>
      </c>
      <c r="D127" s="510">
        <v>2179617.27</v>
      </c>
      <c r="E127" s="510">
        <v>0</v>
      </c>
      <c r="F127" s="510">
        <v>0</v>
      </c>
      <c r="G127" s="510">
        <v>2179617.27</v>
      </c>
    </row>
    <row r="128" spans="1:7" x14ac:dyDescent="0.25">
      <c r="A128" s="509" t="s">
        <v>1561</v>
      </c>
      <c r="B128" s="509" t="s">
        <v>104</v>
      </c>
      <c r="C128" s="510">
        <v>0</v>
      </c>
      <c r="D128" s="510">
        <v>0</v>
      </c>
      <c r="E128" s="510">
        <v>0</v>
      </c>
      <c r="F128" s="510">
        <v>0</v>
      </c>
      <c r="G128" s="510">
        <v>0</v>
      </c>
    </row>
    <row r="129" spans="1:7" x14ac:dyDescent="0.25">
      <c r="A129" s="509" t="s">
        <v>2079</v>
      </c>
      <c r="B129" s="509" t="s">
        <v>2080</v>
      </c>
      <c r="C129" s="510">
        <v>0</v>
      </c>
      <c r="D129" s="510">
        <v>-15233402.689999999</v>
      </c>
      <c r="E129" s="510">
        <v>0</v>
      </c>
      <c r="F129" s="510">
        <v>0</v>
      </c>
      <c r="G129" s="510">
        <v>-15233402.689999999</v>
      </c>
    </row>
    <row r="130" spans="1:7" x14ac:dyDescent="0.25">
      <c r="A130" s="509" t="s">
        <v>2081</v>
      </c>
      <c r="B130" s="509" t="s">
        <v>2082</v>
      </c>
      <c r="C130" s="510">
        <v>0</v>
      </c>
      <c r="D130" s="510">
        <v>-86146.01</v>
      </c>
      <c r="E130" s="510">
        <v>1709122.99</v>
      </c>
      <c r="F130" s="510">
        <v>1629067.28</v>
      </c>
      <c r="G130" s="510">
        <v>-6090.3</v>
      </c>
    </row>
    <row r="131" spans="1:7" x14ac:dyDescent="0.25">
      <c r="A131" s="509" t="s">
        <v>2083</v>
      </c>
      <c r="B131" s="509" t="s">
        <v>2084</v>
      </c>
      <c r="C131" s="510">
        <v>0</v>
      </c>
      <c r="D131" s="510">
        <v>0</v>
      </c>
      <c r="E131" s="510">
        <v>0</v>
      </c>
      <c r="F131" s="510">
        <v>3748.73</v>
      </c>
      <c r="G131" s="510">
        <v>-3748.73</v>
      </c>
    </row>
    <row r="132" spans="1:7" x14ac:dyDescent="0.25">
      <c r="A132" s="509" t="s">
        <v>2085</v>
      </c>
      <c r="B132" s="509" t="s">
        <v>2086</v>
      </c>
      <c r="C132" s="510">
        <v>0</v>
      </c>
      <c r="D132" s="510">
        <v>3463.23</v>
      </c>
      <c r="E132" s="510">
        <v>15189.62</v>
      </c>
      <c r="F132" s="510">
        <v>18652.849999999999</v>
      </c>
      <c r="G132" s="510">
        <v>0</v>
      </c>
    </row>
    <row r="133" spans="1:7" x14ac:dyDescent="0.25">
      <c r="A133" s="509" t="s">
        <v>2087</v>
      </c>
      <c r="B133" s="509" t="s">
        <v>2088</v>
      </c>
      <c r="C133" s="510">
        <v>0</v>
      </c>
      <c r="D133" s="510">
        <v>0</v>
      </c>
      <c r="E133" s="510">
        <v>0</v>
      </c>
      <c r="F133" s="510">
        <v>14446.88</v>
      </c>
      <c r="G133" s="510">
        <v>-14446.88</v>
      </c>
    </row>
    <row r="134" spans="1:7" x14ac:dyDescent="0.25">
      <c r="A134" s="509" t="s">
        <v>2089</v>
      </c>
      <c r="B134" s="509" t="s">
        <v>2090</v>
      </c>
      <c r="C134" s="510">
        <v>0</v>
      </c>
      <c r="D134" s="510">
        <v>0</v>
      </c>
      <c r="E134" s="510">
        <v>0</v>
      </c>
      <c r="F134" s="510">
        <v>0</v>
      </c>
      <c r="G134" s="510">
        <v>0</v>
      </c>
    </row>
    <row r="135" spans="1:7" x14ac:dyDescent="0.25">
      <c r="A135" s="509" t="s">
        <v>2091</v>
      </c>
      <c r="B135" s="509" t="s">
        <v>2092</v>
      </c>
      <c r="C135" s="510">
        <v>0</v>
      </c>
      <c r="D135" s="510">
        <v>0</v>
      </c>
      <c r="E135" s="510">
        <v>0</v>
      </c>
      <c r="F135" s="510">
        <v>0</v>
      </c>
      <c r="G135" s="510">
        <v>0</v>
      </c>
    </row>
    <row r="136" spans="1:7" x14ac:dyDescent="0.25">
      <c r="A136" s="509" t="s">
        <v>2093</v>
      </c>
      <c r="B136" s="509" t="s">
        <v>2094</v>
      </c>
      <c r="C136" s="510">
        <v>0</v>
      </c>
      <c r="D136" s="510">
        <v>0</v>
      </c>
      <c r="E136" s="510">
        <v>0</v>
      </c>
      <c r="F136" s="510">
        <v>0</v>
      </c>
      <c r="G136" s="510">
        <v>0</v>
      </c>
    </row>
    <row r="137" spans="1:7" x14ac:dyDescent="0.25">
      <c r="A137" s="509" t="s">
        <v>2095</v>
      </c>
      <c r="B137" s="509" t="s">
        <v>2096</v>
      </c>
      <c r="C137" s="510">
        <v>0</v>
      </c>
      <c r="D137" s="510">
        <v>1761.49</v>
      </c>
      <c r="E137" s="510">
        <v>0</v>
      </c>
      <c r="F137" s="510">
        <v>0</v>
      </c>
      <c r="G137" s="510">
        <v>1761.49</v>
      </c>
    </row>
    <row r="138" spans="1:7" x14ac:dyDescent="0.25">
      <c r="A138" s="509" t="s">
        <v>2097</v>
      </c>
      <c r="B138" s="509" t="s">
        <v>2098</v>
      </c>
      <c r="C138" s="510">
        <v>0</v>
      </c>
      <c r="D138" s="510">
        <v>0</v>
      </c>
      <c r="E138" s="510">
        <v>0</v>
      </c>
      <c r="F138" s="510">
        <v>0</v>
      </c>
      <c r="G138" s="510">
        <v>0</v>
      </c>
    </row>
    <row r="139" spans="1:7" x14ac:dyDescent="0.25">
      <c r="A139" s="509" t="s">
        <v>2099</v>
      </c>
      <c r="B139" s="509" t="s">
        <v>2100</v>
      </c>
      <c r="C139" s="510">
        <v>0</v>
      </c>
      <c r="D139" s="510">
        <v>0</v>
      </c>
      <c r="E139" s="510">
        <v>0</v>
      </c>
      <c r="F139" s="510">
        <v>0</v>
      </c>
      <c r="G139" s="510">
        <v>0</v>
      </c>
    </row>
    <row r="140" spans="1:7" x14ac:dyDescent="0.25">
      <c r="A140" s="509" t="s">
        <v>2101</v>
      </c>
      <c r="B140" s="509" t="s">
        <v>2102</v>
      </c>
      <c r="C140" s="510">
        <v>0</v>
      </c>
      <c r="D140" s="510">
        <v>0</v>
      </c>
      <c r="E140" s="510">
        <v>0</v>
      </c>
      <c r="F140" s="510">
        <v>0</v>
      </c>
      <c r="G140" s="510">
        <v>0</v>
      </c>
    </row>
    <row r="141" spans="1:7" x14ac:dyDescent="0.25">
      <c r="A141" s="509" t="s">
        <v>2103</v>
      </c>
      <c r="B141" s="509" t="s">
        <v>2104</v>
      </c>
      <c r="C141" s="510">
        <v>0</v>
      </c>
      <c r="D141" s="510">
        <v>0</v>
      </c>
      <c r="E141" s="510">
        <v>0</v>
      </c>
      <c r="F141" s="510">
        <v>0</v>
      </c>
      <c r="G141" s="510">
        <v>0</v>
      </c>
    </row>
    <row r="142" spans="1:7" x14ac:dyDescent="0.25">
      <c r="A142" s="509" t="s">
        <v>2105</v>
      </c>
      <c r="B142" s="509" t="s">
        <v>2106</v>
      </c>
      <c r="C142" s="510">
        <v>0</v>
      </c>
      <c r="D142" s="510">
        <v>0</v>
      </c>
      <c r="E142" s="510">
        <v>0</v>
      </c>
      <c r="F142" s="510">
        <v>0</v>
      </c>
      <c r="G142" s="510">
        <v>0</v>
      </c>
    </row>
    <row r="143" spans="1:7" x14ac:dyDescent="0.25">
      <c r="A143" s="509" t="s">
        <v>2107</v>
      </c>
      <c r="B143" s="509" t="s">
        <v>2108</v>
      </c>
      <c r="C143" s="510">
        <v>0</v>
      </c>
      <c r="D143" s="510">
        <v>-12867</v>
      </c>
      <c r="E143" s="510">
        <v>12867</v>
      </c>
      <c r="F143" s="510">
        <v>0</v>
      </c>
      <c r="G143" s="510">
        <v>0</v>
      </c>
    </row>
    <row r="144" spans="1:7" x14ac:dyDescent="0.25">
      <c r="A144" s="509" t="s">
        <v>2109</v>
      </c>
      <c r="B144" s="509" t="s">
        <v>2110</v>
      </c>
      <c r="C144" s="510">
        <v>0</v>
      </c>
      <c r="D144" s="510">
        <v>-6086.64</v>
      </c>
      <c r="E144" s="510">
        <v>6086.64</v>
      </c>
      <c r="F144" s="510">
        <v>0</v>
      </c>
      <c r="G144" s="510">
        <v>0</v>
      </c>
    </row>
    <row r="145" spans="1:7" x14ac:dyDescent="0.25">
      <c r="A145" s="509" t="s">
        <v>2111</v>
      </c>
      <c r="B145" s="509" t="s">
        <v>2112</v>
      </c>
      <c r="C145" s="510">
        <v>0</v>
      </c>
      <c r="D145" s="510">
        <v>-67865</v>
      </c>
      <c r="E145" s="510">
        <v>31535</v>
      </c>
      <c r="F145" s="510">
        <v>30100</v>
      </c>
      <c r="G145" s="510">
        <v>-66430</v>
      </c>
    </row>
    <row r="146" spans="1:7" x14ac:dyDescent="0.25">
      <c r="A146" s="509" t="s">
        <v>2113</v>
      </c>
      <c r="B146" s="509" t="s">
        <v>2114</v>
      </c>
      <c r="C146" s="510">
        <v>0</v>
      </c>
      <c r="D146" s="510">
        <v>0</v>
      </c>
      <c r="E146" s="510">
        <v>0</v>
      </c>
      <c r="F146" s="510">
        <v>0</v>
      </c>
      <c r="G146" s="510">
        <v>0</v>
      </c>
    </row>
    <row r="147" spans="1:7" x14ac:dyDescent="0.25">
      <c r="A147" s="509" t="s">
        <v>2115</v>
      </c>
      <c r="B147" s="509" t="s">
        <v>2116</v>
      </c>
      <c r="C147" s="510">
        <v>0</v>
      </c>
      <c r="D147" s="510">
        <v>0</v>
      </c>
      <c r="E147" s="510">
        <v>0</v>
      </c>
      <c r="F147" s="510">
        <v>0</v>
      </c>
      <c r="G147" s="510">
        <v>0</v>
      </c>
    </row>
    <row r="148" spans="1:7" x14ac:dyDescent="0.25">
      <c r="A148" s="509" t="s">
        <v>2117</v>
      </c>
      <c r="B148" s="509" t="s">
        <v>2118</v>
      </c>
      <c r="C148" s="510">
        <v>0</v>
      </c>
      <c r="D148" s="510">
        <v>0</v>
      </c>
      <c r="E148" s="510">
        <v>0</v>
      </c>
      <c r="F148" s="510">
        <v>0</v>
      </c>
      <c r="G148" s="510">
        <v>0</v>
      </c>
    </row>
    <row r="149" spans="1:7" x14ac:dyDescent="0.25">
      <c r="A149" s="509" t="s">
        <v>2119</v>
      </c>
      <c r="B149" s="509" t="s">
        <v>2120</v>
      </c>
      <c r="C149" s="510">
        <v>0</v>
      </c>
      <c r="D149" s="510">
        <v>0</v>
      </c>
      <c r="E149" s="510">
        <v>0</v>
      </c>
      <c r="F149" s="510">
        <v>0</v>
      </c>
      <c r="G149" s="510">
        <v>0</v>
      </c>
    </row>
    <row r="150" spans="1:7" x14ac:dyDescent="0.25">
      <c r="A150" s="509" t="s">
        <v>2121</v>
      </c>
      <c r="B150" s="509" t="s">
        <v>2003</v>
      </c>
      <c r="C150" s="510">
        <v>0</v>
      </c>
      <c r="D150" s="510">
        <v>0</v>
      </c>
      <c r="E150" s="510">
        <v>0</v>
      </c>
      <c r="F150" s="510">
        <v>0</v>
      </c>
      <c r="G150" s="510">
        <v>0</v>
      </c>
    </row>
    <row r="151" spans="1:7" x14ac:dyDescent="0.25">
      <c r="A151" s="509" t="s">
        <v>2122</v>
      </c>
      <c r="B151" s="509" t="s">
        <v>2123</v>
      </c>
      <c r="C151" s="510">
        <v>0</v>
      </c>
      <c r="D151" s="510">
        <v>0</v>
      </c>
      <c r="E151" s="510">
        <v>0</v>
      </c>
      <c r="F151" s="510">
        <v>0</v>
      </c>
      <c r="G151" s="510">
        <v>0</v>
      </c>
    </row>
    <row r="152" spans="1:7" x14ac:dyDescent="0.25">
      <c r="A152" s="509" t="s">
        <v>2124</v>
      </c>
      <c r="B152" s="509" t="s">
        <v>2125</v>
      </c>
      <c r="C152" s="510">
        <v>0</v>
      </c>
      <c r="D152" s="510">
        <v>0</v>
      </c>
      <c r="E152" s="510">
        <v>0</v>
      </c>
      <c r="F152" s="510">
        <v>0</v>
      </c>
      <c r="G152" s="510">
        <v>0</v>
      </c>
    </row>
    <row r="153" spans="1:7" x14ac:dyDescent="0.25">
      <c r="A153" s="509" t="s">
        <v>2126</v>
      </c>
      <c r="B153" s="509" t="s">
        <v>2127</v>
      </c>
      <c r="C153" s="510">
        <v>0</v>
      </c>
      <c r="D153" s="510">
        <v>-1384600</v>
      </c>
      <c r="E153" s="510">
        <v>0</v>
      </c>
      <c r="F153" s="510">
        <v>203000</v>
      </c>
      <c r="G153" s="510">
        <v>-1587600</v>
      </c>
    </row>
    <row r="154" spans="1:7" x14ac:dyDescent="0.25">
      <c r="A154" s="509" t="s">
        <v>2128</v>
      </c>
      <c r="B154" s="509" t="s">
        <v>2129</v>
      </c>
      <c r="C154" s="510">
        <v>0</v>
      </c>
      <c r="D154" s="510">
        <v>-18991.37</v>
      </c>
      <c r="E154" s="510">
        <v>0</v>
      </c>
      <c r="F154" s="510">
        <v>0</v>
      </c>
      <c r="G154" s="510">
        <v>-18991.37</v>
      </c>
    </row>
    <row r="155" spans="1:7" x14ac:dyDescent="0.25">
      <c r="A155" s="509" t="s">
        <v>2130</v>
      </c>
      <c r="B155" s="509" t="s">
        <v>2131</v>
      </c>
      <c r="C155" s="510">
        <v>0</v>
      </c>
      <c r="D155" s="510">
        <v>0</v>
      </c>
      <c r="E155" s="510">
        <v>0</v>
      </c>
      <c r="F155" s="510">
        <v>0</v>
      </c>
      <c r="G155" s="510">
        <v>0</v>
      </c>
    </row>
    <row r="156" spans="1:7" x14ac:dyDescent="0.25">
      <c r="A156" s="509" t="s">
        <v>2132</v>
      </c>
      <c r="B156" s="509" t="s">
        <v>2133</v>
      </c>
      <c r="C156" s="510">
        <v>0</v>
      </c>
      <c r="D156" s="510">
        <v>-636406.82999999996</v>
      </c>
      <c r="E156" s="510">
        <v>0</v>
      </c>
      <c r="F156" s="510">
        <v>0</v>
      </c>
      <c r="G156" s="510">
        <v>-636406.82999999996</v>
      </c>
    </row>
    <row r="157" spans="1:7" x14ac:dyDescent="0.25">
      <c r="A157" s="509" t="s">
        <v>2134</v>
      </c>
      <c r="B157" s="509" t="s">
        <v>2135</v>
      </c>
      <c r="C157" s="510">
        <v>0</v>
      </c>
      <c r="D157" s="510">
        <v>0</v>
      </c>
      <c r="E157" s="510">
        <v>0</v>
      </c>
      <c r="F157" s="510">
        <v>0</v>
      </c>
      <c r="G157" s="510">
        <v>0</v>
      </c>
    </row>
    <row r="158" spans="1:7" x14ac:dyDescent="0.25">
      <c r="A158" s="509" t="s">
        <v>2136</v>
      </c>
      <c r="B158" s="509" t="s">
        <v>2137</v>
      </c>
      <c r="C158" s="510">
        <v>0</v>
      </c>
      <c r="D158" s="510">
        <v>-2650000</v>
      </c>
      <c r="E158" s="510">
        <v>0</v>
      </c>
      <c r="F158" s="510">
        <v>245000</v>
      </c>
      <c r="G158" s="510">
        <v>-2895000</v>
      </c>
    </row>
    <row r="159" spans="1:7" x14ac:dyDescent="0.25">
      <c r="A159" s="509" t="s">
        <v>2138</v>
      </c>
      <c r="B159" s="509" t="s">
        <v>2139</v>
      </c>
      <c r="C159" s="510">
        <v>0</v>
      </c>
      <c r="D159" s="510">
        <v>-76719.820000000007</v>
      </c>
      <c r="E159" s="510">
        <v>0</v>
      </c>
      <c r="F159" s="510">
        <v>0</v>
      </c>
      <c r="G159" s="510">
        <v>-76719.820000000007</v>
      </c>
    </row>
    <row r="160" spans="1:7" x14ac:dyDescent="0.25">
      <c r="A160" s="509" t="s">
        <v>2140</v>
      </c>
      <c r="B160" s="509" t="s">
        <v>2141</v>
      </c>
      <c r="C160" s="510">
        <v>0</v>
      </c>
      <c r="D160" s="510">
        <v>0</v>
      </c>
      <c r="E160" s="510">
        <v>0</v>
      </c>
      <c r="F160" s="510">
        <v>0</v>
      </c>
      <c r="G160" s="510">
        <v>0</v>
      </c>
    </row>
    <row r="161" spans="1:7" x14ac:dyDescent="0.25">
      <c r="A161" s="509" t="s">
        <v>2142</v>
      </c>
      <c r="B161" s="509" t="s">
        <v>2143</v>
      </c>
      <c r="C161" s="510">
        <v>0</v>
      </c>
      <c r="D161" s="510">
        <v>0</v>
      </c>
      <c r="E161" s="510">
        <v>0</v>
      </c>
      <c r="F161" s="510">
        <v>0</v>
      </c>
      <c r="G161" s="510">
        <v>0</v>
      </c>
    </row>
    <row r="162" spans="1:7" x14ac:dyDescent="0.25">
      <c r="A162" s="509" t="s">
        <v>2144</v>
      </c>
      <c r="B162" s="509" t="s">
        <v>2145</v>
      </c>
      <c r="C162" s="510">
        <v>0</v>
      </c>
      <c r="D162" s="510">
        <v>0</v>
      </c>
      <c r="E162" s="510">
        <v>0</v>
      </c>
      <c r="F162" s="510">
        <v>0</v>
      </c>
      <c r="G162" s="510">
        <v>0</v>
      </c>
    </row>
    <row r="163" spans="1:7" x14ac:dyDescent="0.25">
      <c r="A163" s="509" t="s">
        <v>2146</v>
      </c>
      <c r="B163" s="509" t="s">
        <v>2147</v>
      </c>
      <c r="C163" s="510">
        <v>0</v>
      </c>
      <c r="D163" s="510">
        <v>0</v>
      </c>
      <c r="E163" s="510">
        <v>0</v>
      </c>
      <c r="F163" s="510">
        <v>0</v>
      </c>
      <c r="G163" s="510">
        <v>0</v>
      </c>
    </row>
    <row r="164" spans="1:7" x14ac:dyDescent="0.25">
      <c r="A164" s="509" t="s">
        <v>2148</v>
      </c>
      <c r="B164" s="509" t="s">
        <v>2149</v>
      </c>
      <c r="C164" s="510">
        <v>0</v>
      </c>
      <c r="D164" s="510">
        <v>0</v>
      </c>
      <c r="E164" s="510">
        <v>0</v>
      </c>
      <c r="F164" s="510">
        <v>0</v>
      </c>
      <c r="G164" s="510">
        <v>0</v>
      </c>
    </row>
    <row r="165" spans="1:7" x14ac:dyDescent="0.25">
      <c r="A165" s="509" t="s">
        <v>2150</v>
      </c>
      <c r="B165" s="509" t="s">
        <v>2151</v>
      </c>
      <c r="C165" s="510">
        <v>0</v>
      </c>
      <c r="D165" s="510">
        <v>0</v>
      </c>
      <c r="E165" s="510">
        <v>0</v>
      </c>
      <c r="F165" s="510">
        <v>0</v>
      </c>
      <c r="G165" s="510">
        <v>0</v>
      </c>
    </row>
    <row r="166" spans="1:7" x14ac:dyDescent="0.25">
      <c r="A166" s="509" t="s">
        <v>2152</v>
      </c>
      <c r="B166" s="509" t="s">
        <v>2153</v>
      </c>
      <c r="C166" s="510">
        <v>0</v>
      </c>
      <c r="D166" s="510">
        <v>0</v>
      </c>
      <c r="E166" s="510">
        <v>0</v>
      </c>
      <c r="F166" s="510">
        <v>0</v>
      </c>
      <c r="G166" s="510">
        <v>0</v>
      </c>
    </row>
    <row r="167" spans="1:7" x14ac:dyDescent="0.25">
      <c r="A167" s="509" t="s">
        <v>2154</v>
      </c>
      <c r="B167" s="509" t="s">
        <v>2155</v>
      </c>
      <c r="C167" s="510">
        <v>0</v>
      </c>
      <c r="D167" s="510">
        <v>0</v>
      </c>
      <c r="E167" s="510">
        <v>0</v>
      </c>
      <c r="F167" s="510">
        <v>0</v>
      </c>
      <c r="G167" s="510">
        <v>0</v>
      </c>
    </row>
    <row r="168" spans="1:7" x14ac:dyDescent="0.25">
      <c r="A168" s="509" t="s">
        <v>2156</v>
      </c>
      <c r="B168" s="509" t="s">
        <v>2157</v>
      </c>
      <c r="C168" s="510">
        <v>0</v>
      </c>
      <c r="D168" s="510">
        <v>0</v>
      </c>
      <c r="E168" s="510">
        <v>0</v>
      </c>
      <c r="F168" s="510">
        <v>0</v>
      </c>
      <c r="G168" s="510">
        <v>0</v>
      </c>
    </row>
    <row r="169" spans="1:7" x14ac:dyDescent="0.25">
      <c r="A169" s="509" t="s">
        <v>2158</v>
      </c>
      <c r="B169" s="509" t="s">
        <v>2159</v>
      </c>
      <c r="C169" s="510">
        <v>0</v>
      </c>
      <c r="D169" s="510">
        <v>-448000</v>
      </c>
      <c r="E169" s="510">
        <v>448000</v>
      </c>
      <c r="F169" s="510">
        <v>0</v>
      </c>
      <c r="G169" s="510">
        <v>0</v>
      </c>
    </row>
    <row r="170" spans="1:7" x14ac:dyDescent="0.25">
      <c r="A170" s="509" t="s">
        <v>2160</v>
      </c>
      <c r="B170" s="509" t="s">
        <v>2161</v>
      </c>
      <c r="C170" s="510">
        <v>0</v>
      </c>
      <c r="D170" s="510">
        <v>0</v>
      </c>
      <c r="E170" s="510">
        <v>0</v>
      </c>
      <c r="F170" s="510">
        <v>0</v>
      </c>
      <c r="G170" s="510">
        <v>0</v>
      </c>
    </row>
    <row r="171" spans="1:7" x14ac:dyDescent="0.25">
      <c r="A171" s="509" t="s">
        <v>2162</v>
      </c>
      <c r="B171" s="509" t="s">
        <v>2163</v>
      </c>
      <c r="C171" s="510">
        <v>0</v>
      </c>
      <c r="D171" s="510">
        <v>0</v>
      </c>
      <c r="E171" s="510">
        <v>0</v>
      </c>
      <c r="F171" s="510">
        <v>0</v>
      </c>
      <c r="G171" s="510">
        <v>0</v>
      </c>
    </row>
    <row r="172" spans="1:7" x14ac:dyDescent="0.25">
      <c r="A172" s="509" t="s">
        <v>2164</v>
      </c>
      <c r="B172" s="509" t="s">
        <v>2165</v>
      </c>
      <c r="C172" s="510">
        <v>0</v>
      </c>
      <c r="D172" s="510">
        <v>0</v>
      </c>
      <c r="E172" s="510">
        <v>0</v>
      </c>
      <c r="F172" s="510">
        <v>0</v>
      </c>
      <c r="G172" s="510">
        <v>0</v>
      </c>
    </row>
    <row r="173" spans="1:7" x14ac:dyDescent="0.25">
      <c r="A173" s="509" t="s">
        <v>2166</v>
      </c>
      <c r="B173" s="509" t="s">
        <v>2167</v>
      </c>
      <c r="C173" s="510">
        <v>0</v>
      </c>
      <c r="D173" s="510">
        <v>0</v>
      </c>
      <c r="E173" s="510">
        <v>0</v>
      </c>
      <c r="F173" s="510">
        <v>0</v>
      </c>
      <c r="G173" s="510">
        <v>0</v>
      </c>
    </row>
    <row r="174" spans="1:7" x14ac:dyDescent="0.25">
      <c r="A174" s="509" t="s">
        <v>2168</v>
      </c>
      <c r="B174" s="509" t="s">
        <v>2169</v>
      </c>
      <c r="C174" s="510">
        <v>0</v>
      </c>
      <c r="D174" s="510">
        <v>-85097</v>
      </c>
      <c r="E174" s="510">
        <v>0</v>
      </c>
      <c r="F174" s="510">
        <v>0</v>
      </c>
      <c r="G174" s="510">
        <v>-85097</v>
      </c>
    </row>
    <row r="175" spans="1:7" x14ac:dyDescent="0.25">
      <c r="A175" s="509" t="s">
        <v>2170</v>
      </c>
      <c r="B175" s="509" t="s">
        <v>2171</v>
      </c>
      <c r="C175" s="510">
        <v>0</v>
      </c>
      <c r="D175" s="510">
        <v>0</v>
      </c>
      <c r="E175" s="510">
        <v>0</v>
      </c>
      <c r="F175" s="510">
        <v>0</v>
      </c>
      <c r="G175" s="510">
        <v>0</v>
      </c>
    </row>
    <row r="176" spans="1:7" x14ac:dyDescent="0.25">
      <c r="A176" s="509" t="s">
        <v>2172</v>
      </c>
      <c r="B176" s="509" t="s">
        <v>2173</v>
      </c>
      <c r="C176" s="510">
        <v>0</v>
      </c>
      <c r="D176" s="510">
        <v>-12615.23</v>
      </c>
      <c r="E176" s="510">
        <v>195124.79</v>
      </c>
      <c r="F176" s="510">
        <v>182509.56</v>
      </c>
      <c r="G176" s="510">
        <v>0</v>
      </c>
    </row>
    <row r="177" spans="1:7" x14ac:dyDescent="0.25">
      <c r="A177" s="509" t="s">
        <v>2174</v>
      </c>
      <c r="B177" s="509" t="s">
        <v>2175</v>
      </c>
      <c r="C177" s="510">
        <v>0</v>
      </c>
      <c r="D177" s="510">
        <v>-4554.03</v>
      </c>
      <c r="E177" s="510">
        <v>70151.899999999994</v>
      </c>
      <c r="F177" s="510">
        <v>65597.87</v>
      </c>
      <c r="G177" s="510">
        <v>0</v>
      </c>
    </row>
    <row r="178" spans="1:7" x14ac:dyDescent="0.25">
      <c r="A178" s="509" t="s">
        <v>2176</v>
      </c>
      <c r="B178" s="509" t="s">
        <v>2177</v>
      </c>
      <c r="C178" s="510">
        <v>0</v>
      </c>
      <c r="D178" s="510">
        <v>-1016.79</v>
      </c>
      <c r="E178" s="510">
        <v>13115.89</v>
      </c>
      <c r="F178" s="510">
        <v>12099.1</v>
      </c>
      <c r="G178" s="510">
        <v>0</v>
      </c>
    </row>
    <row r="179" spans="1:7" x14ac:dyDescent="0.25">
      <c r="A179" s="509" t="s">
        <v>2178</v>
      </c>
      <c r="B179" s="509" t="s">
        <v>2179</v>
      </c>
      <c r="C179" s="510">
        <v>0</v>
      </c>
      <c r="D179" s="510">
        <v>-12966.8</v>
      </c>
      <c r="E179" s="510">
        <v>172593.02</v>
      </c>
      <c r="F179" s="510">
        <v>159626.22</v>
      </c>
      <c r="G179" s="510">
        <v>0</v>
      </c>
    </row>
    <row r="180" spans="1:7" x14ac:dyDescent="0.25">
      <c r="A180" s="509" t="s">
        <v>2180</v>
      </c>
      <c r="B180" s="509" t="s">
        <v>2181</v>
      </c>
      <c r="C180" s="510">
        <v>0</v>
      </c>
      <c r="D180" s="510">
        <v>-3032.5</v>
      </c>
      <c r="E180" s="510">
        <v>43981.56</v>
      </c>
      <c r="F180" s="510">
        <v>40949.06</v>
      </c>
      <c r="G180" s="510">
        <v>0</v>
      </c>
    </row>
    <row r="181" spans="1:7" x14ac:dyDescent="0.25">
      <c r="A181" s="509" t="s">
        <v>2182</v>
      </c>
      <c r="B181" s="509" t="s">
        <v>2183</v>
      </c>
      <c r="C181" s="510">
        <v>0</v>
      </c>
      <c r="D181" s="510">
        <v>-5500.96</v>
      </c>
      <c r="E181" s="510">
        <v>71288.89</v>
      </c>
      <c r="F181" s="510">
        <v>65787.929999999993</v>
      </c>
      <c r="G181" s="510">
        <v>0</v>
      </c>
    </row>
    <row r="182" spans="1:7" x14ac:dyDescent="0.25">
      <c r="A182" s="509" t="s">
        <v>2184</v>
      </c>
      <c r="B182" s="509" t="s">
        <v>2185</v>
      </c>
      <c r="C182" s="510">
        <v>0</v>
      </c>
      <c r="D182" s="510">
        <v>-314</v>
      </c>
      <c r="E182" s="510">
        <v>2198</v>
      </c>
      <c r="F182" s="510">
        <v>1884</v>
      </c>
      <c r="G182" s="510">
        <v>0</v>
      </c>
    </row>
    <row r="183" spans="1:7" x14ac:dyDescent="0.25">
      <c r="A183" s="509" t="s">
        <v>2186</v>
      </c>
      <c r="B183" s="509" t="s">
        <v>2187</v>
      </c>
      <c r="C183" s="510">
        <v>0</v>
      </c>
      <c r="D183" s="510">
        <v>0</v>
      </c>
      <c r="E183" s="510">
        <v>0</v>
      </c>
      <c r="F183" s="510">
        <v>0</v>
      </c>
      <c r="G183" s="510">
        <v>0</v>
      </c>
    </row>
    <row r="184" spans="1:7" x14ac:dyDescent="0.25">
      <c r="A184" s="509" t="s">
        <v>2188</v>
      </c>
      <c r="B184" s="509" t="s">
        <v>2189</v>
      </c>
      <c r="C184" s="510">
        <v>0</v>
      </c>
      <c r="D184" s="510">
        <v>-1996.15</v>
      </c>
      <c r="E184" s="510">
        <v>24830.7</v>
      </c>
      <c r="F184" s="510">
        <v>22834.55</v>
      </c>
      <c r="G184" s="510">
        <v>0</v>
      </c>
    </row>
    <row r="185" spans="1:7" x14ac:dyDescent="0.25">
      <c r="A185" s="509" t="s">
        <v>2190</v>
      </c>
      <c r="B185" s="509" t="s">
        <v>2191</v>
      </c>
      <c r="C185" s="510">
        <v>0</v>
      </c>
      <c r="D185" s="510">
        <v>-670.53</v>
      </c>
      <c r="E185" s="510">
        <v>9332.2800000000007</v>
      </c>
      <c r="F185" s="510">
        <v>8698.9</v>
      </c>
      <c r="G185" s="510">
        <v>-37.15</v>
      </c>
    </row>
    <row r="186" spans="1:7" x14ac:dyDescent="0.25">
      <c r="A186" s="509" t="s">
        <v>2192</v>
      </c>
      <c r="B186" s="509" t="s">
        <v>2171</v>
      </c>
      <c r="C186" s="510">
        <v>0</v>
      </c>
      <c r="D186" s="510">
        <v>0</v>
      </c>
      <c r="E186" s="510">
        <v>0</v>
      </c>
      <c r="F186" s="510">
        <v>0</v>
      </c>
      <c r="G186" s="510">
        <v>0</v>
      </c>
    </row>
    <row r="187" spans="1:7" x14ac:dyDescent="0.25">
      <c r="A187" s="509" t="s">
        <v>2193</v>
      </c>
      <c r="B187" s="509" t="s">
        <v>2194</v>
      </c>
      <c r="C187" s="510">
        <v>0</v>
      </c>
      <c r="D187" s="510">
        <v>-723.98</v>
      </c>
      <c r="E187" s="510">
        <v>275673.06</v>
      </c>
      <c r="F187" s="510">
        <v>274949.08</v>
      </c>
      <c r="G187" s="510">
        <v>0</v>
      </c>
    </row>
    <row r="188" spans="1:7" x14ac:dyDescent="0.25">
      <c r="A188" s="509" t="s">
        <v>2195</v>
      </c>
      <c r="B188" s="509" t="s">
        <v>2196</v>
      </c>
      <c r="C188" s="510">
        <v>0</v>
      </c>
      <c r="D188" s="510">
        <v>-145.59</v>
      </c>
      <c r="E188" s="510">
        <v>2224.16</v>
      </c>
      <c r="F188" s="510">
        <v>2078.5700000000002</v>
      </c>
      <c r="G188" s="510">
        <v>0</v>
      </c>
    </row>
    <row r="189" spans="1:7" x14ac:dyDescent="0.25">
      <c r="A189" s="509" t="s">
        <v>2197</v>
      </c>
      <c r="B189" s="509" t="s">
        <v>2198</v>
      </c>
      <c r="C189" s="510">
        <v>0</v>
      </c>
      <c r="D189" s="510">
        <v>-36.020000000000003</v>
      </c>
      <c r="E189" s="510">
        <v>15601.98</v>
      </c>
      <c r="F189" s="510">
        <v>15565.96</v>
      </c>
      <c r="G189" s="510">
        <v>0</v>
      </c>
    </row>
    <row r="190" spans="1:7" x14ac:dyDescent="0.25">
      <c r="A190" s="509" t="s">
        <v>2199</v>
      </c>
      <c r="B190" s="509" t="s">
        <v>2200</v>
      </c>
      <c r="C190" s="510">
        <v>0</v>
      </c>
      <c r="D190" s="510">
        <v>-17.21</v>
      </c>
      <c r="E190" s="510">
        <v>3407.58</v>
      </c>
      <c r="F190" s="510">
        <v>3390.37</v>
      </c>
      <c r="G190" s="510">
        <v>0</v>
      </c>
    </row>
    <row r="191" spans="1:7" x14ac:dyDescent="0.25">
      <c r="A191" s="509" t="s">
        <v>2201</v>
      </c>
      <c r="B191" s="509" t="s">
        <v>2202</v>
      </c>
      <c r="C191" s="510">
        <v>0</v>
      </c>
      <c r="D191" s="510">
        <v>-164.1</v>
      </c>
      <c r="E191" s="510">
        <v>857.34</v>
      </c>
      <c r="F191" s="510">
        <v>693.24</v>
      </c>
      <c r="G191" s="510">
        <v>0</v>
      </c>
    </row>
    <row r="192" spans="1:7" x14ac:dyDescent="0.25">
      <c r="A192" s="509" t="s">
        <v>2203</v>
      </c>
      <c r="B192" s="509" t="s">
        <v>2204</v>
      </c>
      <c r="C192" s="510">
        <v>0</v>
      </c>
      <c r="D192" s="510">
        <v>0</v>
      </c>
      <c r="E192" s="510">
        <v>0</v>
      </c>
      <c r="F192" s="510">
        <v>0</v>
      </c>
      <c r="G192" s="510">
        <v>0</v>
      </c>
    </row>
    <row r="193" spans="1:7" x14ac:dyDescent="0.25">
      <c r="A193" s="509" t="s">
        <v>2205</v>
      </c>
      <c r="B193" s="509" t="s">
        <v>2206</v>
      </c>
      <c r="C193" s="510">
        <v>0</v>
      </c>
      <c r="D193" s="510">
        <v>-1492</v>
      </c>
      <c r="E193" s="510">
        <v>1492</v>
      </c>
      <c r="F193" s="510">
        <v>0</v>
      </c>
      <c r="G193" s="510">
        <v>0</v>
      </c>
    </row>
    <row r="194" spans="1:7" x14ac:dyDescent="0.25">
      <c r="A194" s="509" t="s">
        <v>2207</v>
      </c>
      <c r="B194" s="509" t="s">
        <v>2208</v>
      </c>
      <c r="C194" s="510">
        <v>0</v>
      </c>
      <c r="D194" s="510">
        <v>518.76</v>
      </c>
      <c r="E194" s="510">
        <v>2593.8000000000002</v>
      </c>
      <c r="F194" s="510">
        <v>3112.56</v>
      </c>
      <c r="G194" s="510">
        <v>0</v>
      </c>
    </row>
    <row r="195" spans="1:7" x14ac:dyDescent="0.25">
      <c r="A195" s="509" t="s">
        <v>2209</v>
      </c>
      <c r="B195" s="509" t="s">
        <v>2210</v>
      </c>
      <c r="C195" s="510">
        <v>0</v>
      </c>
      <c r="D195" s="510">
        <v>0</v>
      </c>
      <c r="E195" s="510">
        <v>40356.19</v>
      </c>
      <c r="F195" s="510">
        <v>41115.629999999997</v>
      </c>
      <c r="G195" s="510">
        <v>-759.44</v>
      </c>
    </row>
    <row r="196" spans="1:7" x14ac:dyDescent="0.25">
      <c r="A196" s="509" t="s">
        <v>2211</v>
      </c>
      <c r="B196" s="509" t="s">
        <v>2212</v>
      </c>
      <c r="C196" s="510">
        <v>0</v>
      </c>
      <c r="D196" s="510">
        <v>-4.0999999999999996</v>
      </c>
      <c r="E196" s="510">
        <v>21.41</v>
      </c>
      <c r="F196" s="510">
        <v>17.309999999999999</v>
      </c>
      <c r="G196" s="510">
        <v>0</v>
      </c>
    </row>
    <row r="197" spans="1:7" x14ac:dyDescent="0.25">
      <c r="A197" s="509" t="s">
        <v>2213</v>
      </c>
      <c r="B197" s="509" t="s">
        <v>2214</v>
      </c>
      <c r="C197" s="510">
        <v>0</v>
      </c>
      <c r="D197" s="510">
        <v>0</v>
      </c>
      <c r="E197" s="510">
        <v>0</v>
      </c>
      <c r="F197" s="510">
        <v>0</v>
      </c>
      <c r="G197" s="510">
        <v>0</v>
      </c>
    </row>
    <row r="198" spans="1:7" x14ac:dyDescent="0.25">
      <c r="A198" s="509" t="s">
        <v>2215</v>
      </c>
      <c r="B198" s="509" t="s">
        <v>2216</v>
      </c>
      <c r="C198" s="510">
        <v>0</v>
      </c>
      <c r="D198" s="510">
        <v>-25.9</v>
      </c>
      <c r="E198" s="510">
        <v>336.7</v>
      </c>
      <c r="F198" s="510">
        <v>310.8</v>
      </c>
      <c r="G198" s="510">
        <v>0</v>
      </c>
    </row>
    <row r="199" spans="1:7" x14ac:dyDescent="0.25">
      <c r="A199" s="509" t="s">
        <v>2217</v>
      </c>
      <c r="B199" s="509" t="s">
        <v>2218</v>
      </c>
      <c r="C199" s="510">
        <v>0</v>
      </c>
      <c r="D199" s="510">
        <v>-182976.26</v>
      </c>
      <c r="E199" s="510">
        <v>0</v>
      </c>
      <c r="F199" s="510">
        <v>0</v>
      </c>
      <c r="G199" s="510">
        <v>-182976.26</v>
      </c>
    </row>
    <row r="200" spans="1:7" x14ac:dyDescent="0.25">
      <c r="A200" s="509" t="s">
        <v>2219</v>
      </c>
      <c r="B200" s="509" t="s">
        <v>2220</v>
      </c>
      <c r="C200" s="510">
        <v>0</v>
      </c>
      <c r="D200" s="510">
        <v>-654.78</v>
      </c>
      <c r="E200" s="510">
        <v>10066.91</v>
      </c>
      <c r="F200" s="510">
        <v>9412.1299999999992</v>
      </c>
      <c r="G200" s="510">
        <v>0</v>
      </c>
    </row>
    <row r="201" spans="1:7" x14ac:dyDescent="0.25">
      <c r="A201" s="509" t="s">
        <v>2221</v>
      </c>
      <c r="B201" s="509" t="s">
        <v>2222</v>
      </c>
      <c r="C201" s="510">
        <v>0</v>
      </c>
      <c r="D201" s="510">
        <v>-69358.33</v>
      </c>
      <c r="E201" s="510">
        <v>888162.16</v>
      </c>
      <c r="F201" s="510">
        <v>818803.83</v>
      </c>
      <c r="G201" s="510">
        <v>0</v>
      </c>
    </row>
    <row r="202" spans="1:7" x14ac:dyDescent="0.25">
      <c r="A202" s="509" t="s">
        <v>2223</v>
      </c>
      <c r="B202" s="509" t="s">
        <v>2224</v>
      </c>
      <c r="C202" s="510">
        <v>0</v>
      </c>
      <c r="D202" s="510">
        <v>-17117.78</v>
      </c>
      <c r="E202" s="510">
        <v>240517.95</v>
      </c>
      <c r="F202" s="510">
        <v>223400.17</v>
      </c>
      <c r="G202" s="510">
        <v>0</v>
      </c>
    </row>
    <row r="203" spans="1:7" x14ac:dyDescent="0.25">
      <c r="A203" s="509" t="s">
        <v>2225</v>
      </c>
      <c r="B203" s="509" t="s">
        <v>2226</v>
      </c>
      <c r="C203" s="510">
        <v>0</v>
      </c>
      <c r="D203" s="510">
        <v>-218.34</v>
      </c>
      <c r="E203" s="510">
        <v>5805.24</v>
      </c>
      <c r="F203" s="510">
        <v>5586.9</v>
      </c>
      <c r="G203" s="510">
        <v>0</v>
      </c>
    </row>
    <row r="204" spans="1:7" x14ac:dyDescent="0.25">
      <c r="A204" s="509" t="s">
        <v>2227</v>
      </c>
      <c r="B204" s="509" t="s">
        <v>2228</v>
      </c>
      <c r="C204" s="510">
        <v>0</v>
      </c>
      <c r="D204" s="510">
        <v>-85286.89</v>
      </c>
      <c r="E204" s="510">
        <v>26915.759999999998</v>
      </c>
      <c r="F204" s="510">
        <v>0</v>
      </c>
      <c r="G204" s="510">
        <v>-58371.13</v>
      </c>
    </row>
    <row r="205" spans="1:7" x14ac:dyDescent="0.25">
      <c r="A205" s="509" t="s">
        <v>847</v>
      </c>
      <c r="B205" s="509" t="s">
        <v>1120</v>
      </c>
      <c r="C205" s="510">
        <v>2335889</v>
      </c>
      <c r="D205" s="510">
        <v>0</v>
      </c>
      <c r="E205" s="510">
        <v>2411.17</v>
      </c>
      <c r="F205" s="510">
        <v>927357.77</v>
      </c>
      <c r="G205" s="510">
        <v>-924946.6</v>
      </c>
    </row>
    <row r="206" spans="1:7" x14ac:dyDescent="0.25">
      <c r="A206" s="509" t="s">
        <v>848</v>
      </c>
      <c r="B206" s="509" t="s">
        <v>1121</v>
      </c>
      <c r="C206" s="510">
        <v>594141</v>
      </c>
      <c r="D206" s="510">
        <v>0</v>
      </c>
      <c r="E206" s="510">
        <v>0</v>
      </c>
      <c r="F206" s="510">
        <v>394568.54</v>
      </c>
      <c r="G206" s="510">
        <v>-394568.54</v>
      </c>
    </row>
    <row r="207" spans="1:7" x14ac:dyDescent="0.25">
      <c r="A207" s="509" t="s">
        <v>849</v>
      </c>
      <c r="B207" s="509" t="s">
        <v>1122</v>
      </c>
      <c r="C207" s="510">
        <v>0</v>
      </c>
      <c r="D207" s="510">
        <v>0</v>
      </c>
      <c r="E207" s="510">
        <v>0</v>
      </c>
      <c r="F207" s="510">
        <v>0</v>
      </c>
      <c r="G207" s="510">
        <v>0</v>
      </c>
    </row>
    <row r="208" spans="1:7" x14ac:dyDescent="0.25">
      <c r="A208" s="509" t="s">
        <v>850</v>
      </c>
      <c r="B208" s="509" t="s">
        <v>1123</v>
      </c>
      <c r="C208" s="510">
        <v>1042548</v>
      </c>
      <c r="D208" s="510">
        <v>0</v>
      </c>
      <c r="E208" s="510">
        <v>1045</v>
      </c>
      <c r="F208" s="510">
        <v>553138.09</v>
      </c>
      <c r="G208" s="510">
        <v>-552093.09</v>
      </c>
    </row>
    <row r="209" spans="1:7" x14ac:dyDescent="0.25">
      <c r="A209" s="509" t="s">
        <v>851</v>
      </c>
      <c r="B209" s="509" t="s">
        <v>1124</v>
      </c>
      <c r="C209" s="510">
        <v>33122</v>
      </c>
      <c r="D209" s="510">
        <v>0</v>
      </c>
      <c r="E209" s="510">
        <v>0</v>
      </c>
      <c r="F209" s="510">
        <v>24719.05</v>
      </c>
      <c r="G209" s="510">
        <v>-24719.05</v>
      </c>
    </row>
    <row r="210" spans="1:7" x14ac:dyDescent="0.25">
      <c r="A210" s="509" t="s">
        <v>852</v>
      </c>
      <c r="B210" s="509" t="s">
        <v>1125</v>
      </c>
      <c r="C210" s="510">
        <v>0</v>
      </c>
      <c r="D210" s="510">
        <v>0</v>
      </c>
      <c r="E210" s="510">
        <v>0</v>
      </c>
      <c r="F210" s="510">
        <v>0</v>
      </c>
      <c r="G210" s="510">
        <v>0</v>
      </c>
    </row>
    <row r="211" spans="1:7" x14ac:dyDescent="0.25">
      <c r="A211" s="509" t="s">
        <v>853</v>
      </c>
      <c r="B211" s="509" t="s">
        <v>6</v>
      </c>
      <c r="C211" s="510">
        <v>87171</v>
      </c>
      <c r="D211" s="510">
        <v>0</v>
      </c>
      <c r="E211" s="510">
        <v>5213.28</v>
      </c>
      <c r="F211" s="510">
        <v>49070.64</v>
      </c>
      <c r="G211" s="510">
        <v>-43857.36</v>
      </c>
    </row>
    <row r="212" spans="1:7" x14ac:dyDescent="0.25">
      <c r="A212" s="509" t="s">
        <v>854</v>
      </c>
      <c r="B212" s="509" t="s">
        <v>855</v>
      </c>
      <c r="C212" s="510">
        <v>0</v>
      </c>
      <c r="D212" s="510">
        <v>0</v>
      </c>
      <c r="E212" s="510">
        <v>0</v>
      </c>
      <c r="F212" s="510">
        <v>0</v>
      </c>
      <c r="G212" s="510">
        <v>0</v>
      </c>
    </row>
    <row r="213" spans="1:7" x14ac:dyDescent="0.25">
      <c r="A213" s="509" t="s">
        <v>859</v>
      </c>
      <c r="B213" s="509" t="s">
        <v>1126</v>
      </c>
      <c r="C213" s="510">
        <v>25000</v>
      </c>
      <c r="D213" s="510">
        <v>0</v>
      </c>
      <c r="E213" s="510">
        <v>2053.86</v>
      </c>
      <c r="F213" s="510">
        <v>12912.45</v>
      </c>
      <c r="G213" s="510">
        <v>-10858.59</v>
      </c>
    </row>
    <row r="214" spans="1:7" x14ac:dyDescent="0.25">
      <c r="A214" s="509" t="s">
        <v>856</v>
      </c>
      <c r="B214" s="509" t="s">
        <v>8</v>
      </c>
      <c r="C214" s="510">
        <v>16605</v>
      </c>
      <c r="D214" s="510">
        <v>0</v>
      </c>
      <c r="E214" s="510">
        <v>0</v>
      </c>
      <c r="F214" s="510">
        <v>0</v>
      </c>
      <c r="G214" s="510">
        <v>0</v>
      </c>
    </row>
    <row r="215" spans="1:7" x14ac:dyDescent="0.25">
      <c r="A215" s="509" t="s">
        <v>857</v>
      </c>
      <c r="B215" s="509" t="s">
        <v>10</v>
      </c>
      <c r="C215" s="510">
        <v>21117</v>
      </c>
      <c r="D215" s="510">
        <v>0</v>
      </c>
      <c r="E215" s="510">
        <v>0</v>
      </c>
      <c r="F215" s="510">
        <v>11810.55</v>
      </c>
      <c r="G215" s="510">
        <v>-11810.55</v>
      </c>
    </row>
    <row r="216" spans="1:7" x14ac:dyDescent="0.25">
      <c r="A216" s="509" t="s">
        <v>858</v>
      </c>
      <c r="B216" s="509" t="s">
        <v>12</v>
      </c>
      <c r="C216" s="510">
        <v>0</v>
      </c>
      <c r="D216" s="510">
        <v>0</v>
      </c>
      <c r="E216" s="510">
        <v>0</v>
      </c>
      <c r="F216" s="510">
        <v>0</v>
      </c>
      <c r="G216" s="510">
        <v>0</v>
      </c>
    </row>
    <row r="217" spans="1:7" x14ac:dyDescent="0.25">
      <c r="A217" s="509" t="s">
        <v>870</v>
      </c>
      <c r="B217" s="509" t="s">
        <v>13</v>
      </c>
      <c r="C217" s="510">
        <v>13000</v>
      </c>
      <c r="D217" s="510">
        <v>0</v>
      </c>
      <c r="E217" s="510">
        <v>0</v>
      </c>
      <c r="F217" s="510">
        <v>6063.34</v>
      </c>
      <c r="G217" s="510">
        <v>-6063.34</v>
      </c>
    </row>
    <row r="218" spans="1:7" x14ac:dyDescent="0.25">
      <c r="A218" s="509" t="s">
        <v>2229</v>
      </c>
      <c r="B218" s="509" t="s">
        <v>2230</v>
      </c>
      <c r="C218" s="510">
        <v>0</v>
      </c>
      <c r="D218" s="510">
        <v>0</v>
      </c>
      <c r="E218" s="510">
        <v>0</v>
      </c>
      <c r="F218" s="510">
        <v>0</v>
      </c>
      <c r="G218" s="510">
        <v>0</v>
      </c>
    </row>
    <row r="219" spans="1:7" x14ac:dyDescent="0.25">
      <c r="A219" s="509" t="s">
        <v>871</v>
      </c>
      <c r="B219" s="509" t="s">
        <v>1127</v>
      </c>
      <c r="C219" s="510">
        <v>4000</v>
      </c>
      <c r="D219" s="510">
        <v>0</v>
      </c>
      <c r="E219" s="510">
        <v>0</v>
      </c>
      <c r="F219" s="510">
        <v>135.96</v>
      </c>
      <c r="G219" s="510">
        <v>-135.96</v>
      </c>
    </row>
    <row r="220" spans="1:7" x14ac:dyDescent="0.25">
      <c r="A220" s="509" t="s">
        <v>872</v>
      </c>
      <c r="B220" s="509" t="s">
        <v>15</v>
      </c>
      <c r="C220" s="510">
        <v>19500</v>
      </c>
      <c r="D220" s="510">
        <v>0</v>
      </c>
      <c r="E220" s="510">
        <v>1693</v>
      </c>
      <c r="F220" s="510">
        <v>11303.46</v>
      </c>
      <c r="G220" s="510">
        <v>-9610.4599999999991</v>
      </c>
    </row>
    <row r="221" spans="1:7" x14ac:dyDescent="0.25">
      <c r="A221" s="509" t="s">
        <v>944</v>
      </c>
      <c r="B221" s="509" t="s">
        <v>843</v>
      </c>
      <c r="C221" s="510">
        <v>40</v>
      </c>
      <c r="D221" s="510">
        <v>0</v>
      </c>
      <c r="E221" s="510">
        <v>0</v>
      </c>
      <c r="F221" s="510">
        <v>17.32</v>
      </c>
      <c r="G221" s="510">
        <v>-17.32</v>
      </c>
    </row>
    <row r="222" spans="1:7" x14ac:dyDescent="0.25">
      <c r="A222" s="509" t="s">
        <v>860</v>
      </c>
      <c r="B222" s="509" t="s">
        <v>16</v>
      </c>
      <c r="C222" s="510">
        <v>3000</v>
      </c>
      <c r="D222" s="510">
        <v>0</v>
      </c>
      <c r="E222" s="510">
        <v>0</v>
      </c>
      <c r="F222" s="510">
        <v>1320</v>
      </c>
      <c r="G222" s="510">
        <v>-1320</v>
      </c>
    </row>
    <row r="223" spans="1:7" x14ac:dyDescent="0.25">
      <c r="A223" s="509" t="s">
        <v>2231</v>
      </c>
      <c r="B223" s="509" t="s">
        <v>2232</v>
      </c>
      <c r="C223" s="510">
        <v>0</v>
      </c>
      <c r="D223" s="510">
        <v>0</v>
      </c>
      <c r="E223" s="510">
        <v>0</v>
      </c>
      <c r="F223" s="510">
        <v>0</v>
      </c>
      <c r="G223" s="510">
        <v>0</v>
      </c>
    </row>
    <row r="224" spans="1:7" x14ac:dyDescent="0.25">
      <c r="A224" s="509" t="s">
        <v>861</v>
      </c>
      <c r="B224" s="509" t="s">
        <v>17</v>
      </c>
      <c r="C224" s="510">
        <v>12325</v>
      </c>
      <c r="D224" s="510">
        <v>0</v>
      </c>
      <c r="E224" s="510">
        <v>0</v>
      </c>
      <c r="F224" s="510">
        <v>10786.57</v>
      </c>
      <c r="G224" s="510">
        <v>-10786.57</v>
      </c>
    </row>
    <row r="225" spans="1:7" x14ac:dyDescent="0.25">
      <c r="A225" s="509" t="s">
        <v>869</v>
      </c>
      <c r="B225" s="509" t="s">
        <v>18</v>
      </c>
      <c r="C225" s="510">
        <v>0</v>
      </c>
      <c r="D225" s="510">
        <v>0</v>
      </c>
      <c r="E225" s="510">
        <v>0</v>
      </c>
      <c r="F225" s="510">
        <v>0</v>
      </c>
      <c r="G225" s="510">
        <v>0</v>
      </c>
    </row>
    <row r="226" spans="1:7" x14ac:dyDescent="0.25">
      <c r="A226" s="509" t="s">
        <v>2233</v>
      </c>
      <c r="B226" s="509" t="s">
        <v>2234</v>
      </c>
      <c r="C226" s="510">
        <v>0</v>
      </c>
      <c r="D226" s="510">
        <v>0</v>
      </c>
      <c r="E226" s="510">
        <v>0</v>
      </c>
      <c r="F226" s="510">
        <v>0</v>
      </c>
      <c r="G226" s="510">
        <v>0</v>
      </c>
    </row>
    <row r="227" spans="1:7" x14ac:dyDescent="0.25">
      <c r="A227" s="509" t="s">
        <v>2235</v>
      </c>
      <c r="B227" s="509" t="s">
        <v>2236</v>
      </c>
      <c r="C227" s="510">
        <v>0</v>
      </c>
      <c r="D227" s="510">
        <v>0</v>
      </c>
      <c r="E227" s="510">
        <v>0</v>
      </c>
      <c r="F227" s="510">
        <v>0</v>
      </c>
      <c r="G227" s="510">
        <v>0</v>
      </c>
    </row>
    <row r="228" spans="1:7" x14ac:dyDescent="0.25">
      <c r="A228" s="509" t="s">
        <v>862</v>
      </c>
      <c r="B228" s="509" t="s">
        <v>19</v>
      </c>
      <c r="C228" s="510">
        <v>0</v>
      </c>
      <c r="D228" s="510">
        <v>0</v>
      </c>
      <c r="E228" s="510">
        <v>0</v>
      </c>
      <c r="F228" s="510">
        <v>0</v>
      </c>
      <c r="G228" s="510">
        <v>0</v>
      </c>
    </row>
    <row r="229" spans="1:7" x14ac:dyDescent="0.25">
      <c r="A229" s="509" t="s">
        <v>2237</v>
      </c>
      <c r="B229" s="509" t="s">
        <v>2238</v>
      </c>
      <c r="C229" s="510">
        <v>0</v>
      </c>
      <c r="D229" s="510">
        <v>0</v>
      </c>
      <c r="E229" s="510">
        <v>0</v>
      </c>
      <c r="F229" s="510">
        <v>0</v>
      </c>
      <c r="G229" s="510">
        <v>0</v>
      </c>
    </row>
    <row r="230" spans="1:7" x14ac:dyDescent="0.25">
      <c r="A230" s="509" t="s">
        <v>863</v>
      </c>
      <c r="B230" s="509" t="s">
        <v>1128</v>
      </c>
      <c r="C230" s="510">
        <v>3425</v>
      </c>
      <c r="D230" s="510">
        <v>0</v>
      </c>
      <c r="E230" s="510">
        <v>0</v>
      </c>
      <c r="F230" s="510">
        <v>0</v>
      </c>
      <c r="G230" s="510">
        <v>0</v>
      </c>
    </row>
    <row r="231" spans="1:7" x14ac:dyDescent="0.25">
      <c r="A231" s="509" t="s">
        <v>948</v>
      </c>
      <c r="B231" s="509" t="s">
        <v>1129</v>
      </c>
      <c r="C231" s="510">
        <v>3125</v>
      </c>
      <c r="D231" s="510">
        <v>0</v>
      </c>
      <c r="E231" s="510">
        <v>0</v>
      </c>
      <c r="F231" s="510">
        <v>0</v>
      </c>
      <c r="G231" s="510">
        <v>0</v>
      </c>
    </row>
    <row r="232" spans="1:7" x14ac:dyDescent="0.25">
      <c r="A232" s="509" t="s">
        <v>864</v>
      </c>
      <c r="B232" s="509" t="s">
        <v>181</v>
      </c>
      <c r="C232" s="510">
        <v>0</v>
      </c>
      <c r="D232" s="510">
        <v>0</v>
      </c>
      <c r="E232" s="510">
        <v>0</v>
      </c>
      <c r="F232" s="510">
        <v>0</v>
      </c>
      <c r="G232" s="510">
        <v>0</v>
      </c>
    </row>
    <row r="233" spans="1:7" x14ac:dyDescent="0.25">
      <c r="A233" s="509" t="s">
        <v>2239</v>
      </c>
      <c r="B233" s="509" t="s">
        <v>2240</v>
      </c>
      <c r="C233" s="510">
        <v>0</v>
      </c>
      <c r="D233" s="510">
        <v>0</v>
      </c>
      <c r="E233" s="510">
        <v>0</v>
      </c>
      <c r="F233" s="510">
        <v>0</v>
      </c>
      <c r="G233" s="510">
        <v>0</v>
      </c>
    </row>
    <row r="234" spans="1:7" x14ac:dyDescent="0.25">
      <c r="A234" s="509" t="s">
        <v>865</v>
      </c>
      <c r="B234" s="509" t="s">
        <v>21</v>
      </c>
      <c r="C234" s="510">
        <v>0</v>
      </c>
      <c r="D234" s="510">
        <v>0</v>
      </c>
      <c r="E234" s="510">
        <v>0</v>
      </c>
      <c r="F234" s="510">
        <v>0</v>
      </c>
      <c r="G234" s="510">
        <v>0</v>
      </c>
    </row>
    <row r="235" spans="1:7" x14ac:dyDescent="0.25">
      <c r="A235" s="509" t="s">
        <v>2241</v>
      </c>
      <c r="B235" s="509" t="s">
        <v>2242</v>
      </c>
      <c r="C235" s="510">
        <v>0</v>
      </c>
      <c r="D235" s="510">
        <v>0</v>
      </c>
      <c r="E235" s="510">
        <v>0</v>
      </c>
      <c r="F235" s="510">
        <v>0</v>
      </c>
      <c r="G235" s="510">
        <v>0</v>
      </c>
    </row>
    <row r="236" spans="1:7" x14ac:dyDescent="0.25">
      <c r="A236" s="509" t="s">
        <v>1130</v>
      </c>
      <c r="B236" s="509" t="s">
        <v>1131</v>
      </c>
      <c r="C236" s="510">
        <v>52037.14</v>
      </c>
      <c r="D236" s="510">
        <v>0</v>
      </c>
      <c r="E236" s="510">
        <v>0</v>
      </c>
      <c r="F236" s="510">
        <v>26915.759999999998</v>
      </c>
      <c r="G236" s="510">
        <v>-26915.759999999998</v>
      </c>
    </row>
    <row r="237" spans="1:7" x14ac:dyDescent="0.25">
      <c r="A237" s="509" t="s">
        <v>2243</v>
      </c>
      <c r="B237" s="509" t="s">
        <v>2244</v>
      </c>
      <c r="C237" s="510">
        <v>0</v>
      </c>
      <c r="D237" s="510">
        <v>0</v>
      </c>
      <c r="E237" s="510">
        <v>0</v>
      </c>
      <c r="F237" s="510">
        <v>0</v>
      </c>
      <c r="G237" s="510">
        <v>0</v>
      </c>
    </row>
    <row r="238" spans="1:7" x14ac:dyDescent="0.25">
      <c r="A238" s="509" t="s">
        <v>868</v>
      </c>
      <c r="B238" s="509" t="s">
        <v>32</v>
      </c>
      <c r="C238" s="510">
        <v>0</v>
      </c>
      <c r="D238" s="510">
        <v>0</v>
      </c>
      <c r="E238" s="510">
        <v>0</v>
      </c>
      <c r="F238" s="510">
        <v>0</v>
      </c>
      <c r="G238" s="510">
        <v>0</v>
      </c>
    </row>
    <row r="239" spans="1:7" x14ac:dyDescent="0.25">
      <c r="A239" s="509" t="s">
        <v>2245</v>
      </c>
      <c r="B239" s="509" t="s">
        <v>2246</v>
      </c>
      <c r="C239" s="510">
        <v>0</v>
      </c>
      <c r="D239" s="510">
        <v>0</v>
      </c>
      <c r="E239" s="510">
        <v>0</v>
      </c>
      <c r="F239" s="510">
        <v>0</v>
      </c>
      <c r="G239" s="510">
        <v>0</v>
      </c>
    </row>
    <row r="240" spans="1:7" x14ac:dyDescent="0.25">
      <c r="A240" s="509" t="s">
        <v>866</v>
      </c>
      <c r="B240" s="509" t="s">
        <v>867</v>
      </c>
      <c r="C240" s="510">
        <v>0</v>
      </c>
      <c r="D240" s="510">
        <v>0</v>
      </c>
      <c r="E240" s="510">
        <v>0</v>
      </c>
      <c r="F240" s="510">
        <v>0</v>
      </c>
      <c r="G240" s="510">
        <v>0</v>
      </c>
    </row>
    <row r="241" spans="1:7" x14ac:dyDescent="0.25">
      <c r="A241" s="509" t="s">
        <v>2247</v>
      </c>
      <c r="B241" s="509" t="s">
        <v>2248</v>
      </c>
      <c r="C241" s="510">
        <v>0</v>
      </c>
      <c r="D241" s="510">
        <v>0</v>
      </c>
      <c r="E241" s="510">
        <v>0</v>
      </c>
      <c r="F241" s="510">
        <v>0</v>
      </c>
      <c r="G241" s="510">
        <v>0</v>
      </c>
    </row>
    <row r="242" spans="1:7" x14ac:dyDescent="0.25">
      <c r="A242" s="509" t="s">
        <v>666</v>
      </c>
      <c r="B242" s="509" t="s">
        <v>665</v>
      </c>
      <c r="C242" s="510">
        <v>302296</v>
      </c>
      <c r="D242" s="510">
        <v>0</v>
      </c>
      <c r="E242" s="510">
        <v>142466.4</v>
      </c>
      <c r="F242" s="510">
        <v>11240.76</v>
      </c>
      <c r="G242" s="510">
        <v>131225.64000000001</v>
      </c>
    </row>
    <row r="243" spans="1:7" x14ac:dyDescent="0.25">
      <c r="A243" s="509" t="s">
        <v>668</v>
      </c>
      <c r="B243" s="509" t="s">
        <v>667</v>
      </c>
      <c r="C243" s="510">
        <v>0</v>
      </c>
      <c r="D243" s="510">
        <v>0</v>
      </c>
      <c r="E243" s="510">
        <v>0</v>
      </c>
      <c r="F243" s="510">
        <v>0</v>
      </c>
      <c r="G243" s="510">
        <v>0</v>
      </c>
    </row>
    <row r="244" spans="1:7" x14ac:dyDescent="0.25">
      <c r="A244" s="509" t="s">
        <v>652</v>
      </c>
      <c r="B244" s="509" t="s">
        <v>37</v>
      </c>
      <c r="C244" s="510">
        <v>5329.04</v>
      </c>
      <c r="D244" s="510">
        <v>0</v>
      </c>
      <c r="E244" s="510">
        <v>3499.14</v>
      </c>
      <c r="F244" s="510">
        <v>102.78</v>
      </c>
      <c r="G244" s="510">
        <v>3396.36</v>
      </c>
    </row>
    <row r="245" spans="1:7" x14ac:dyDescent="0.25">
      <c r="A245" s="509" t="s">
        <v>660</v>
      </c>
      <c r="B245" s="509" t="s">
        <v>1076</v>
      </c>
      <c r="C245" s="510">
        <v>0</v>
      </c>
      <c r="D245" s="510">
        <v>0</v>
      </c>
      <c r="E245" s="510">
        <v>0</v>
      </c>
      <c r="F245" s="510">
        <v>0</v>
      </c>
      <c r="G245" s="510">
        <v>0</v>
      </c>
    </row>
    <row r="246" spans="1:7" x14ac:dyDescent="0.25">
      <c r="A246" s="509" t="s">
        <v>635</v>
      </c>
      <c r="B246" s="509" t="s">
        <v>153</v>
      </c>
      <c r="C246" s="510">
        <v>17480</v>
      </c>
      <c r="D246" s="510">
        <v>0</v>
      </c>
      <c r="E246" s="510">
        <v>7437.18</v>
      </c>
      <c r="F246" s="510">
        <v>669.85</v>
      </c>
      <c r="G246" s="510">
        <v>6767.33</v>
      </c>
    </row>
    <row r="247" spans="1:7" x14ac:dyDescent="0.25">
      <c r="A247" s="509" t="s">
        <v>646</v>
      </c>
      <c r="B247" s="509" t="s">
        <v>154</v>
      </c>
      <c r="C247" s="510">
        <v>4460</v>
      </c>
      <c r="D247" s="510">
        <v>0</v>
      </c>
      <c r="E247" s="510">
        <v>2068.5700000000002</v>
      </c>
      <c r="F247" s="510">
        <v>156.62</v>
      </c>
      <c r="G247" s="510">
        <v>1911.95</v>
      </c>
    </row>
    <row r="248" spans="1:7" x14ac:dyDescent="0.25">
      <c r="A248" s="509" t="s">
        <v>647</v>
      </c>
      <c r="B248" s="509" t="s">
        <v>38</v>
      </c>
      <c r="C248" s="510">
        <v>57555</v>
      </c>
      <c r="D248" s="510">
        <v>0</v>
      </c>
      <c r="E248" s="510">
        <v>24852.42</v>
      </c>
      <c r="F248" s="510">
        <v>16354.42</v>
      </c>
      <c r="G248" s="510">
        <v>8498</v>
      </c>
    </row>
    <row r="249" spans="1:7" x14ac:dyDescent="0.25">
      <c r="A249" s="509" t="s">
        <v>631</v>
      </c>
      <c r="B249" s="509" t="s">
        <v>77</v>
      </c>
      <c r="C249" s="510">
        <v>3548</v>
      </c>
      <c r="D249" s="510">
        <v>0</v>
      </c>
      <c r="E249" s="510">
        <v>1281.97</v>
      </c>
      <c r="F249" s="510">
        <v>28.34</v>
      </c>
      <c r="G249" s="510">
        <v>1253.6300000000001</v>
      </c>
    </row>
    <row r="250" spans="1:7" x14ac:dyDescent="0.25">
      <c r="A250" s="509" t="s">
        <v>664</v>
      </c>
      <c r="B250" s="509" t="s">
        <v>78</v>
      </c>
      <c r="C250" s="510">
        <v>659</v>
      </c>
      <c r="D250" s="510">
        <v>0</v>
      </c>
      <c r="E250" s="510">
        <v>349.54</v>
      </c>
      <c r="F250" s="510">
        <v>0</v>
      </c>
      <c r="G250" s="510">
        <v>349.54</v>
      </c>
    </row>
    <row r="251" spans="1:7" x14ac:dyDescent="0.25">
      <c r="A251" s="509" t="s">
        <v>669</v>
      </c>
      <c r="B251" s="509" t="s">
        <v>893</v>
      </c>
      <c r="C251" s="510">
        <v>3167</v>
      </c>
      <c r="D251" s="510">
        <v>0</v>
      </c>
      <c r="E251" s="510">
        <v>1205.1199999999999</v>
      </c>
      <c r="F251" s="510">
        <v>71.540000000000006</v>
      </c>
      <c r="G251" s="510">
        <v>1133.58</v>
      </c>
    </row>
    <row r="252" spans="1:7" x14ac:dyDescent="0.25">
      <c r="A252" s="509" t="s">
        <v>644</v>
      </c>
      <c r="B252" s="509" t="s">
        <v>2249</v>
      </c>
      <c r="C252" s="510">
        <v>1121</v>
      </c>
      <c r="D252" s="510">
        <v>0</v>
      </c>
      <c r="E252" s="510">
        <v>668.66</v>
      </c>
      <c r="F252" s="510">
        <v>188.59</v>
      </c>
      <c r="G252" s="510">
        <v>480.07</v>
      </c>
    </row>
    <row r="253" spans="1:7" x14ac:dyDescent="0.25">
      <c r="A253" s="509" t="s">
        <v>2250</v>
      </c>
      <c r="B253" s="509" t="s">
        <v>64</v>
      </c>
      <c r="C253" s="510">
        <v>0</v>
      </c>
      <c r="D253" s="510">
        <v>0</v>
      </c>
      <c r="E253" s="510">
        <v>0</v>
      </c>
      <c r="F253" s="510">
        <v>0</v>
      </c>
      <c r="G253" s="510">
        <v>0</v>
      </c>
    </row>
    <row r="254" spans="1:7" x14ac:dyDescent="0.25">
      <c r="A254" s="509" t="s">
        <v>2251</v>
      </c>
      <c r="B254" s="509" t="s">
        <v>65</v>
      </c>
      <c r="C254" s="510">
        <v>0</v>
      </c>
      <c r="D254" s="510">
        <v>0</v>
      </c>
      <c r="E254" s="510">
        <v>0</v>
      </c>
      <c r="F254" s="510">
        <v>0</v>
      </c>
      <c r="G254" s="510">
        <v>0</v>
      </c>
    </row>
    <row r="255" spans="1:7" x14ac:dyDescent="0.25">
      <c r="A255" s="509" t="s">
        <v>661</v>
      </c>
      <c r="B255" s="509" t="s">
        <v>40</v>
      </c>
      <c r="C255" s="510">
        <v>1096</v>
      </c>
      <c r="D255" s="510">
        <v>0</v>
      </c>
      <c r="E255" s="510">
        <v>44.86</v>
      </c>
      <c r="F255" s="510">
        <v>25.47</v>
      </c>
      <c r="G255" s="510">
        <v>19.39</v>
      </c>
    </row>
    <row r="256" spans="1:7" x14ac:dyDescent="0.25">
      <c r="A256" s="509" t="s">
        <v>634</v>
      </c>
      <c r="B256" s="509" t="s">
        <v>41</v>
      </c>
      <c r="C256" s="510">
        <v>24</v>
      </c>
      <c r="D256" s="510">
        <v>0</v>
      </c>
      <c r="E256" s="510">
        <v>0.86</v>
      </c>
      <c r="F256" s="510">
        <v>0.6</v>
      </c>
      <c r="G256" s="510">
        <v>0.26</v>
      </c>
    </row>
    <row r="257" spans="1:7" x14ac:dyDescent="0.25">
      <c r="A257" s="509" t="s">
        <v>626</v>
      </c>
      <c r="B257" s="509" t="s">
        <v>155</v>
      </c>
      <c r="C257" s="510">
        <v>2088</v>
      </c>
      <c r="D257" s="510">
        <v>0</v>
      </c>
      <c r="E257" s="510">
        <v>875</v>
      </c>
      <c r="F257" s="510">
        <v>150</v>
      </c>
      <c r="G257" s="510">
        <v>725</v>
      </c>
    </row>
    <row r="258" spans="1:7" x14ac:dyDescent="0.25">
      <c r="A258" s="509" t="s">
        <v>632</v>
      </c>
      <c r="B258" s="509" t="s">
        <v>42</v>
      </c>
      <c r="C258" s="510">
        <v>917</v>
      </c>
      <c r="D258" s="510">
        <v>0</v>
      </c>
      <c r="E258" s="510">
        <v>354.85</v>
      </c>
      <c r="F258" s="510">
        <v>19.11</v>
      </c>
      <c r="G258" s="510">
        <v>335.74</v>
      </c>
    </row>
    <row r="259" spans="1:7" x14ac:dyDescent="0.25">
      <c r="A259" s="509" t="s">
        <v>624</v>
      </c>
      <c r="B259" s="509" t="s">
        <v>2252</v>
      </c>
      <c r="C259" s="510">
        <v>26725</v>
      </c>
      <c r="D259" s="510">
        <v>0</v>
      </c>
      <c r="E259" s="510">
        <v>11091.22</v>
      </c>
      <c r="F259" s="510">
        <v>897.2</v>
      </c>
      <c r="G259" s="510">
        <v>10194.02</v>
      </c>
    </row>
    <row r="260" spans="1:7" x14ac:dyDescent="0.25">
      <c r="A260" s="509" t="s">
        <v>625</v>
      </c>
      <c r="B260" s="509" t="s">
        <v>44</v>
      </c>
      <c r="C260" s="510">
        <v>22077</v>
      </c>
      <c r="D260" s="510">
        <v>0</v>
      </c>
      <c r="E260" s="510">
        <v>9200.81</v>
      </c>
      <c r="F260" s="510">
        <v>740.46</v>
      </c>
      <c r="G260" s="510">
        <v>8460.35</v>
      </c>
    </row>
    <row r="261" spans="1:7" x14ac:dyDescent="0.25">
      <c r="A261" s="509" t="s">
        <v>651</v>
      </c>
      <c r="B261" s="509" t="s">
        <v>183</v>
      </c>
      <c r="C261" s="510">
        <v>15370</v>
      </c>
      <c r="D261" s="510">
        <v>0</v>
      </c>
      <c r="E261" s="510">
        <v>0</v>
      </c>
      <c r="F261" s="510">
        <v>0</v>
      </c>
      <c r="G261" s="510">
        <v>0</v>
      </c>
    </row>
    <row r="262" spans="1:7" x14ac:dyDescent="0.25">
      <c r="A262" s="509" t="s">
        <v>2253</v>
      </c>
      <c r="B262" s="509" t="s">
        <v>2254</v>
      </c>
      <c r="C262" s="510">
        <v>0</v>
      </c>
      <c r="D262" s="510">
        <v>0</v>
      </c>
      <c r="E262" s="510">
        <v>369.67</v>
      </c>
      <c r="F262" s="510">
        <v>28.81</v>
      </c>
      <c r="G262" s="510">
        <v>340.86</v>
      </c>
    </row>
    <row r="263" spans="1:7" x14ac:dyDescent="0.25">
      <c r="A263" s="509" t="s">
        <v>2255</v>
      </c>
      <c r="B263" s="509" t="s">
        <v>2256</v>
      </c>
      <c r="C263" s="510">
        <v>0</v>
      </c>
      <c r="D263" s="510">
        <v>0</v>
      </c>
      <c r="E263" s="510">
        <v>470.6</v>
      </c>
      <c r="F263" s="510">
        <v>36.67</v>
      </c>
      <c r="G263" s="510">
        <v>433.93</v>
      </c>
    </row>
    <row r="264" spans="1:7" x14ac:dyDescent="0.25">
      <c r="A264" s="509" t="s">
        <v>1078</v>
      </c>
      <c r="B264" s="509" t="s">
        <v>1079</v>
      </c>
      <c r="C264" s="510">
        <v>38228.959999999999</v>
      </c>
      <c r="D264" s="510">
        <v>0</v>
      </c>
      <c r="E264" s="510">
        <v>37434.589999999997</v>
      </c>
      <c r="F264" s="510">
        <v>0</v>
      </c>
      <c r="G264" s="510">
        <v>37434.589999999997</v>
      </c>
    </row>
    <row r="265" spans="1:7" x14ac:dyDescent="0.25">
      <c r="A265" s="509" t="s">
        <v>643</v>
      </c>
      <c r="B265" s="509" t="s">
        <v>156</v>
      </c>
      <c r="C265" s="510">
        <v>27550</v>
      </c>
      <c r="D265" s="510">
        <v>0</v>
      </c>
      <c r="E265" s="510">
        <v>14947.67</v>
      </c>
      <c r="F265" s="510">
        <v>0</v>
      </c>
      <c r="G265" s="510">
        <v>14947.67</v>
      </c>
    </row>
    <row r="266" spans="1:7" x14ac:dyDescent="0.25">
      <c r="A266" s="509" t="s">
        <v>2257</v>
      </c>
      <c r="B266" s="509" t="s">
        <v>2258</v>
      </c>
      <c r="C266" s="510">
        <v>0</v>
      </c>
      <c r="D266" s="510">
        <v>0</v>
      </c>
      <c r="E266" s="510">
        <v>0</v>
      </c>
      <c r="F266" s="510">
        <v>0</v>
      </c>
      <c r="G266" s="510">
        <v>0</v>
      </c>
    </row>
    <row r="267" spans="1:7" x14ac:dyDescent="0.25">
      <c r="A267" s="509" t="s">
        <v>2259</v>
      </c>
      <c r="B267" s="509" t="s">
        <v>2260</v>
      </c>
      <c r="C267" s="510">
        <v>0</v>
      </c>
      <c r="D267" s="510">
        <v>0</v>
      </c>
      <c r="E267" s="510">
        <v>0</v>
      </c>
      <c r="F267" s="510">
        <v>0</v>
      </c>
      <c r="G267" s="510">
        <v>0</v>
      </c>
    </row>
    <row r="268" spans="1:7" x14ac:dyDescent="0.25">
      <c r="A268" s="509" t="s">
        <v>657</v>
      </c>
      <c r="B268" s="509" t="s">
        <v>157</v>
      </c>
      <c r="C268" s="510">
        <v>7250</v>
      </c>
      <c r="D268" s="510">
        <v>0</v>
      </c>
      <c r="E268" s="510">
        <v>2460.6</v>
      </c>
      <c r="F268" s="510">
        <v>0</v>
      </c>
      <c r="G268" s="510">
        <v>2460.6</v>
      </c>
    </row>
    <row r="269" spans="1:7" x14ac:dyDescent="0.25">
      <c r="A269" s="509" t="s">
        <v>617</v>
      </c>
      <c r="B269" s="509" t="s">
        <v>158</v>
      </c>
      <c r="C269" s="510">
        <v>1740</v>
      </c>
      <c r="D269" s="510">
        <v>0</v>
      </c>
      <c r="E269" s="510">
        <v>869.7</v>
      </c>
      <c r="F269" s="510">
        <v>0</v>
      </c>
      <c r="G269" s="510">
        <v>869.7</v>
      </c>
    </row>
    <row r="270" spans="1:7" x14ac:dyDescent="0.25">
      <c r="A270" s="509" t="s">
        <v>2261</v>
      </c>
      <c r="B270" s="509" t="s">
        <v>846</v>
      </c>
      <c r="C270" s="510">
        <v>0</v>
      </c>
      <c r="D270" s="510">
        <v>0</v>
      </c>
      <c r="E270" s="510">
        <v>0</v>
      </c>
      <c r="F270" s="510">
        <v>0</v>
      </c>
      <c r="G270" s="510">
        <v>0</v>
      </c>
    </row>
    <row r="271" spans="1:7" x14ac:dyDescent="0.25">
      <c r="A271" s="509" t="s">
        <v>1059</v>
      </c>
      <c r="B271" s="509" t="s">
        <v>1073</v>
      </c>
      <c r="C271" s="510">
        <v>0</v>
      </c>
      <c r="D271" s="510">
        <v>0</v>
      </c>
      <c r="E271" s="510">
        <v>0</v>
      </c>
      <c r="F271" s="510">
        <v>0</v>
      </c>
      <c r="G271" s="510">
        <v>0</v>
      </c>
    </row>
    <row r="272" spans="1:7" x14ac:dyDescent="0.25">
      <c r="A272" s="509" t="s">
        <v>2262</v>
      </c>
      <c r="B272" s="509" t="s">
        <v>2263</v>
      </c>
      <c r="C272" s="510">
        <v>0</v>
      </c>
      <c r="D272" s="510">
        <v>0</v>
      </c>
      <c r="E272" s="510">
        <v>0</v>
      </c>
      <c r="F272" s="510">
        <v>0</v>
      </c>
      <c r="G272" s="510">
        <v>0</v>
      </c>
    </row>
    <row r="273" spans="1:7" x14ac:dyDescent="0.25">
      <c r="A273" s="509" t="s">
        <v>649</v>
      </c>
      <c r="B273" s="509" t="s">
        <v>159</v>
      </c>
      <c r="C273" s="510">
        <v>4350</v>
      </c>
      <c r="D273" s="510">
        <v>0</v>
      </c>
      <c r="E273" s="510">
        <v>1902.47</v>
      </c>
      <c r="F273" s="510">
        <v>0</v>
      </c>
      <c r="G273" s="510">
        <v>1902.47</v>
      </c>
    </row>
    <row r="274" spans="1:7" x14ac:dyDescent="0.25">
      <c r="A274" s="509" t="s">
        <v>623</v>
      </c>
      <c r="B274" s="509" t="s">
        <v>160</v>
      </c>
      <c r="C274" s="510">
        <v>1305</v>
      </c>
      <c r="D274" s="510">
        <v>0</v>
      </c>
      <c r="E274" s="510">
        <v>4697.3999999999996</v>
      </c>
      <c r="F274" s="510">
        <v>0</v>
      </c>
      <c r="G274" s="510">
        <v>4697.3999999999996</v>
      </c>
    </row>
    <row r="275" spans="1:7" x14ac:dyDescent="0.25">
      <c r="A275" s="509" t="s">
        <v>662</v>
      </c>
      <c r="B275" s="509" t="s">
        <v>161</v>
      </c>
      <c r="C275" s="510">
        <v>1856</v>
      </c>
      <c r="D275" s="510">
        <v>0</v>
      </c>
      <c r="E275" s="510">
        <v>922.67</v>
      </c>
      <c r="F275" s="510">
        <v>0</v>
      </c>
      <c r="G275" s="510">
        <v>922.67</v>
      </c>
    </row>
    <row r="276" spans="1:7" x14ac:dyDescent="0.25">
      <c r="A276" s="509" t="s">
        <v>616</v>
      </c>
      <c r="B276" s="509" t="s">
        <v>162</v>
      </c>
      <c r="C276" s="510">
        <v>725</v>
      </c>
      <c r="D276" s="510">
        <v>0</v>
      </c>
      <c r="E276" s="510">
        <v>342.02</v>
      </c>
      <c r="F276" s="510">
        <v>44.76</v>
      </c>
      <c r="G276" s="510">
        <v>297.26</v>
      </c>
    </row>
    <row r="277" spans="1:7" x14ac:dyDescent="0.25">
      <c r="A277" s="509" t="s">
        <v>654</v>
      </c>
      <c r="B277" s="509" t="s">
        <v>83</v>
      </c>
      <c r="C277" s="510">
        <v>13050</v>
      </c>
      <c r="D277" s="510">
        <v>0</v>
      </c>
      <c r="E277" s="510">
        <v>6018.81</v>
      </c>
      <c r="F277" s="510">
        <v>65.22</v>
      </c>
      <c r="G277" s="510">
        <v>5953.59</v>
      </c>
    </row>
    <row r="278" spans="1:7" x14ac:dyDescent="0.25">
      <c r="A278" s="509" t="s">
        <v>658</v>
      </c>
      <c r="B278" s="509" t="s">
        <v>163</v>
      </c>
      <c r="C278" s="510">
        <v>7540</v>
      </c>
      <c r="D278" s="510">
        <v>0</v>
      </c>
      <c r="E278" s="510">
        <v>3909.83</v>
      </c>
      <c r="F278" s="510">
        <v>0</v>
      </c>
      <c r="G278" s="510">
        <v>3909.83</v>
      </c>
    </row>
    <row r="279" spans="1:7" x14ac:dyDescent="0.25">
      <c r="A279" s="509" t="s">
        <v>2264</v>
      </c>
      <c r="B279" s="509" t="s">
        <v>2265</v>
      </c>
      <c r="C279" s="510">
        <v>0</v>
      </c>
      <c r="D279" s="510">
        <v>0</v>
      </c>
      <c r="E279" s="510">
        <v>0</v>
      </c>
      <c r="F279" s="510">
        <v>0</v>
      </c>
      <c r="G279" s="510">
        <v>0</v>
      </c>
    </row>
    <row r="280" spans="1:7" x14ac:dyDescent="0.25">
      <c r="A280" s="509" t="s">
        <v>655</v>
      </c>
      <c r="B280" s="509" t="s">
        <v>70</v>
      </c>
      <c r="C280" s="510">
        <v>16820</v>
      </c>
      <c r="D280" s="510">
        <v>0</v>
      </c>
      <c r="E280" s="510">
        <v>7048.44</v>
      </c>
      <c r="F280" s="510">
        <v>20.65</v>
      </c>
      <c r="G280" s="510">
        <v>7027.79</v>
      </c>
    </row>
    <row r="281" spans="1:7" x14ac:dyDescent="0.25">
      <c r="A281" s="509" t="s">
        <v>656</v>
      </c>
      <c r="B281" s="509" t="s">
        <v>47</v>
      </c>
      <c r="C281" s="510">
        <v>1450</v>
      </c>
      <c r="D281" s="510">
        <v>0</v>
      </c>
      <c r="E281" s="510">
        <v>1593.65</v>
      </c>
      <c r="F281" s="510">
        <v>170</v>
      </c>
      <c r="G281" s="510">
        <v>1423.65</v>
      </c>
    </row>
    <row r="282" spans="1:7" x14ac:dyDescent="0.25">
      <c r="A282" s="509" t="s">
        <v>650</v>
      </c>
      <c r="B282" s="509" t="s">
        <v>48</v>
      </c>
      <c r="C282" s="510">
        <v>2175</v>
      </c>
      <c r="D282" s="510">
        <v>0</v>
      </c>
      <c r="E282" s="510">
        <v>805.93</v>
      </c>
      <c r="F282" s="510">
        <v>546.5</v>
      </c>
      <c r="G282" s="510">
        <v>259.43</v>
      </c>
    </row>
    <row r="283" spans="1:7" x14ac:dyDescent="0.25">
      <c r="A283" s="509" t="s">
        <v>636</v>
      </c>
      <c r="B283" s="509" t="s">
        <v>49</v>
      </c>
      <c r="C283" s="510">
        <v>5800</v>
      </c>
      <c r="D283" s="510">
        <v>0</v>
      </c>
      <c r="E283" s="510">
        <v>1424.84</v>
      </c>
      <c r="F283" s="510">
        <v>0</v>
      </c>
      <c r="G283" s="510">
        <v>1424.84</v>
      </c>
    </row>
    <row r="284" spans="1:7" x14ac:dyDescent="0.25">
      <c r="A284" s="509" t="s">
        <v>627</v>
      </c>
      <c r="B284" s="509" t="s">
        <v>50</v>
      </c>
      <c r="C284" s="510">
        <v>8120</v>
      </c>
      <c r="D284" s="510">
        <v>0</v>
      </c>
      <c r="E284" s="510">
        <v>2508.6999999999998</v>
      </c>
      <c r="F284" s="510">
        <v>0</v>
      </c>
      <c r="G284" s="510">
        <v>2508.6999999999998</v>
      </c>
    </row>
    <row r="285" spans="1:7" x14ac:dyDescent="0.25">
      <c r="A285" s="509" t="s">
        <v>1060</v>
      </c>
      <c r="B285" s="509" t="s">
        <v>1061</v>
      </c>
      <c r="C285" s="510">
        <v>8700</v>
      </c>
      <c r="D285" s="510">
        <v>0</v>
      </c>
      <c r="E285" s="510">
        <v>4206.49</v>
      </c>
      <c r="F285" s="510">
        <v>0</v>
      </c>
      <c r="G285" s="510">
        <v>4206.49</v>
      </c>
    </row>
    <row r="286" spans="1:7" x14ac:dyDescent="0.25">
      <c r="A286" s="509" t="s">
        <v>615</v>
      </c>
      <c r="B286" s="509" t="s">
        <v>51</v>
      </c>
      <c r="C286" s="510">
        <v>3480</v>
      </c>
      <c r="D286" s="510">
        <v>0</v>
      </c>
      <c r="E286" s="510">
        <v>1095.3</v>
      </c>
      <c r="F286" s="510">
        <v>0</v>
      </c>
      <c r="G286" s="510">
        <v>1095.3</v>
      </c>
    </row>
    <row r="287" spans="1:7" x14ac:dyDescent="0.25">
      <c r="A287" s="509" t="s">
        <v>645</v>
      </c>
      <c r="B287" s="509" t="s">
        <v>164</v>
      </c>
      <c r="C287" s="510">
        <v>17400</v>
      </c>
      <c r="D287" s="510">
        <v>0</v>
      </c>
      <c r="E287" s="510">
        <v>10374.75</v>
      </c>
      <c r="F287" s="510">
        <v>0</v>
      </c>
      <c r="G287" s="510">
        <v>10374.75</v>
      </c>
    </row>
    <row r="288" spans="1:7" x14ac:dyDescent="0.25">
      <c r="A288" s="509" t="s">
        <v>637</v>
      </c>
      <c r="B288" s="509" t="s">
        <v>165</v>
      </c>
      <c r="C288" s="510">
        <v>1740</v>
      </c>
      <c r="D288" s="510">
        <v>0</v>
      </c>
      <c r="E288" s="510">
        <v>546.71</v>
      </c>
      <c r="F288" s="510">
        <v>24.22</v>
      </c>
      <c r="G288" s="510">
        <v>522.49</v>
      </c>
    </row>
    <row r="289" spans="1:7" x14ac:dyDescent="0.25">
      <c r="A289" s="509" t="s">
        <v>1062</v>
      </c>
      <c r="B289" s="509" t="s">
        <v>1063</v>
      </c>
      <c r="C289" s="510">
        <v>2755</v>
      </c>
      <c r="D289" s="510">
        <v>0</v>
      </c>
      <c r="E289" s="510">
        <v>1041.0999999999999</v>
      </c>
      <c r="F289" s="510">
        <v>0</v>
      </c>
      <c r="G289" s="510">
        <v>1041.0999999999999</v>
      </c>
    </row>
    <row r="290" spans="1:7" x14ac:dyDescent="0.25">
      <c r="A290" s="509" t="s">
        <v>614</v>
      </c>
      <c r="B290" s="509" t="s">
        <v>166</v>
      </c>
      <c r="C290" s="510">
        <v>10150</v>
      </c>
      <c r="D290" s="510">
        <v>0</v>
      </c>
      <c r="E290" s="510">
        <v>7329.08</v>
      </c>
      <c r="F290" s="510">
        <v>0</v>
      </c>
      <c r="G290" s="510">
        <v>7329.08</v>
      </c>
    </row>
    <row r="291" spans="1:7" x14ac:dyDescent="0.25">
      <c r="A291" s="509" t="s">
        <v>630</v>
      </c>
      <c r="B291" s="509" t="s">
        <v>52</v>
      </c>
      <c r="C291" s="510">
        <v>49360</v>
      </c>
      <c r="D291" s="510">
        <v>0</v>
      </c>
      <c r="E291" s="510">
        <v>16357.83</v>
      </c>
      <c r="F291" s="510">
        <v>1109.25</v>
      </c>
      <c r="G291" s="510">
        <v>15248.58</v>
      </c>
    </row>
    <row r="292" spans="1:7" x14ac:dyDescent="0.25">
      <c r="A292" s="509" t="s">
        <v>642</v>
      </c>
      <c r="B292" s="509" t="s">
        <v>167</v>
      </c>
      <c r="C292" s="510">
        <v>61120</v>
      </c>
      <c r="D292" s="510">
        <v>0</v>
      </c>
      <c r="E292" s="510">
        <v>37809.050000000003</v>
      </c>
      <c r="F292" s="510">
        <v>4000.49</v>
      </c>
      <c r="G292" s="510">
        <v>33808.559999999998</v>
      </c>
    </row>
    <row r="293" spans="1:7" x14ac:dyDescent="0.25">
      <c r="A293" s="509" t="s">
        <v>2266</v>
      </c>
      <c r="B293" s="509" t="s">
        <v>2267</v>
      </c>
      <c r="C293" s="510">
        <v>9000</v>
      </c>
      <c r="D293" s="510">
        <v>0</v>
      </c>
      <c r="E293" s="510">
        <v>0</v>
      </c>
      <c r="F293" s="510">
        <v>0</v>
      </c>
      <c r="G293" s="510">
        <v>0</v>
      </c>
    </row>
    <row r="294" spans="1:7" x14ac:dyDescent="0.25">
      <c r="A294" s="509" t="s">
        <v>2268</v>
      </c>
      <c r="B294" s="509" t="s">
        <v>2269</v>
      </c>
      <c r="C294" s="510">
        <v>0</v>
      </c>
      <c r="D294" s="510">
        <v>0</v>
      </c>
      <c r="E294" s="510">
        <v>0</v>
      </c>
      <c r="F294" s="510">
        <v>0</v>
      </c>
      <c r="G294" s="510">
        <v>0</v>
      </c>
    </row>
    <row r="295" spans="1:7" x14ac:dyDescent="0.25">
      <c r="A295" s="509" t="s">
        <v>629</v>
      </c>
      <c r="B295" s="509" t="s">
        <v>1151</v>
      </c>
      <c r="C295" s="510">
        <v>2800</v>
      </c>
      <c r="D295" s="510">
        <v>0</v>
      </c>
      <c r="E295" s="510">
        <v>642.6</v>
      </c>
      <c r="F295" s="510">
        <v>0</v>
      </c>
      <c r="G295" s="510">
        <v>642.6</v>
      </c>
    </row>
    <row r="296" spans="1:7" x14ac:dyDescent="0.25">
      <c r="A296" s="509" t="s">
        <v>628</v>
      </c>
      <c r="B296" s="509" t="s">
        <v>180</v>
      </c>
      <c r="C296" s="510">
        <v>870</v>
      </c>
      <c r="D296" s="510">
        <v>0</v>
      </c>
      <c r="E296" s="510">
        <v>366.4</v>
      </c>
      <c r="F296" s="510">
        <v>0</v>
      </c>
      <c r="G296" s="510">
        <v>366.4</v>
      </c>
    </row>
    <row r="297" spans="1:7" x14ac:dyDescent="0.25">
      <c r="A297" s="509" t="s">
        <v>633</v>
      </c>
      <c r="B297" s="509" t="s">
        <v>1152</v>
      </c>
      <c r="C297" s="510">
        <v>15525</v>
      </c>
      <c r="D297" s="510">
        <v>0</v>
      </c>
      <c r="E297" s="510">
        <v>2113.16</v>
      </c>
      <c r="F297" s="510">
        <v>0</v>
      </c>
      <c r="G297" s="510">
        <v>2113.16</v>
      </c>
    </row>
    <row r="298" spans="1:7" x14ac:dyDescent="0.25">
      <c r="A298" s="509" t="s">
        <v>663</v>
      </c>
      <c r="B298" s="509" t="s">
        <v>53</v>
      </c>
      <c r="C298" s="510">
        <v>3500</v>
      </c>
      <c r="D298" s="510">
        <v>0</v>
      </c>
      <c r="E298" s="510">
        <v>1519.49</v>
      </c>
      <c r="F298" s="510">
        <v>227.19</v>
      </c>
      <c r="G298" s="510">
        <v>1292.3</v>
      </c>
    </row>
    <row r="299" spans="1:7" x14ac:dyDescent="0.25">
      <c r="A299" s="509" t="s">
        <v>659</v>
      </c>
      <c r="B299" s="509" t="s">
        <v>71</v>
      </c>
      <c r="C299" s="510">
        <v>1450</v>
      </c>
      <c r="D299" s="510">
        <v>0</v>
      </c>
      <c r="E299" s="510">
        <v>370</v>
      </c>
      <c r="F299" s="510">
        <v>0</v>
      </c>
      <c r="G299" s="510">
        <v>370</v>
      </c>
    </row>
    <row r="300" spans="1:7" x14ac:dyDescent="0.25">
      <c r="A300" s="509" t="s">
        <v>648</v>
      </c>
      <c r="B300" s="509" t="s">
        <v>54</v>
      </c>
      <c r="C300" s="510">
        <v>8400</v>
      </c>
      <c r="D300" s="510">
        <v>0</v>
      </c>
      <c r="E300" s="510">
        <v>692.83</v>
      </c>
      <c r="F300" s="510">
        <v>0</v>
      </c>
      <c r="G300" s="510">
        <v>692.83</v>
      </c>
    </row>
    <row r="301" spans="1:7" x14ac:dyDescent="0.25">
      <c r="A301" s="509" t="s">
        <v>653</v>
      </c>
      <c r="B301" s="509" t="s">
        <v>170</v>
      </c>
      <c r="C301" s="510">
        <v>16240</v>
      </c>
      <c r="D301" s="510">
        <v>0</v>
      </c>
      <c r="E301" s="510">
        <v>8089.56</v>
      </c>
      <c r="F301" s="510">
        <v>0</v>
      </c>
      <c r="G301" s="510">
        <v>8089.56</v>
      </c>
    </row>
    <row r="302" spans="1:7" x14ac:dyDescent="0.25">
      <c r="A302" s="509" t="s">
        <v>619</v>
      </c>
      <c r="B302" s="509" t="s">
        <v>171</v>
      </c>
      <c r="C302" s="510">
        <v>15950</v>
      </c>
      <c r="D302" s="510">
        <v>0</v>
      </c>
      <c r="E302" s="510">
        <v>9486.2000000000007</v>
      </c>
      <c r="F302" s="510">
        <v>60.44</v>
      </c>
      <c r="G302" s="510">
        <v>9425.76</v>
      </c>
    </row>
    <row r="303" spans="1:7" x14ac:dyDescent="0.25">
      <c r="A303" s="509" t="s">
        <v>2270</v>
      </c>
      <c r="B303" s="509" t="s">
        <v>2271</v>
      </c>
      <c r="C303" s="510">
        <v>0</v>
      </c>
      <c r="D303" s="510">
        <v>0</v>
      </c>
      <c r="E303" s="510">
        <v>0</v>
      </c>
      <c r="F303" s="510">
        <v>0</v>
      </c>
      <c r="G303" s="510">
        <v>0</v>
      </c>
    </row>
    <row r="304" spans="1:7" x14ac:dyDescent="0.25">
      <c r="A304" s="509" t="s">
        <v>620</v>
      </c>
      <c r="B304" s="509" t="s">
        <v>172</v>
      </c>
      <c r="C304" s="510">
        <v>348</v>
      </c>
      <c r="D304" s="510">
        <v>0</v>
      </c>
      <c r="E304" s="510">
        <v>0</v>
      </c>
      <c r="F304" s="510">
        <v>0</v>
      </c>
      <c r="G304" s="510">
        <v>0</v>
      </c>
    </row>
    <row r="305" spans="1:7" x14ac:dyDescent="0.25">
      <c r="A305" s="509" t="s">
        <v>622</v>
      </c>
      <c r="B305" s="509" t="s">
        <v>621</v>
      </c>
      <c r="C305" s="510">
        <v>348</v>
      </c>
      <c r="D305" s="510">
        <v>0</v>
      </c>
      <c r="E305" s="510">
        <v>0</v>
      </c>
      <c r="F305" s="510">
        <v>0</v>
      </c>
      <c r="G305" s="510">
        <v>0</v>
      </c>
    </row>
    <row r="306" spans="1:7" x14ac:dyDescent="0.25">
      <c r="A306" s="509" t="s">
        <v>638</v>
      </c>
      <c r="B306" s="509" t="s">
        <v>2272</v>
      </c>
      <c r="C306" s="510">
        <v>290</v>
      </c>
      <c r="D306" s="510">
        <v>0</v>
      </c>
      <c r="E306" s="510">
        <v>34.33</v>
      </c>
      <c r="F306" s="510">
        <v>0</v>
      </c>
      <c r="G306" s="510">
        <v>34.33</v>
      </c>
    </row>
    <row r="307" spans="1:7" x14ac:dyDescent="0.25">
      <c r="A307" s="509" t="s">
        <v>2273</v>
      </c>
      <c r="B307" s="509" t="s">
        <v>2274</v>
      </c>
      <c r="C307" s="510">
        <v>0</v>
      </c>
      <c r="D307" s="510">
        <v>0</v>
      </c>
      <c r="E307" s="510">
        <v>0</v>
      </c>
      <c r="F307" s="510">
        <v>0</v>
      </c>
      <c r="G307" s="510">
        <v>0</v>
      </c>
    </row>
    <row r="308" spans="1:7" x14ac:dyDescent="0.25">
      <c r="A308" s="509" t="s">
        <v>2275</v>
      </c>
      <c r="B308" s="509" t="s">
        <v>2276</v>
      </c>
      <c r="C308" s="510">
        <v>0</v>
      </c>
      <c r="D308" s="510">
        <v>0</v>
      </c>
      <c r="E308" s="510">
        <v>0</v>
      </c>
      <c r="F308" s="510">
        <v>0</v>
      </c>
      <c r="G308" s="510">
        <v>0</v>
      </c>
    </row>
    <row r="309" spans="1:7" x14ac:dyDescent="0.25">
      <c r="A309" s="509" t="s">
        <v>2277</v>
      </c>
      <c r="B309" s="509" t="s">
        <v>2278</v>
      </c>
      <c r="C309" s="510">
        <v>0</v>
      </c>
      <c r="D309" s="510">
        <v>0</v>
      </c>
      <c r="E309" s="510">
        <v>0</v>
      </c>
      <c r="F309" s="510">
        <v>0</v>
      </c>
      <c r="G309" s="510">
        <v>0</v>
      </c>
    </row>
    <row r="310" spans="1:7" x14ac:dyDescent="0.25">
      <c r="A310" s="509" t="s">
        <v>613</v>
      </c>
      <c r="B310" s="509" t="s">
        <v>612</v>
      </c>
      <c r="C310" s="510">
        <v>73038</v>
      </c>
      <c r="D310" s="510">
        <v>0</v>
      </c>
      <c r="E310" s="510">
        <v>36519</v>
      </c>
      <c r="F310" s="510">
        <v>6086.64</v>
      </c>
      <c r="G310" s="510">
        <v>30432.36</v>
      </c>
    </row>
    <row r="311" spans="1:7" x14ac:dyDescent="0.25">
      <c r="A311" s="509" t="s">
        <v>2279</v>
      </c>
      <c r="B311" s="509" t="s">
        <v>2280</v>
      </c>
      <c r="C311" s="510">
        <v>0</v>
      </c>
      <c r="D311" s="510">
        <v>0</v>
      </c>
      <c r="E311" s="510">
        <v>0</v>
      </c>
      <c r="F311" s="510">
        <v>0</v>
      </c>
      <c r="G311" s="510">
        <v>0</v>
      </c>
    </row>
    <row r="312" spans="1:7" x14ac:dyDescent="0.25">
      <c r="A312" s="509" t="s">
        <v>2281</v>
      </c>
      <c r="B312" s="509" t="s">
        <v>2282</v>
      </c>
      <c r="C312" s="510">
        <v>0</v>
      </c>
      <c r="D312" s="510">
        <v>0</v>
      </c>
      <c r="E312" s="510">
        <v>0</v>
      </c>
      <c r="F312" s="510">
        <v>0</v>
      </c>
      <c r="G312" s="510">
        <v>0</v>
      </c>
    </row>
    <row r="313" spans="1:7" x14ac:dyDescent="0.25">
      <c r="A313" s="509" t="s">
        <v>611</v>
      </c>
      <c r="B313" s="509" t="s">
        <v>1075</v>
      </c>
      <c r="C313" s="510">
        <v>138200</v>
      </c>
      <c r="D313" s="510">
        <v>0</v>
      </c>
      <c r="E313" s="510">
        <v>69100</v>
      </c>
      <c r="F313" s="510">
        <v>12867</v>
      </c>
      <c r="G313" s="510">
        <v>56233</v>
      </c>
    </row>
    <row r="314" spans="1:7" x14ac:dyDescent="0.25">
      <c r="A314" s="509" t="s">
        <v>641</v>
      </c>
      <c r="B314" s="509" t="s">
        <v>174</v>
      </c>
      <c r="C314" s="510">
        <v>0</v>
      </c>
      <c r="D314" s="510">
        <v>0</v>
      </c>
      <c r="E314" s="510">
        <v>0</v>
      </c>
      <c r="F314" s="510">
        <v>0</v>
      </c>
      <c r="G314" s="510">
        <v>0</v>
      </c>
    </row>
    <row r="315" spans="1:7" x14ac:dyDescent="0.25">
      <c r="A315" s="509" t="s">
        <v>640</v>
      </c>
      <c r="B315" s="509" t="s">
        <v>185</v>
      </c>
      <c r="C315" s="510">
        <v>13000</v>
      </c>
      <c r="D315" s="510">
        <v>0</v>
      </c>
      <c r="E315" s="510">
        <v>6274.47</v>
      </c>
      <c r="F315" s="510">
        <v>0</v>
      </c>
      <c r="G315" s="510">
        <v>6274.47</v>
      </c>
    </row>
    <row r="316" spans="1:7" x14ac:dyDescent="0.25">
      <c r="A316" s="509" t="s">
        <v>2283</v>
      </c>
      <c r="B316" s="509" t="s">
        <v>2284</v>
      </c>
      <c r="C316" s="510">
        <v>0</v>
      </c>
      <c r="D316" s="510">
        <v>0</v>
      </c>
      <c r="E316" s="510">
        <v>0</v>
      </c>
      <c r="F316" s="510">
        <v>0</v>
      </c>
      <c r="G316" s="510">
        <v>0</v>
      </c>
    </row>
    <row r="317" spans="1:7" x14ac:dyDescent="0.25">
      <c r="A317" s="509" t="s">
        <v>2285</v>
      </c>
      <c r="B317" s="509" t="s">
        <v>55</v>
      </c>
      <c r="C317" s="510">
        <v>0</v>
      </c>
      <c r="D317" s="510">
        <v>0</v>
      </c>
      <c r="E317" s="510">
        <v>0</v>
      </c>
      <c r="F317" s="510">
        <v>0</v>
      </c>
      <c r="G317" s="510">
        <v>0</v>
      </c>
    </row>
    <row r="318" spans="1:7" x14ac:dyDescent="0.25">
      <c r="A318" s="509" t="s">
        <v>1087</v>
      </c>
      <c r="B318" s="509" t="s">
        <v>1088</v>
      </c>
      <c r="C318" s="510">
        <v>0</v>
      </c>
      <c r="D318" s="510">
        <v>0</v>
      </c>
      <c r="E318" s="510">
        <v>0</v>
      </c>
      <c r="F318" s="510">
        <v>0</v>
      </c>
      <c r="G318" s="510">
        <v>0</v>
      </c>
    </row>
    <row r="319" spans="1:7" x14ac:dyDescent="0.25">
      <c r="A319" s="509" t="s">
        <v>639</v>
      </c>
      <c r="B319" s="509" t="s">
        <v>186</v>
      </c>
      <c r="C319" s="510">
        <v>5220</v>
      </c>
      <c r="D319" s="510">
        <v>0</v>
      </c>
      <c r="E319" s="510">
        <v>0</v>
      </c>
      <c r="F319" s="510">
        <v>0</v>
      </c>
      <c r="G319" s="510">
        <v>0</v>
      </c>
    </row>
    <row r="320" spans="1:7" x14ac:dyDescent="0.25">
      <c r="A320" s="509" t="s">
        <v>2286</v>
      </c>
      <c r="B320" s="509" t="s">
        <v>2287</v>
      </c>
      <c r="C320" s="510">
        <v>0</v>
      </c>
      <c r="D320" s="510">
        <v>0</v>
      </c>
      <c r="E320" s="510">
        <v>0</v>
      </c>
      <c r="F320" s="510">
        <v>0</v>
      </c>
      <c r="G320" s="510">
        <v>0</v>
      </c>
    </row>
    <row r="321" spans="1:7" x14ac:dyDescent="0.25">
      <c r="A321" s="509" t="s">
        <v>2288</v>
      </c>
      <c r="B321" s="509" t="s">
        <v>1080</v>
      </c>
      <c r="C321" s="510">
        <v>0</v>
      </c>
      <c r="D321" s="510">
        <v>0</v>
      </c>
      <c r="E321" s="510">
        <v>0</v>
      </c>
      <c r="F321" s="510">
        <v>0</v>
      </c>
      <c r="G321" s="510">
        <v>0</v>
      </c>
    </row>
    <row r="322" spans="1:7" x14ac:dyDescent="0.25">
      <c r="A322" s="509" t="s">
        <v>2289</v>
      </c>
      <c r="B322" s="509" t="s">
        <v>2290</v>
      </c>
      <c r="C322" s="510">
        <v>0</v>
      </c>
      <c r="D322" s="510">
        <v>0</v>
      </c>
      <c r="E322" s="510">
        <v>0</v>
      </c>
      <c r="F322" s="510">
        <v>0</v>
      </c>
      <c r="G322" s="510">
        <v>0</v>
      </c>
    </row>
    <row r="323" spans="1:7" x14ac:dyDescent="0.25">
      <c r="A323" s="509" t="s">
        <v>1153</v>
      </c>
      <c r="B323" s="509" t="s">
        <v>1154</v>
      </c>
      <c r="C323" s="510">
        <v>0</v>
      </c>
      <c r="D323" s="510">
        <v>0</v>
      </c>
      <c r="E323" s="510">
        <v>0</v>
      </c>
      <c r="F323" s="510">
        <v>0</v>
      </c>
      <c r="G323" s="510">
        <v>0</v>
      </c>
    </row>
    <row r="324" spans="1:7" x14ac:dyDescent="0.25">
      <c r="A324" s="509" t="s">
        <v>1155</v>
      </c>
      <c r="B324" s="509" t="s">
        <v>1156</v>
      </c>
      <c r="C324" s="510">
        <v>0</v>
      </c>
      <c r="D324" s="510">
        <v>0</v>
      </c>
      <c r="E324" s="510">
        <v>0</v>
      </c>
      <c r="F324" s="510">
        <v>0</v>
      </c>
      <c r="G324" s="510">
        <v>0</v>
      </c>
    </row>
    <row r="325" spans="1:7" x14ac:dyDescent="0.25">
      <c r="A325" s="509" t="s">
        <v>1157</v>
      </c>
      <c r="B325" s="509" t="s">
        <v>1158</v>
      </c>
      <c r="C325" s="510">
        <v>0</v>
      </c>
      <c r="D325" s="510">
        <v>0</v>
      </c>
      <c r="E325" s="510">
        <v>0</v>
      </c>
      <c r="F325" s="510">
        <v>0</v>
      </c>
      <c r="G325" s="510">
        <v>0</v>
      </c>
    </row>
    <row r="326" spans="1:7" x14ac:dyDescent="0.25">
      <c r="A326" s="509" t="s">
        <v>1159</v>
      </c>
      <c r="B326" s="509" t="s">
        <v>1160</v>
      </c>
      <c r="C326" s="510">
        <v>0</v>
      </c>
      <c r="D326" s="510">
        <v>0</v>
      </c>
      <c r="E326" s="510">
        <v>0</v>
      </c>
      <c r="F326" s="510">
        <v>0</v>
      </c>
      <c r="G326" s="510">
        <v>0</v>
      </c>
    </row>
    <row r="327" spans="1:7" x14ac:dyDescent="0.25">
      <c r="A327" s="509" t="s">
        <v>618</v>
      </c>
      <c r="B327" s="509" t="s">
        <v>178</v>
      </c>
      <c r="C327" s="510">
        <v>290</v>
      </c>
      <c r="D327" s="510">
        <v>0</v>
      </c>
      <c r="E327" s="510">
        <v>0</v>
      </c>
      <c r="F327" s="510">
        <v>0</v>
      </c>
      <c r="G327" s="510">
        <v>0</v>
      </c>
    </row>
    <row r="328" spans="1:7" x14ac:dyDescent="0.25">
      <c r="A328" s="509" t="s">
        <v>194</v>
      </c>
      <c r="B328" s="509" t="s">
        <v>76</v>
      </c>
      <c r="C328" s="510">
        <v>375643.52</v>
      </c>
      <c r="D328" s="510">
        <v>0</v>
      </c>
      <c r="E328" s="510">
        <v>150543.19</v>
      </c>
      <c r="F328" s="510">
        <v>16861.490000000002</v>
      </c>
      <c r="G328" s="510">
        <v>133681.70000000001</v>
      </c>
    </row>
    <row r="329" spans="1:7" x14ac:dyDescent="0.25">
      <c r="A329" s="509" t="s">
        <v>1101</v>
      </c>
      <c r="B329" s="509" t="s">
        <v>667</v>
      </c>
      <c r="C329" s="510">
        <v>0</v>
      </c>
      <c r="D329" s="510">
        <v>0</v>
      </c>
      <c r="E329" s="510">
        <v>0</v>
      </c>
      <c r="F329" s="510">
        <v>0</v>
      </c>
      <c r="G329" s="510">
        <v>0</v>
      </c>
    </row>
    <row r="330" spans="1:7" x14ac:dyDescent="0.25">
      <c r="A330" s="509" t="s">
        <v>195</v>
      </c>
      <c r="B330" s="509" t="s">
        <v>37</v>
      </c>
      <c r="C330" s="510">
        <v>11792.64</v>
      </c>
      <c r="D330" s="510">
        <v>0</v>
      </c>
      <c r="E330" s="510">
        <v>4930.58</v>
      </c>
      <c r="F330" s="510">
        <v>0</v>
      </c>
      <c r="G330" s="510">
        <v>4930.58</v>
      </c>
    </row>
    <row r="331" spans="1:7" x14ac:dyDescent="0.25">
      <c r="A331" s="509" t="s">
        <v>196</v>
      </c>
      <c r="B331" s="509" t="s">
        <v>1076</v>
      </c>
      <c r="C331" s="510">
        <v>9318.4</v>
      </c>
      <c r="D331" s="510">
        <v>0</v>
      </c>
      <c r="E331" s="510">
        <v>3640</v>
      </c>
      <c r="F331" s="510">
        <v>280</v>
      </c>
      <c r="G331" s="510">
        <v>3360</v>
      </c>
    </row>
    <row r="332" spans="1:7" x14ac:dyDescent="0.25">
      <c r="A332" s="509" t="s">
        <v>197</v>
      </c>
      <c r="B332" s="509" t="s">
        <v>153</v>
      </c>
      <c r="C332" s="510">
        <v>24598.720000000001</v>
      </c>
      <c r="D332" s="510">
        <v>0</v>
      </c>
      <c r="E332" s="510">
        <v>9542.0499999999993</v>
      </c>
      <c r="F332" s="510">
        <v>1018.54</v>
      </c>
      <c r="G332" s="510">
        <v>8523.51</v>
      </c>
    </row>
    <row r="333" spans="1:7" x14ac:dyDescent="0.25">
      <c r="A333" s="509" t="s">
        <v>198</v>
      </c>
      <c r="B333" s="509" t="s">
        <v>154</v>
      </c>
      <c r="C333" s="510">
        <v>5752.96</v>
      </c>
      <c r="D333" s="510">
        <v>0</v>
      </c>
      <c r="E333" s="510">
        <v>2283.86</v>
      </c>
      <c r="F333" s="510">
        <v>238.19</v>
      </c>
      <c r="G333" s="510">
        <v>2045.67</v>
      </c>
    </row>
    <row r="334" spans="1:7" x14ac:dyDescent="0.25">
      <c r="A334" s="509" t="s">
        <v>199</v>
      </c>
      <c r="B334" s="509" t="s">
        <v>38</v>
      </c>
      <c r="C334" s="510">
        <v>109343.67999999999</v>
      </c>
      <c r="D334" s="510">
        <v>0</v>
      </c>
      <c r="E334" s="510">
        <v>37153.050000000003</v>
      </c>
      <c r="F334" s="510">
        <v>0</v>
      </c>
      <c r="G334" s="510">
        <v>37153.050000000003</v>
      </c>
    </row>
    <row r="335" spans="1:7" x14ac:dyDescent="0.25">
      <c r="A335" s="509" t="s">
        <v>200</v>
      </c>
      <c r="B335" s="509" t="s">
        <v>77</v>
      </c>
      <c r="C335" s="510">
        <v>6249.6</v>
      </c>
      <c r="D335" s="510">
        <v>0</v>
      </c>
      <c r="E335" s="510">
        <v>2120.9699999999998</v>
      </c>
      <c r="F335" s="510">
        <v>0</v>
      </c>
      <c r="G335" s="510">
        <v>2120.9699999999998</v>
      </c>
    </row>
    <row r="336" spans="1:7" x14ac:dyDescent="0.25">
      <c r="A336" s="509" t="s">
        <v>201</v>
      </c>
      <c r="B336" s="509" t="s">
        <v>78</v>
      </c>
      <c r="C336" s="510">
        <v>1103.68</v>
      </c>
      <c r="D336" s="510">
        <v>0</v>
      </c>
      <c r="E336" s="510">
        <v>406.2</v>
      </c>
      <c r="F336" s="510">
        <v>0</v>
      </c>
      <c r="G336" s="510">
        <v>406.2</v>
      </c>
    </row>
    <row r="337" spans="1:7" x14ac:dyDescent="0.25">
      <c r="A337" s="509" t="s">
        <v>2291</v>
      </c>
      <c r="B337" s="509" t="s">
        <v>2292</v>
      </c>
      <c r="C337" s="510">
        <v>0</v>
      </c>
      <c r="D337" s="510">
        <v>0</v>
      </c>
      <c r="E337" s="510">
        <v>0</v>
      </c>
      <c r="F337" s="510">
        <v>0</v>
      </c>
      <c r="G337" s="510">
        <v>0</v>
      </c>
    </row>
    <row r="338" spans="1:7" x14ac:dyDescent="0.25">
      <c r="A338" s="509" t="s">
        <v>202</v>
      </c>
      <c r="B338" s="509" t="s">
        <v>893</v>
      </c>
      <c r="C338" s="510">
        <v>15318.4</v>
      </c>
      <c r="D338" s="510">
        <v>0</v>
      </c>
      <c r="E338" s="510">
        <v>6335.41</v>
      </c>
      <c r="F338" s="510">
        <v>345.92</v>
      </c>
      <c r="G338" s="510">
        <v>5989.49</v>
      </c>
    </row>
    <row r="339" spans="1:7" x14ac:dyDescent="0.25">
      <c r="A339" s="509" t="s">
        <v>203</v>
      </c>
      <c r="B339" s="509" t="s">
        <v>2249</v>
      </c>
      <c r="C339" s="510">
        <v>1487.68</v>
      </c>
      <c r="D339" s="510">
        <v>0</v>
      </c>
      <c r="E339" s="510">
        <v>902.58</v>
      </c>
      <c r="F339" s="510">
        <v>252.7</v>
      </c>
      <c r="G339" s="510">
        <v>649.88</v>
      </c>
    </row>
    <row r="340" spans="1:7" x14ac:dyDescent="0.25">
      <c r="A340" s="509" t="s">
        <v>204</v>
      </c>
      <c r="B340" s="509" t="s">
        <v>64</v>
      </c>
      <c r="C340" s="510">
        <v>2176</v>
      </c>
      <c r="D340" s="510">
        <v>0</v>
      </c>
      <c r="E340" s="510">
        <v>954.55</v>
      </c>
      <c r="F340" s="510">
        <v>0</v>
      </c>
      <c r="G340" s="510">
        <v>954.55</v>
      </c>
    </row>
    <row r="341" spans="1:7" x14ac:dyDescent="0.25">
      <c r="A341" s="509" t="s">
        <v>205</v>
      </c>
      <c r="B341" s="509" t="s">
        <v>65</v>
      </c>
      <c r="C341" s="510">
        <v>1088</v>
      </c>
      <c r="D341" s="510">
        <v>0</v>
      </c>
      <c r="E341" s="510">
        <v>252.55</v>
      </c>
      <c r="F341" s="510">
        <v>0</v>
      </c>
      <c r="G341" s="510">
        <v>252.55</v>
      </c>
    </row>
    <row r="342" spans="1:7" x14ac:dyDescent="0.25">
      <c r="A342" s="509" t="s">
        <v>206</v>
      </c>
      <c r="B342" s="509" t="s">
        <v>40</v>
      </c>
      <c r="C342" s="510">
        <v>1683.52</v>
      </c>
      <c r="D342" s="510">
        <v>0</v>
      </c>
      <c r="E342" s="510">
        <v>6.95</v>
      </c>
      <c r="F342" s="510">
        <v>0</v>
      </c>
      <c r="G342" s="510">
        <v>6.95</v>
      </c>
    </row>
    <row r="343" spans="1:7" x14ac:dyDescent="0.25">
      <c r="A343" s="509" t="s">
        <v>207</v>
      </c>
      <c r="B343" s="509" t="s">
        <v>41</v>
      </c>
      <c r="C343" s="510">
        <v>37.44</v>
      </c>
      <c r="D343" s="510">
        <v>0</v>
      </c>
      <c r="E343" s="510">
        <v>0</v>
      </c>
      <c r="F343" s="510">
        <v>0</v>
      </c>
      <c r="G343" s="510">
        <v>0</v>
      </c>
    </row>
    <row r="344" spans="1:7" x14ac:dyDescent="0.25">
      <c r="A344" s="509" t="s">
        <v>208</v>
      </c>
      <c r="B344" s="509" t="s">
        <v>42</v>
      </c>
      <c r="C344" s="510">
        <v>1169.28</v>
      </c>
      <c r="D344" s="510">
        <v>0</v>
      </c>
      <c r="E344" s="510">
        <v>480.09</v>
      </c>
      <c r="F344" s="510">
        <v>25.76</v>
      </c>
      <c r="G344" s="510">
        <v>454.33</v>
      </c>
    </row>
    <row r="345" spans="1:7" x14ac:dyDescent="0.25">
      <c r="A345" s="509" t="s">
        <v>209</v>
      </c>
      <c r="B345" s="509" t="s">
        <v>2252</v>
      </c>
      <c r="C345" s="510">
        <v>34058.879999999997</v>
      </c>
      <c r="D345" s="510">
        <v>0</v>
      </c>
      <c r="E345" s="510">
        <v>12918.67</v>
      </c>
      <c r="F345" s="510">
        <v>1443.85</v>
      </c>
      <c r="G345" s="510">
        <v>11474.82</v>
      </c>
    </row>
    <row r="346" spans="1:7" x14ac:dyDescent="0.25">
      <c r="A346" s="509" t="s">
        <v>210</v>
      </c>
      <c r="B346" s="509" t="s">
        <v>44</v>
      </c>
      <c r="C346" s="510">
        <v>28135.68</v>
      </c>
      <c r="D346" s="510">
        <v>0</v>
      </c>
      <c r="E346" s="510">
        <v>10725.6</v>
      </c>
      <c r="F346" s="510">
        <v>1190.07</v>
      </c>
      <c r="G346" s="510">
        <v>9535.5300000000007</v>
      </c>
    </row>
    <row r="347" spans="1:7" x14ac:dyDescent="0.25">
      <c r="A347" s="509" t="s">
        <v>211</v>
      </c>
      <c r="B347" s="509" t="s">
        <v>183</v>
      </c>
      <c r="C347" s="510">
        <v>14400</v>
      </c>
      <c r="D347" s="510">
        <v>0</v>
      </c>
      <c r="E347" s="510">
        <v>0</v>
      </c>
      <c r="F347" s="510">
        <v>0</v>
      </c>
      <c r="G347" s="510">
        <v>0</v>
      </c>
    </row>
    <row r="348" spans="1:7" x14ac:dyDescent="0.25">
      <c r="A348" s="509" t="s">
        <v>2293</v>
      </c>
      <c r="B348" s="509" t="s">
        <v>2254</v>
      </c>
      <c r="C348" s="510">
        <v>0</v>
      </c>
      <c r="D348" s="510">
        <v>0</v>
      </c>
      <c r="E348" s="510">
        <v>0</v>
      </c>
      <c r="F348" s="510">
        <v>0</v>
      </c>
      <c r="G348" s="510">
        <v>0</v>
      </c>
    </row>
    <row r="349" spans="1:7" x14ac:dyDescent="0.25">
      <c r="A349" s="509" t="s">
        <v>2294</v>
      </c>
      <c r="B349" s="509" t="s">
        <v>2256</v>
      </c>
      <c r="C349" s="510">
        <v>0</v>
      </c>
      <c r="D349" s="510">
        <v>0</v>
      </c>
      <c r="E349" s="510">
        <v>0</v>
      </c>
      <c r="F349" s="510">
        <v>0</v>
      </c>
      <c r="G349" s="510">
        <v>0</v>
      </c>
    </row>
    <row r="350" spans="1:7" x14ac:dyDescent="0.25">
      <c r="A350" s="509" t="s">
        <v>212</v>
      </c>
      <c r="B350" s="509" t="s">
        <v>1161</v>
      </c>
      <c r="C350" s="510">
        <v>493</v>
      </c>
      <c r="D350" s="510">
        <v>0</v>
      </c>
      <c r="E350" s="510">
        <v>0</v>
      </c>
      <c r="F350" s="510">
        <v>0</v>
      </c>
      <c r="G350" s="510">
        <v>0</v>
      </c>
    </row>
    <row r="351" spans="1:7" x14ac:dyDescent="0.25">
      <c r="A351" s="509" t="s">
        <v>213</v>
      </c>
      <c r="B351" s="509" t="s">
        <v>48</v>
      </c>
      <c r="C351" s="510">
        <v>290</v>
      </c>
      <c r="D351" s="510">
        <v>0</v>
      </c>
      <c r="E351" s="510">
        <v>6.98</v>
      </c>
      <c r="F351" s="510">
        <v>0</v>
      </c>
      <c r="G351" s="510">
        <v>6.98</v>
      </c>
    </row>
    <row r="352" spans="1:7" x14ac:dyDescent="0.25">
      <c r="A352" s="509" t="s">
        <v>214</v>
      </c>
      <c r="B352" s="509" t="s">
        <v>50</v>
      </c>
      <c r="C352" s="510">
        <v>0</v>
      </c>
      <c r="D352" s="510">
        <v>0</v>
      </c>
      <c r="E352" s="510">
        <v>0</v>
      </c>
      <c r="F352" s="510">
        <v>0</v>
      </c>
      <c r="G352" s="510">
        <v>0</v>
      </c>
    </row>
    <row r="353" spans="1:7" x14ac:dyDescent="0.25">
      <c r="A353" s="509" t="s">
        <v>1162</v>
      </c>
      <c r="B353" s="509" t="s">
        <v>52</v>
      </c>
      <c r="C353" s="510">
        <v>0</v>
      </c>
      <c r="D353" s="510">
        <v>0</v>
      </c>
      <c r="E353" s="510">
        <v>0</v>
      </c>
      <c r="F353" s="510">
        <v>0</v>
      </c>
      <c r="G353" s="510">
        <v>0</v>
      </c>
    </row>
    <row r="354" spans="1:7" x14ac:dyDescent="0.25">
      <c r="A354" s="509" t="s">
        <v>2295</v>
      </c>
      <c r="B354" s="509" t="s">
        <v>2269</v>
      </c>
      <c r="C354" s="510">
        <v>0</v>
      </c>
      <c r="D354" s="510">
        <v>0</v>
      </c>
      <c r="E354" s="510">
        <v>0</v>
      </c>
      <c r="F354" s="510">
        <v>0</v>
      </c>
      <c r="G354" s="510">
        <v>0</v>
      </c>
    </row>
    <row r="355" spans="1:7" x14ac:dyDescent="0.25">
      <c r="A355" s="509" t="s">
        <v>2296</v>
      </c>
      <c r="B355" s="509" t="s">
        <v>1151</v>
      </c>
      <c r="C355" s="510">
        <v>0</v>
      </c>
      <c r="D355" s="510">
        <v>0</v>
      </c>
      <c r="E355" s="510">
        <v>0</v>
      </c>
      <c r="F355" s="510">
        <v>0</v>
      </c>
      <c r="G355" s="510">
        <v>0</v>
      </c>
    </row>
    <row r="356" spans="1:7" x14ac:dyDescent="0.25">
      <c r="A356" s="509" t="s">
        <v>215</v>
      </c>
      <c r="B356" s="509" t="s">
        <v>54</v>
      </c>
      <c r="C356" s="510">
        <v>1885</v>
      </c>
      <c r="D356" s="510">
        <v>0</v>
      </c>
      <c r="E356" s="510">
        <v>470.9</v>
      </c>
      <c r="F356" s="510">
        <v>0</v>
      </c>
      <c r="G356" s="510">
        <v>470.9</v>
      </c>
    </row>
    <row r="357" spans="1:7" x14ac:dyDescent="0.25">
      <c r="A357" s="509" t="s">
        <v>2297</v>
      </c>
      <c r="B357" s="509" t="s">
        <v>1152</v>
      </c>
      <c r="C357" s="510">
        <v>0</v>
      </c>
      <c r="D357" s="510">
        <v>0</v>
      </c>
      <c r="E357" s="510">
        <v>0</v>
      </c>
      <c r="F357" s="510">
        <v>0</v>
      </c>
      <c r="G357" s="510">
        <v>0</v>
      </c>
    </row>
    <row r="358" spans="1:7" x14ac:dyDescent="0.25">
      <c r="A358" s="509" t="s">
        <v>2298</v>
      </c>
      <c r="B358" s="509" t="s">
        <v>53</v>
      </c>
      <c r="C358" s="510">
        <v>0</v>
      </c>
      <c r="D358" s="510">
        <v>0</v>
      </c>
      <c r="E358" s="510">
        <v>0</v>
      </c>
      <c r="F358" s="510">
        <v>0</v>
      </c>
      <c r="G358" s="510">
        <v>0</v>
      </c>
    </row>
    <row r="359" spans="1:7" x14ac:dyDescent="0.25">
      <c r="A359" s="509" t="s">
        <v>216</v>
      </c>
      <c r="B359" s="509" t="s">
        <v>71</v>
      </c>
      <c r="C359" s="510">
        <v>3480</v>
      </c>
      <c r="D359" s="510">
        <v>0</v>
      </c>
      <c r="E359" s="510">
        <v>970.5</v>
      </c>
      <c r="F359" s="510">
        <v>0</v>
      </c>
      <c r="G359" s="510">
        <v>970.5</v>
      </c>
    </row>
    <row r="360" spans="1:7" x14ac:dyDescent="0.25">
      <c r="A360" s="509" t="s">
        <v>2299</v>
      </c>
      <c r="B360" s="509" t="s">
        <v>54</v>
      </c>
      <c r="C360" s="510">
        <v>0</v>
      </c>
      <c r="D360" s="510">
        <v>0</v>
      </c>
      <c r="E360" s="510">
        <v>0</v>
      </c>
      <c r="F360" s="510">
        <v>0</v>
      </c>
      <c r="G360" s="510">
        <v>0</v>
      </c>
    </row>
    <row r="361" spans="1:7" x14ac:dyDescent="0.25">
      <c r="A361" s="509" t="s">
        <v>2300</v>
      </c>
      <c r="B361" s="509" t="s">
        <v>2301</v>
      </c>
      <c r="C361" s="510">
        <v>0</v>
      </c>
      <c r="D361" s="510">
        <v>0</v>
      </c>
      <c r="E361" s="510">
        <v>0</v>
      </c>
      <c r="F361" s="510">
        <v>0</v>
      </c>
      <c r="G361" s="510">
        <v>0</v>
      </c>
    </row>
    <row r="362" spans="1:7" x14ac:dyDescent="0.25">
      <c r="A362" s="509" t="s">
        <v>217</v>
      </c>
      <c r="B362" s="509" t="s">
        <v>80</v>
      </c>
      <c r="C362" s="510">
        <v>1450</v>
      </c>
      <c r="D362" s="510">
        <v>0</v>
      </c>
      <c r="E362" s="510">
        <v>898.91</v>
      </c>
      <c r="F362" s="510">
        <v>0</v>
      </c>
      <c r="G362" s="510">
        <v>898.91</v>
      </c>
    </row>
    <row r="363" spans="1:7" x14ac:dyDescent="0.25">
      <c r="A363" s="509" t="s">
        <v>218</v>
      </c>
      <c r="B363" s="509" t="s">
        <v>1163</v>
      </c>
      <c r="C363" s="510">
        <v>47850</v>
      </c>
      <c r="D363" s="510">
        <v>0</v>
      </c>
      <c r="E363" s="510">
        <v>27324.99</v>
      </c>
      <c r="F363" s="510">
        <v>4366.8500000000004</v>
      </c>
      <c r="G363" s="510">
        <v>22958.14</v>
      </c>
    </row>
    <row r="364" spans="1:7" x14ac:dyDescent="0.25">
      <c r="A364" s="509" t="s">
        <v>219</v>
      </c>
      <c r="B364" s="509" t="s">
        <v>81</v>
      </c>
      <c r="C364" s="510">
        <v>43.5</v>
      </c>
      <c r="D364" s="510">
        <v>0</v>
      </c>
      <c r="E364" s="510">
        <v>60.46</v>
      </c>
      <c r="F364" s="510">
        <v>0</v>
      </c>
      <c r="G364" s="510">
        <v>60.46</v>
      </c>
    </row>
    <row r="365" spans="1:7" x14ac:dyDescent="0.25">
      <c r="A365" s="509" t="s">
        <v>220</v>
      </c>
      <c r="B365" s="509" t="s">
        <v>82</v>
      </c>
      <c r="C365" s="510">
        <v>4785</v>
      </c>
      <c r="D365" s="510">
        <v>0</v>
      </c>
      <c r="E365" s="510">
        <v>2936.51</v>
      </c>
      <c r="F365" s="510">
        <v>0</v>
      </c>
      <c r="G365" s="510">
        <v>2936.51</v>
      </c>
    </row>
    <row r="366" spans="1:7" x14ac:dyDescent="0.25">
      <c r="A366" s="509" t="s">
        <v>222</v>
      </c>
      <c r="B366" s="509" t="s">
        <v>221</v>
      </c>
      <c r="C366" s="510">
        <v>0</v>
      </c>
      <c r="D366" s="510">
        <v>0</v>
      </c>
      <c r="E366" s="510">
        <v>0</v>
      </c>
      <c r="F366" s="510">
        <v>0</v>
      </c>
      <c r="G366" s="510">
        <v>0</v>
      </c>
    </row>
    <row r="367" spans="1:7" x14ac:dyDescent="0.25">
      <c r="A367" s="509" t="s">
        <v>223</v>
      </c>
      <c r="B367" s="509" t="s">
        <v>83</v>
      </c>
      <c r="C367" s="510">
        <v>1015</v>
      </c>
      <c r="D367" s="510">
        <v>0</v>
      </c>
      <c r="E367" s="510">
        <v>826.11</v>
      </c>
      <c r="F367" s="510">
        <v>0</v>
      </c>
      <c r="G367" s="510">
        <v>826.11</v>
      </c>
    </row>
    <row r="368" spans="1:7" x14ac:dyDescent="0.25">
      <c r="A368" s="509" t="s">
        <v>224</v>
      </c>
      <c r="B368" s="509" t="s">
        <v>84</v>
      </c>
      <c r="C368" s="510">
        <v>20000</v>
      </c>
      <c r="D368" s="510">
        <v>0</v>
      </c>
      <c r="E368" s="510">
        <v>11785.41</v>
      </c>
      <c r="F368" s="510">
        <v>0</v>
      </c>
      <c r="G368" s="510">
        <v>11785.41</v>
      </c>
    </row>
    <row r="369" spans="1:7" x14ac:dyDescent="0.25">
      <c r="A369" s="509" t="s">
        <v>956</v>
      </c>
      <c r="B369" s="509" t="s">
        <v>1086</v>
      </c>
      <c r="C369" s="510">
        <v>11600</v>
      </c>
      <c r="D369" s="510">
        <v>0</v>
      </c>
      <c r="E369" s="510">
        <v>1101.27</v>
      </c>
      <c r="F369" s="510">
        <v>0</v>
      </c>
      <c r="G369" s="510">
        <v>1101.27</v>
      </c>
    </row>
    <row r="370" spans="1:7" x14ac:dyDescent="0.25">
      <c r="A370" s="509" t="s">
        <v>225</v>
      </c>
      <c r="B370" s="509" t="s">
        <v>85</v>
      </c>
      <c r="C370" s="510">
        <v>11600</v>
      </c>
      <c r="D370" s="510">
        <v>0</v>
      </c>
      <c r="E370" s="510">
        <v>1800.76</v>
      </c>
      <c r="F370" s="510">
        <v>0</v>
      </c>
      <c r="G370" s="510">
        <v>1800.76</v>
      </c>
    </row>
    <row r="371" spans="1:7" x14ac:dyDescent="0.25">
      <c r="A371" s="509" t="s">
        <v>226</v>
      </c>
      <c r="B371" s="509" t="s">
        <v>189</v>
      </c>
      <c r="C371" s="510">
        <v>50</v>
      </c>
      <c r="D371" s="510">
        <v>0</v>
      </c>
      <c r="E371" s="510">
        <v>2224.4</v>
      </c>
      <c r="F371" s="510">
        <v>0</v>
      </c>
      <c r="G371" s="510">
        <v>2224.4</v>
      </c>
    </row>
    <row r="372" spans="1:7" x14ac:dyDescent="0.25">
      <c r="A372" s="509" t="s">
        <v>227</v>
      </c>
      <c r="B372" s="509" t="s">
        <v>190</v>
      </c>
      <c r="C372" s="510">
        <v>400</v>
      </c>
      <c r="D372" s="510">
        <v>0</v>
      </c>
      <c r="E372" s="510">
        <v>201.52</v>
      </c>
      <c r="F372" s="510">
        <v>0</v>
      </c>
      <c r="G372" s="510">
        <v>201.52</v>
      </c>
    </row>
    <row r="373" spans="1:7" x14ac:dyDescent="0.25">
      <c r="A373" s="509" t="s">
        <v>2302</v>
      </c>
      <c r="B373" s="509" t="s">
        <v>2303</v>
      </c>
      <c r="C373" s="510">
        <v>0</v>
      </c>
      <c r="D373" s="510">
        <v>0</v>
      </c>
      <c r="E373" s="510">
        <v>0</v>
      </c>
      <c r="F373" s="510">
        <v>0</v>
      </c>
      <c r="G373" s="510">
        <v>0</v>
      </c>
    </row>
    <row r="374" spans="1:7" x14ac:dyDescent="0.25">
      <c r="A374" s="509" t="s">
        <v>228</v>
      </c>
      <c r="B374" s="509" t="s">
        <v>86</v>
      </c>
      <c r="C374" s="510">
        <v>5000</v>
      </c>
      <c r="D374" s="510">
        <v>0</v>
      </c>
      <c r="E374" s="510">
        <v>0</v>
      </c>
      <c r="F374" s="510">
        <v>0</v>
      </c>
      <c r="G374" s="510">
        <v>0</v>
      </c>
    </row>
    <row r="375" spans="1:7" x14ac:dyDescent="0.25">
      <c r="A375" s="509" t="s">
        <v>229</v>
      </c>
      <c r="B375" s="509" t="s">
        <v>87</v>
      </c>
      <c r="C375" s="510">
        <v>80000</v>
      </c>
      <c r="D375" s="510">
        <v>0</v>
      </c>
      <c r="E375" s="510">
        <v>47896.86</v>
      </c>
      <c r="F375" s="510">
        <v>0</v>
      </c>
      <c r="G375" s="510">
        <v>47896.86</v>
      </c>
    </row>
    <row r="376" spans="1:7" x14ac:dyDescent="0.25">
      <c r="A376" s="509" t="s">
        <v>230</v>
      </c>
      <c r="B376" s="509" t="s">
        <v>88</v>
      </c>
      <c r="C376" s="510">
        <v>5000</v>
      </c>
      <c r="D376" s="510">
        <v>0</v>
      </c>
      <c r="E376" s="510">
        <v>453.76</v>
      </c>
      <c r="F376" s="510">
        <v>0</v>
      </c>
      <c r="G376" s="510">
        <v>453.76</v>
      </c>
    </row>
    <row r="377" spans="1:7" x14ac:dyDescent="0.25">
      <c r="A377" s="509" t="s">
        <v>231</v>
      </c>
      <c r="B377" s="509" t="s">
        <v>89</v>
      </c>
      <c r="C377" s="510">
        <v>110000</v>
      </c>
      <c r="D377" s="510">
        <v>0</v>
      </c>
      <c r="E377" s="510">
        <v>55545.18</v>
      </c>
      <c r="F377" s="510">
        <v>0</v>
      </c>
      <c r="G377" s="510">
        <v>55545.18</v>
      </c>
    </row>
    <row r="378" spans="1:7" x14ac:dyDescent="0.25">
      <c r="A378" s="509" t="s">
        <v>232</v>
      </c>
      <c r="B378" s="509" t="s">
        <v>90</v>
      </c>
      <c r="C378" s="510">
        <v>20000</v>
      </c>
      <c r="D378" s="510">
        <v>0</v>
      </c>
      <c r="E378" s="510">
        <v>324.2</v>
      </c>
      <c r="F378" s="510">
        <v>0</v>
      </c>
      <c r="G378" s="510">
        <v>324.2</v>
      </c>
    </row>
    <row r="379" spans="1:7" x14ac:dyDescent="0.25">
      <c r="A379" s="509" t="s">
        <v>233</v>
      </c>
      <c r="B379" s="509" t="s">
        <v>91</v>
      </c>
      <c r="C379" s="510">
        <v>8500</v>
      </c>
      <c r="D379" s="510">
        <v>0</v>
      </c>
      <c r="E379" s="510">
        <v>3058.28</v>
      </c>
      <c r="F379" s="510">
        <v>0</v>
      </c>
      <c r="G379" s="510">
        <v>3058.28</v>
      </c>
    </row>
    <row r="380" spans="1:7" x14ac:dyDescent="0.25">
      <c r="A380" s="509" t="s">
        <v>235</v>
      </c>
      <c r="B380" s="509" t="s">
        <v>234</v>
      </c>
      <c r="C380" s="510">
        <v>0</v>
      </c>
      <c r="D380" s="510">
        <v>0</v>
      </c>
      <c r="E380" s="510">
        <v>19.18</v>
      </c>
      <c r="F380" s="510">
        <v>0</v>
      </c>
      <c r="G380" s="510">
        <v>19.18</v>
      </c>
    </row>
    <row r="381" spans="1:7" x14ac:dyDescent="0.25">
      <c r="A381" s="509" t="s">
        <v>236</v>
      </c>
      <c r="B381" s="509" t="s">
        <v>92</v>
      </c>
      <c r="C381" s="510">
        <v>0</v>
      </c>
      <c r="D381" s="510">
        <v>0</v>
      </c>
      <c r="E381" s="510">
        <v>0</v>
      </c>
      <c r="F381" s="510">
        <v>0</v>
      </c>
      <c r="G381" s="510">
        <v>0</v>
      </c>
    </row>
    <row r="382" spans="1:7" x14ac:dyDescent="0.25">
      <c r="A382" s="509" t="s">
        <v>875</v>
      </c>
      <c r="B382" s="509" t="s">
        <v>876</v>
      </c>
      <c r="C382" s="510">
        <v>0</v>
      </c>
      <c r="D382" s="510">
        <v>0</v>
      </c>
      <c r="E382" s="510">
        <v>0</v>
      </c>
      <c r="F382" s="510">
        <v>0</v>
      </c>
      <c r="G382" s="510">
        <v>0</v>
      </c>
    </row>
    <row r="383" spans="1:7" x14ac:dyDescent="0.25">
      <c r="A383" s="509" t="s">
        <v>873</v>
      </c>
      <c r="B383" s="509" t="s">
        <v>874</v>
      </c>
      <c r="C383" s="510">
        <v>0</v>
      </c>
      <c r="D383" s="510">
        <v>0</v>
      </c>
      <c r="E383" s="510">
        <v>0</v>
      </c>
      <c r="F383" s="510">
        <v>0</v>
      </c>
      <c r="G383" s="510">
        <v>0</v>
      </c>
    </row>
    <row r="384" spans="1:7" x14ac:dyDescent="0.25">
      <c r="A384" s="509" t="s">
        <v>1164</v>
      </c>
      <c r="B384" s="509" t="s">
        <v>1165</v>
      </c>
      <c r="C384" s="510">
        <v>0</v>
      </c>
      <c r="D384" s="510">
        <v>0</v>
      </c>
      <c r="E384" s="510">
        <v>0</v>
      </c>
      <c r="F384" s="510">
        <v>0</v>
      </c>
      <c r="G384" s="510">
        <v>0</v>
      </c>
    </row>
    <row r="385" spans="1:7" x14ac:dyDescent="0.25">
      <c r="A385" s="509" t="s">
        <v>1166</v>
      </c>
      <c r="B385" s="509" t="s">
        <v>1167</v>
      </c>
      <c r="C385" s="510">
        <v>0</v>
      </c>
      <c r="D385" s="510">
        <v>0</v>
      </c>
      <c r="E385" s="510">
        <v>0</v>
      </c>
      <c r="F385" s="510">
        <v>0</v>
      </c>
      <c r="G385" s="510">
        <v>0</v>
      </c>
    </row>
    <row r="386" spans="1:7" x14ac:dyDescent="0.25">
      <c r="A386" s="509" t="s">
        <v>237</v>
      </c>
      <c r="B386" s="509" t="s">
        <v>93</v>
      </c>
      <c r="C386" s="510">
        <v>20000</v>
      </c>
      <c r="D386" s="510">
        <v>0</v>
      </c>
      <c r="E386" s="510">
        <v>8617.33</v>
      </c>
      <c r="F386" s="510">
        <v>0</v>
      </c>
      <c r="G386" s="510">
        <v>8617.33</v>
      </c>
    </row>
    <row r="387" spans="1:7" x14ac:dyDescent="0.25">
      <c r="A387" s="509" t="s">
        <v>1168</v>
      </c>
      <c r="B387" s="509" t="s">
        <v>1169</v>
      </c>
      <c r="C387" s="510">
        <v>0</v>
      </c>
      <c r="D387" s="510">
        <v>0</v>
      </c>
      <c r="E387" s="510">
        <v>0</v>
      </c>
      <c r="F387" s="510">
        <v>0</v>
      </c>
      <c r="G387" s="510">
        <v>0</v>
      </c>
    </row>
    <row r="388" spans="1:7" x14ac:dyDescent="0.25">
      <c r="A388" s="509" t="s">
        <v>238</v>
      </c>
      <c r="B388" s="509" t="s">
        <v>1170</v>
      </c>
      <c r="C388" s="510">
        <v>11600</v>
      </c>
      <c r="D388" s="510">
        <v>0</v>
      </c>
      <c r="E388" s="510">
        <v>2193.48</v>
      </c>
      <c r="F388" s="510">
        <v>0</v>
      </c>
      <c r="G388" s="510">
        <v>2193.48</v>
      </c>
    </row>
    <row r="389" spans="1:7" x14ac:dyDescent="0.25">
      <c r="A389" s="509" t="s">
        <v>1171</v>
      </c>
      <c r="B389" s="509" t="s">
        <v>1172</v>
      </c>
      <c r="C389" s="510">
        <v>0</v>
      </c>
      <c r="D389" s="510">
        <v>0</v>
      </c>
      <c r="E389" s="510">
        <v>0</v>
      </c>
      <c r="F389" s="510">
        <v>0</v>
      </c>
      <c r="G389" s="510">
        <v>0</v>
      </c>
    </row>
    <row r="390" spans="1:7" x14ac:dyDescent="0.25">
      <c r="A390" s="509" t="s">
        <v>239</v>
      </c>
      <c r="B390" s="509" t="s">
        <v>55</v>
      </c>
      <c r="C390" s="510">
        <v>17400</v>
      </c>
      <c r="D390" s="510">
        <v>0</v>
      </c>
      <c r="E390" s="510">
        <v>7200.1</v>
      </c>
      <c r="F390" s="510">
        <v>240.11</v>
      </c>
      <c r="G390" s="510">
        <v>6959.99</v>
      </c>
    </row>
    <row r="391" spans="1:7" x14ac:dyDescent="0.25">
      <c r="A391" s="509" t="s">
        <v>240</v>
      </c>
      <c r="B391" s="509" t="s">
        <v>102</v>
      </c>
      <c r="C391" s="510">
        <v>1000</v>
      </c>
      <c r="D391" s="510">
        <v>0</v>
      </c>
      <c r="E391" s="510">
        <v>0</v>
      </c>
      <c r="F391" s="510">
        <v>0</v>
      </c>
      <c r="G391" s="510">
        <v>0</v>
      </c>
    </row>
    <row r="392" spans="1:7" x14ac:dyDescent="0.25">
      <c r="A392" s="509" t="s">
        <v>241</v>
      </c>
      <c r="B392" s="509" t="s">
        <v>103</v>
      </c>
      <c r="C392" s="510">
        <v>3000</v>
      </c>
      <c r="D392" s="510">
        <v>0</v>
      </c>
      <c r="E392" s="510">
        <v>0</v>
      </c>
      <c r="F392" s="510">
        <v>0</v>
      </c>
      <c r="G392" s="510">
        <v>0</v>
      </c>
    </row>
    <row r="393" spans="1:7" x14ac:dyDescent="0.25">
      <c r="A393" s="509" t="s">
        <v>242</v>
      </c>
      <c r="B393" s="509" t="s">
        <v>104</v>
      </c>
      <c r="C393" s="510">
        <v>21750</v>
      </c>
      <c r="D393" s="510">
        <v>0</v>
      </c>
      <c r="E393" s="510">
        <v>0</v>
      </c>
      <c r="F393" s="510">
        <v>0</v>
      </c>
      <c r="G393" s="510">
        <v>0</v>
      </c>
    </row>
    <row r="394" spans="1:7" x14ac:dyDescent="0.25">
      <c r="A394" s="509" t="s">
        <v>2304</v>
      </c>
      <c r="B394" s="509" t="s">
        <v>1080</v>
      </c>
      <c r="C394" s="510">
        <v>0</v>
      </c>
      <c r="D394" s="510">
        <v>0</v>
      </c>
      <c r="E394" s="510">
        <v>0</v>
      </c>
      <c r="F394" s="510">
        <v>0</v>
      </c>
      <c r="G394" s="510">
        <v>0</v>
      </c>
    </row>
    <row r="395" spans="1:7" x14ac:dyDescent="0.25">
      <c r="A395" s="509" t="s">
        <v>430</v>
      </c>
      <c r="B395" s="509" t="s">
        <v>63</v>
      </c>
      <c r="C395" s="510">
        <v>44355.6</v>
      </c>
      <c r="D395" s="510">
        <v>0</v>
      </c>
      <c r="E395" s="510">
        <v>23092.59</v>
      </c>
      <c r="F395" s="510">
        <v>2053.2800000000002</v>
      </c>
      <c r="G395" s="510">
        <v>21039.31</v>
      </c>
    </row>
    <row r="396" spans="1:7" x14ac:dyDescent="0.25">
      <c r="A396" s="509" t="s">
        <v>423</v>
      </c>
      <c r="B396" s="509" t="s">
        <v>37</v>
      </c>
      <c r="C396" s="510">
        <v>257.39999999999998</v>
      </c>
      <c r="D396" s="510">
        <v>0</v>
      </c>
      <c r="E396" s="510">
        <v>0</v>
      </c>
      <c r="F396" s="510">
        <v>0</v>
      </c>
      <c r="G396" s="510">
        <v>0</v>
      </c>
    </row>
    <row r="397" spans="1:7" x14ac:dyDescent="0.25">
      <c r="A397" s="509" t="s">
        <v>412</v>
      </c>
      <c r="B397" s="509" t="s">
        <v>153</v>
      </c>
      <c r="C397" s="510">
        <v>2765.88</v>
      </c>
      <c r="D397" s="510">
        <v>0</v>
      </c>
      <c r="E397" s="510">
        <v>1391.42</v>
      </c>
      <c r="F397" s="510">
        <v>121.31</v>
      </c>
      <c r="G397" s="510">
        <v>1270.1099999999999</v>
      </c>
    </row>
    <row r="398" spans="1:7" x14ac:dyDescent="0.25">
      <c r="A398" s="509" t="s">
        <v>418</v>
      </c>
      <c r="B398" s="509" t="s">
        <v>154</v>
      </c>
      <c r="C398" s="510">
        <v>646.91999999999996</v>
      </c>
      <c r="D398" s="510">
        <v>0</v>
      </c>
      <c r="E398" s="510">
        <v>332.09</v>
      </c>
      <c r="F398" s="510">
        <v>28.38</v>
      </c>
      <c r="G398" s="510">
        <v>303.70999999999998</v>
      </c>
    </row>
    <row r="399" spans="1:7" x14ac:dyDescent="0.25">
      <c r="A399" s="509" t="s">
        <v>419</v>
      </c>
      <c r="B399" s="509" t="s">
        <v>38</v>
      </c>
      <c r="C399" s="510">
        <v>3992.04</v>
      </c>
      <c r="D399" s="510">
        <v>0</v>
      </c>
      <c r="E399" s="510">
        <v>2051.8200000000002</v>
      </c>
      <c r="F399" s="510">
        <v>0</v>
      </c>
      <c r="G399" s="510">
        <v>2051.8200000000002</v>
      </c>
    </row>
    <row r="400" spans="1:7" x14ac:dyDescent="0.25">
      <c r="A400" s="509" t="s">
        <v>409</v>
      </c>
      <c r="B400" s="509" t="s">
        <v>77</v>
      </c>
      <c r="C400" s="510">
        <v>207.36</v>
      </c>
      <c r="D400" s="510">
        <v>0</v>
      </c>
      <c r="E400" s="510">
        <v>106.92</v>
      </c>
      <c r="F400" s="510">
        <v>0</v>
      </c>
      <c r="G400" s="510">
        <v>106.92</v>
      </c>
    </row>
    <row r="401" spans="1:7" x14ac:dyDescent="0.25">
      <c r="A401" s="509" t="s">
        <v>429</v>
      </c>
      <c r="B401" s="509" t="s">
        <v>78</v>
      </c>
      <c r="C401" s="510">
        <v>89.28</v>
      </c>
      <c r="D401" s="510">
        <v>0</v>
      </c>
      <c r="E401" s="510">
        <v>41.43</v>
      </c>
      <c r="F401" s="510">
        <v>0</v>
      </c>
      <c r="G401" s="510">
        <v>41.43</v>
      </c>
    </row>
    <row r="402" spans="1:7" x14ac:dyDescent="0.25">
      <c r="A402" s="509" t="s">
        <v>2305</v>
      </c>
      <c r="B402" s="509" t="s">
        <v>2292</v>
      </c>
      <c r="C402" s="510">
        <v>0</v>
      </c>
      <c r="D402" s="510">
        <v>0</v>
      </c>
      <c r="E402" s="510">
        <v>0</v>
      </c>
      <c r="F402" s="510">
        <v>0</v>
      </c>
      <c r="G402" s="510">
        <v>0</v>
      </c>
    </row>
    <row r="403" spans="1:7" x14ac:dyDescent="0.25">
      <c r="A403" s="509" t="s">
        <v>431</v>
      </c>
      <c r="B403" s="509" t="s">
        <v>893</v>
      </c>
      <c r="C403" s="510">
        <v>1899.36</v>
      </c>
      <c r="D403" s="510">
        <v>0</v>
      </c>
      <c r="E403" s="510">
        <v>1015.36</v>
      </c>
      <c r="F403" s="510">
        <v>42.86</v>
      </c>
      <c r="G403" s="510">
        <v>972.5</v>
      </c>
    </row>
    <row r="404" spans="1:7" x14ac:dyDescent="0.25">
      <c r="A404" s="509" t="s">
        <v>417</v>
      </c>
      <c r="B404" s="509" t="s">
        <v>2249</v>
      </c>
      <c r="C404" s="510">
        <v>157.68</v>
      </c>
      <c r="D404" s="510">
        <v>0</v>
      </c>
      <c r="E404" s="510">
        <v>100.99</v>
      </c>
      <c r="F404" s="510">
        <v>28.27</v>
      </c>
      <c r="G404" s="510">
        <v>72.72</v>
      </c>
    </row>
    <row r="405" spans="1:7" x14ac:dyDescent="0.25">
      <c r="A405" s="509" t="s">
        <v>428</v>
      </c>
      <c r="B405" s="509" t="s">
        <v>64</v>
      </c>
      <c r="C405" s="510">
        <v>144</v>
      </c>
      <c r="D405" s="510">
        <v>0</v>
      </c>
      <c r="E405" s="510">
        <v>95.78</v>
      </c>
      <c r="F405" s="510">
        <v>0</v>
      </c>
      <c r="G405" s="510">
        <v>95.78</v>
      </c>
    </row>
    <row r="406" spans="1:7" x14ac:dyDescent="0.25">
      <c r="A406" s="509" t="s">
        <v>403</v>
      </c>
      <c r="B406" s="509" t="s">
        <v>65</v>
      </c>
      <c r="C406" s="510">
        <v>72</v>
      </c>
      <c r="D406" s="510">
        <v>0</v>
      </c>
      <c r="E406" s="510">
        <v>0</v>
      </c>
      <c r="F406" s="510">
        <v>0</v>
      </c>
      <c r="G406" s="510">
        <v>0</v>
      </c>
    </row>
    <row r="407" spans="1:7" x14ac:dyDescent="0.25">
      <c r="A407" s="509" t="s">
        <v>427</v>
      </c>
      <c r="B407" s="509" t="s">
        <v>40</v>
      </c>
      <c r="C407" s="510">
        <v>237.96</v>
      </c>
      <c r="D407" s="510">
        <v>0</v>
      </c>
      <c r="E407" s="510">
        <v>57.65</v>
      </c>
      <c r="F407" s="510">
        <v>11.55</v>
      </c>
      <c r="G407" s="510">
        <v>46.1</v>
      </c>
    </row>
    <row r="408" spans="1:7" x14ac:dyDescent="0.25">
      <c r="A408" s="509" t="s">
        <v>411</v>
      </c>
      <c r="B408" s="509" t="s">
        <v>41</v>
      </c>
      <c r="C408" s="510">
        <v>5.4</v>
      </c>
      <c r="D408" s="510">
        <v>0</v>
      </c>
      <c r="E408" s="510">
        <v>1.38</v>
      </c>
      <c r="F408" s="510">
        <v>0.27</v>
      </c>
      <c r="G408" s="510">
        <v>1.1100000000000001</v>
      </c>
    </row>
    <row r="409" spans="1:7" x14ac:dyDescent="0.25">
      <c r="A409" s="509" t="s">
        <v>410</v>
      </c>
      <c r="B409" s="509" t="s">
        <v>42</v>
      </c>
      <c r="C409" s="510">
        <v>123.84</v>
      </c>
      <c r="D409" s="510">
        <v>0</v>
      </c>
      <c r="E409" s="510">
        <v>53.83</v>
      </c>
      <c r="F409" s="510">
        <v>2.88</v>
      </c>
      <c r="G409" s="510">
        <v>50.95</v>
      </c>
    </row>
    <row r="410" spans="1:7" x14ac:dyDescent="0.25">
      <c r="A410" s="509" t="s">
        <v>404</v>
      </c>
      <c r="B410" s="509" t="s">
        <v>2252</v>
      </c>
      <c r="C410" s="510">
        <v>3614.4</v>
      </c>
      <c r="D410" s="510">
        <v>0</v>
      </c>
      <c r="E410" s="510">
        <v>1821.21</v>
      </c>
      <c r="F410" s="510">
        <v>141.51</v>
      </c>
      <c r="G410" s="510">
        <v>1679.7</v>
      </c>
    </row>
    <row r="411" spans="1:7" x14ac:dyDescent="0.25">
      <c r="A411" s="509" t="s">
        <v>405</v>
      </c>
      <c r="B411" s="509" t="s">
        <v>44</v>
      </c>
      <c r="C411" s="510">
        <v>2985.84</v>
      </c>
      <c r="D411" s="510">
        <v>0</v>
      </c>
      <c r="E411" s="510">
        <v>1510.55</v>
      </c>
      <c r="F411" s="510">
        <v>116.72</v>
      </c>
      <c r="G411" s="510">
        <v>1393.83</v>
      </c>
    </row>
    <row r="412" spans="1:7" x14ac:dyDescent="0.25">
      <c r="A412" s="509" t="s">
        <v>422</v>
      </c>
      <c r="B412" s="509" t="s">
        <v>183</v>
      </c>
      <c r="C412" s="510">
        <v>2196</v>
      </c>
      <c r="D412" s="510">
        <v>0</v>
      </c>
      <c r="E412" s="510">
        <v>0</v>
      </c>
      <c r="F412" s="510">
        <v>0</v>
      </c>
      <c r="G412" s="510">
        <v>0</v>
      </c>
    </row>
    <row r="413" spans="1:7" x14ac:dyDescent="0.25">
      <c r="A413" s="509" t="s">
        <v>2306</v>
      </c>
      <c r="B413" s="509" t="s">
        <v>2254</v>
      </c>
      <c r="C413" s="510">
        <v>0</v>
      </c>
      <c r="D413" s="510">
        <v>0</v>
      </c>
      <c r="E413" s="510">
        <v>0</v>
      </c>
      <c r="F413" s="510">
        <v>0</v>
      </c>
      <c r="G413" s="510">
        <v>0</v>
      </c>
    </row>
    <row r="414" spans="1:7" x14ac:dyDescent="0.25">
      <c r="A414" s="509" t="s">
        <v>2307</v>
      </c>
      <c r="B414" s="509" t="s">
        <v>2256</v>
      </c>
      <c r="C414" s="510">
        <v>0</v>
      </c>
      <c r="D414" s="510">
        <v>0</v>
      </c>
      <c r="E414" s="510">
        <v>0</v>
      </c>
      <c r="F414" s="510">
        <v>0</v>
      </c>
      <c r="G414" s="510">
        <v>0</v>
      </c>
    </row>
    <row r="415" spans="1:7" x14ac:dyDescent="0.25">
      <c r="A415" s="509" t="s">
        <v>407</v>
      </c>
      <c r="B415" s="509" t="s">
        <v>66</v>
      </c>
      <c r="C415" s="510">
        <v>3681</v>
      </c>
      <c r="D415" s="510">
        <v>0</v>
      </c>
      <c r="E415" s="510">
        <v>977.82</v>
      </c>
      <c r="F415" s="510">
        <v>0</v>
      </c>
      <c r="G415" s="510">
        <v>977.82</v>
      </c>
    </row>
    <row r="416" spans="1:7" x14ac:dyDescent="0.25">
      <c r="A416" s="509" t="s">
        <v>414</v>
      </c>
      <c r="B416" s="509" t="s">
        <v>67</v>
      </c>
      <c r="C416" s="510">
        <v>1447.92</v>
      </c>
      <c r="D416" s="510">
        <v>0</v>
      </c>
      <c r="E416" s="510">
        <v>318.95999999999998</v>
      </c>
      <c r="F416" s="510">
        <v>0</v>
      </c>
      <c r="G416" s="510">
        <v>318.95999999999998</v>
      </c>
    </row>
    <row r="417" spans="1:7" x14ac:dyDescent="0.25">
      <c r="A417" s="509" t="s">
        <v>402</v>
      </c>
      <c r="B417" s="509" t="s">
        <v>1161</v>
      </c>
      <c r="C417" s="510">
        <v>209.88</v>
      </c>
      <c r="D417" s="510">
        <v>0</v>
      </c>
      <c r="E417" s="510">
        <v>0</v>
      </c>
      <c r="F417" s="510">
        <v>0</v>
      </c>
      <c r="G417" s="510">
        <v>0</v>
      </c>
    </row>
    <row r="418" spans="1:7" x14ac:dyDescent="0.25">
      <c r="A418" s="509" t="s">
        <v>408</v>
      </c>
      <c r="B418" s="509" t="s">
        <v>68</v>
      </c>
      <c r="C418" s="510">
        <v>21717</v>
      </c>
      <c r="D418" s="510">
        <v>0</v>
      </c>
      <c r="E418" s="510">
        <v>8304.6</v>
      </c>
      <c r="F418" s="510">
        <v>0</v>
      </c>
      <c r="G418" s="510">
        <v>8304.6</v>
      </c>
    </row>
    <row r="419" spans="1:7" x14ac:dyDescent="0.25">
      <c r="A419" s="509" t="s">
        <v>413</v>
      </c>
      <c r="B419" s="509" t="s">
        <v>49</v>
      </c>
      <c r="C419" s="510">
        <v>0</v>
      </c>
      <c r="D419" s="510">
        <v>0</v>
      </c>
      <c r="E419" s="510">
        <v>0</v>
      </c>
      <c r="F419" s="510">
        <v>0</v>
      </c>
      <c r="G419" s="510">
        <v>0</v>
      </c>
    </row>
    <row r="420" spans="1:7" x14ac:dyDescent="0.25">
      <c r="A420" s="509" t="s">
        <v>426</v>
      </c>
      <c r="B420" s="509" t="s">
        <v>69</v>
      </c>
      <c r="C420" s="510">
        <v>4462.92</v>
      </c>
      <c r="D420" s="510">
        <v>0</v>
      </c>
      <c r="E420" s="510">
        <v>1632.77</v>
      </c>
      <c r="F420" s="510">
        <v>0</v>
      </c>
      <c r="G420" s="510">
        <v>1632.77</v>
      </c>
    </row>
    <row r="421" spans="1:7" x14ac:dyDescent="0.25">
      <c r="A421" s="509" t="s">
        <v>424</v>
      </c>
      <c r="B421" s="509" t="s">
        <v>70</v>
      </c>
      <c r="C421" s="510">
        <v>361.8</v>
      </c>
      <c r="D421" s="510">
        <v>0</v>
      </c>
      <c r="E421" s="510">
        <v>0</v>
      </c>
      <c r="F421" s="510">
        <v>0</v>
      </c>
      <c r="G421" s="510">
        <v>0</v>
      </c>
    </row>
    <row r="422" spans="1:7" x14ac:dyDescent="0.25">
      <c r="A422" s="509" t="s">
        <v>425</v>
      </c>
      <c r="B422" s="509" t="s">
        <v>47</v>
      </c>
      <c r="C422" s="510">
        <v>2797.92</v>
      </c>
      <c r="D422" s="510">
        <v>0</v>
      </c>
      <c r="E422" s="510">
        <v>0</v>
      </c>
      <c r="F422" s="510">
        <v>0</v>
      </c>
      <c r="G422" s="510">
        <v>0</v>
      </c>
    </row>
    <row r="423" spans="1:7" x14ac:dyDescent="0.25">
      <c r="A423" s="509" t="s">
        <v>421</v>
      </c>
      <c r="B423" s="509" t="s">
        <v>48</v>
      </c>
      <c r="C423" s="510">
        <v>227.88</v>
      </c>
      <c r="D423" s="510">
        <v>0</v>
      </c>
      <c r="E423" s="510">
        <v>0</v>
      </c>
      <c r="F423" s="510">
        <v>0</v>
      </c>
      <c r="G423" s="510">
        <v>0</v>
      </c>
    </row>
    <row r="424" spans="1:7" x14ac:dyDescent="0.25">
      <c r="A424" s="509" t="s">
        <v>1105</v>
      </c>
      <c r="B424" s="509" t="s">
        <v>49</v>
      </c>
      <c r="C424" s="510">
        <v>3481.92</v>
      </c>
      <c r="D424" s="510">
        <v>0</v>
      </c>
      <c r="E424" s="510">
        <v>795.68</v>
      </c>
      <c r="F424" s="510">
        <v>0</v>
      </c>
      <c r="G424" s="510">
        <v>795.68</v>
      </c>
    </row>
    <row r="425" spans="1:7" x14ac:dyDescent="0.25">
      <c r="A425" s="509" t="s">
        <v>2308</v>
      </c>
      <c r="B425" s="509" t="s">
        <v>1151</v>
      </c>
      <c r="C425" s="510">
        <v>0</v>
      </c>
      <c r="D425" s="510">
        <v>0</v>
      </c>
      <c r="E425" s="510">
        <v>0</v>
      </c>
      <c r="F425" s="510">
        <v>0</v>
      </c>
      <c r="G425" s="510">
        <v>0</v>
      </c>
    </row>
    <row r="426" spans="1:7" x14ac:dyDescent="0.25">
      <c r="A426" s="509" t="s">
        <v>2309</v>
      </c>
      <c r="B426" s="509" t="s">
        <v>1152</v>
      </c>
      <c r="C426" s="510">
        <v>0</v>
      </c>
      <c r="D426" s="510">
        <v>0</v>
      </c>
      <c r="E426" s="510">
        <v>0</v>
      </c>
      <c r="F426" s="510">
        <v>0</v>
      </c>
      <c r="G426" s="510">
        <v>0</v>
      </c>
    </row>
    <row r="427" spans="1:7" x14ac:dyDescent="0.25">
      <c r="A427" s="509" t="s">
        <v>2310</v>
      </c>
      <c r="B427" s="509" t="s">
        <v>53</v>
      </c>
      <c r="C427" s="510">
        <v>0</v>
      </c>
      <c r="D427" s="510">
        <v>0</v>
      </c>
      <c r="E427" s="510">
        <v>0</v>
      </c>
      <c r="F427" s="510">
        <v>0</v>
      </c>
      <c r="G427" s="510">
        <v>0</v>
      </c>
    </row>
    <row r="428" spans="1:7" x14ac:dyDescent="0.25">
      <c r="A428" s="509" t="s">
        <v>2311</v>
      </c>
      <c r="B428" s="509" t="s">
        <v>71</v>
      </c>
      <c r="C428" s="510">
        <v>0</v>
      </c>
      <c r="D428" s="510">
        <v>0</v>
      </c>
      <c r="E428" s="510">
        <v>0</v>
      </c>
      <c r="F428" s="510">
        <v>0</v>
      </c>
      <c r="G428" s="510">
        <v>0</v>
      </c>
    </row>
    <row r="429" spans="1:7" x14ac:dyDescent="0.25">
      <c r="A429" s="509" t="s">
        <v>420</v>
      </c>
      <c r="B429" s="509" t="s">
        <v>54</v>
      </c>
      <c r="C429" s="510">
        <v>941.04</v>
      </c>
      <c r="D429" s="510">
        <v>0</v>
      </c>
      <c r="E429" s="510">
        <v>731.52</v>
      </c>
      <c r="F429" s="510">
        <v>0</v>
      </c>
      <c r="G429" s="510">
        <v>731.52</v>
      </c>
    </row>
    <row r="430" spans="1:7" x14ac:dyDescent="0.25">
      <c r="A430" s="509" t="s">
        <v>416</v>
      </c>
      <c r="B430" s="509" t="s">
        <v>72</v>
      </c>
      <c r="C430" s="510">
        <v>3735.36</v>
      </c>
      <c r="D430" s="510">
        <v>0</v>
      </c>
      <c r="E430" s="510">
        <v>2088</v>
      </c>
      <c r="F430" s="510">
        <v>0</v>
      </c>
      <c r="G430" s="510">
        <v>2088</v>
      </c>
    </row>
    <row r="431" spans="1:7" x14ac:dyDescent="0.25">
      <c r="A431" s="509" t="s">
        <v>406</v>
      </c>
      <c r="B431" s="509" t="s">
        <v>73</v>
      </c>
      <c r="C431" s="510">
        <v>191.88</v>
      </c>
      <c r="D431" s="510">
        <v>0</v>
      </c>
      <c r="E431" s="510">
        <v>129.6</v>
      </c>
      <c r="F431" s="510">
        <v>0</v>
      </c>
      <c r="G431" s="510">
        <v>129.6</v>
      </c>
    </row>
    <row r="432" spans="1:7" x14ac:dyDescent="0.25">
      <c r="A432" s="509" t="s">
        <v>1173</v>
      </c>
      <c r="B432" s="509" t="s">
        <v>74</v>
      </c>
      <c r="C432" s="510">
        <v>0</v>
      </c>
      <c r="D432" s="510">
        <v>0</v>
      </c>
      <c r="E432" s="510">
        <v>0</v>
      </c>
      <c r="F432" s="510">
        <v>0</v>
      </c>
      <c r="G432" s="510">
        <v>0</v>
      </c>
    </row>
    <row r="433" spans="1:7" x14ac:dyDescent="0.25">
      <c r="A433" s="509" t="s">
        <v>415</v>
      </c>
      <c r="B433" s="509" t="s">
        <v>1174</v>
      </c>
      <c r="C433" s="510">
        <v>3716.64</v>
      </c>
      <c r="D433" s="510">
        <v>0</v>
      </c>
      <c r="E433" s="510">
        <v>2903.39</v>
      </c>
      <c r="F433" s="510">
        <v>0</v>
      </c>
      <c r="G433" s="510">
        <v>2903.39</v>
      </c>
    </row>
    <row r="434" spans="1:7" x14ac:dyDescent="0.25">
      <c r="A434" s="509" t="s">
        <v>2312</v>
      </c>
      <c r="B434" s="509" t="s">
        <v>1080</v>
      </c>
      <c r="C434" s="510">
        <v>0</v>
      </c>
      <c r="D434" s="510">
        <v>0</v>
      </c>
      <c r="E434" s="510">
        <v>0</v>
      </c>
      <c r="F434" s="510">
        <v>0</v>
      </c>
      <c r="G434" s="510">
        <v>0</v>
      </c>
    </row>
    <row r="435" spans="1:7" x14ac:dyDescent="0.25">
      <c r="A435" s="509" t="s">
        <v>488</v>
      </c>
      <c r="B435" s="509" t="s">
        <v>36</v>
      </c>
      <c r="C435" s="510">
        <v>37389.599999999999</v>
      </c>
      <c r="D435" s="510">
        <v>0</v>
      </c>
      <c r="E435" s="510">
        <v>19627.04</v>
      </c>
      <c r="F435" s="510">
        <v>1679.71</v>
      </c>
      <c r="G435" s="510">
        <v>17947.330000000002</v>
      </c>
    </row>
    <row r="436" spans="1:7" x14ac:dyDescent="0.25">
      <c r="A436" s="509" t="s">
        <v>483</v>
      </c>
      <c r="B436" s="509" t="s">
        <v>37</v>
      </c>
      <c r="C436" s="510">
        <v>1417</v>
      </c>
      <c r="D436" s="510">
        <v>0</v>
      </c>
      <c r="E436" s="510">
        <v>717.84</v>
      </c>
      <c r="F436" s="510">
        <v>0</v>
      </c>
      <c r="G436" s="510">
        <v>717.84</v>
      </c>
    </row>
    <row r="437" spans="1:7" x14ac:dyDescent="0.25">
      <c r="A437" s="509" t="s">
        <v>474</v>
      </c>
      <c r="B437" s="509" t="s">
        <v>153</v>
      </c>
      <c r="C437" s="510">
        <v>2406</v>
      </c>
      <c r="D437" s="510">
        <v>0</v>
      </c>
      <c r="E437" s="510">
        <v>1204.57</v>
      </c>
      <c r="F437" s="510">
        <v>99.31</v>
      </c>
      <c r="G437" s="510">
        <v>1105.26</v>
      </c>
    </row>
    <row r="438" spans="1:7" x14ac:dyDescent="0.25">
      <c r="A438" s="509" t="s">
        <v>473</v>
      </c>
      <c r="B438" s="509" t="s">
        <v>154</v>
      </c>
      <c r="C438" s="510">
        <v>563</v>
      </c>
      <c r="D438" s="510">
        <v>0</v>
      </c>
      <c r="E438" s="510">
        <v>293.20999999999998</v>
      </c>
      <c r="F438" s="510">
        <v>23.23</v>
      </c>
      <c r="G438" s="510">
        <v>269.98</v>
      </c>
    </row>
    <row r="439" spans="1:7" x14ac:dyDescent="0.25">
      <c r="A439" s="509" t="s">
        <v>480</v>
      </c>
      <c r="B439" s="509" t="s">
        <v>877</v>
      </c>
      <c r="C439" s="510">
        <v>4836.24</v>
      </c>
      <c r="D439" s="510">
        <v>0</v>
      </c>
      <c r="E439" s="510">
        <v>2428.27</v>
      </c>
      <c r="F439" s="510">
        <v>0</v>
      </c>
      <c r="G439" s="510">
        <v>2428.27</v>
      </c>
    </row>
    <row r="440" spans="1:7" x14ac:dyDescent="0.25">
      <c r="A440" s="509" t="s">
        <v>470</v>
      </c>
      <c r="B440" s="509" t="s">
        <v>77</v>
      </c>
      <c r="C440" s="510">
        <v>259.2</v>
      </c>
      <c r="D440" s="510">
        <v>0</v>
      </c>
      <c r="E440" s="510">
        <v>129.79</v>
      </c>
      <c r="F440" s="510">
        <v>0</v>
      </c>
      <c r="G440" s="510">
        <v>129.79</v>
      </c>
    </row>
    <row r="441" spans="1:7" x14ac:dyDescent="0.25">
      <c r="A441" s="509" t="s">
        <v>487</v>
      </c>
      <c r="B441" s="509" t="s">
        <v>78</v>
      </c>
      <c r="C441" s="510">
        <v>81.72</v>
      </c>
      <c r="D441" s="510">
        <v>0</v>
      </c>
      <c r="E441" s="510">
        <v>44.67</v>
      </c>
      <c r="F441" s="510">
        <v>0</v>
      </c>
      <c r="G441" s="510">
        <v>44.67</v>
      </c>
    </row>
    <row r="442" spans="1:7" x14ac:dyDescent="0.25">
      <c r="A442" s="509" t="s">
        <v>490</v>
      </c>
      <c r="B442" s="509" t="s">
        <v>893</v>
      </c>
      <c r="C442" s="510">
        <v>399</v>
      </c>
      <c r="D442" s="510">
        <v>0</v>
      </c>
      <c r="E442" s="510">
        <v>371.62</v>
      </c>
      <c r="F442" s="510">
        <v>9.02</v>
      </c>
      <c r="G442" s="510">
        <v>362.6</v>
      </c>
    </row>
    <row r="443" spans="1:7" x14ac:dyDescent="0.25">
      <c r="A443" s="509" t="s">
        <v>479</v>
      </c>
      <c r="B443" s="509" t="s">
        <v>2249</v>
      </c>
      <c r="C443" s="510">
        <v>130.32</v>
      </c>
      <c r="D443" s="510">
        <v>0</v>
      </c>
      <c r="E443" s="510">
        <v>68.319999999999993</v>
      </c>
      <c r="F443" s="510">
        <v>19.13</v>
      </c>
      <c r="G443" s="510">
        <v>49.19</v>
      </c>
    </row>
    <row r="444" spans="1:7" x14ac:dyDescent="0.25">
      <c r="A444" s="509" t="s">
        <v>485</v>
      </c>
      <c r="B444" s="509" t="s">
        <v>40</v>
      </c>
      <c r="C444" s="510">
        <v>249.48</v>
      </c>
      <c r="D444" s="510">
        <v>0</v>
      </c>
      <c r="E444" s="510">
        <v>22.81</v>
      </c>
      <c r="F444" s="510">
        <v>12.32</v>
      </c>
      <c r="G444" s="510">
        <v>10.49</v>
      </c>
    </row>
    <row r="445" spans="1:7" x14ac:dyDescent="0.25">
      <c r="A445" s="509" t="s">
        <v>472</v>
      </c>
      <c r="B445" s="509" t="s">
        <v>41</v>
      </c>
      <c r="C445" s="510">
        <v>5.4</v>
      </c>
      <c r="D445" s="510">
        <v>0</v>
      </c>
      <c r="E445" s="510">
        <v>0.55000000000000004</v>
      </c>
      <c r="F445" s="510">
        <v>0.3</v>
      </c>
      <c r="G445" s="510">
        <v>0.25</v>
      </c>
    </row>
    <row r="446" spans="1:7" x14ac:dyDescent="0.25">
      <c r="A446" s="509" t="s">
        <v>471</v>
      </c>
      <c r="B446" s="509" t="s">
        <v>42</v>
      </c>
      <c r="C446" s="510">
        <v>102.24</v>
      </c>
      <c r="D446" s="510">
        <v>0</v>
      </c>
      <c r="E446" s="510">
        <v>36.33</v>
      </c>
      <c r="F446" s="510">
        <v>1.95</v>
      </c>
      <c r="G446" s="510">
        <v>34.380000000000003</v>
      </c>
    </row>
    <row r="447" spans="1:7" x14ac:dyDescent="0.25">
      <c r="A447" s="509" t="s">
        <v>465</v>
      </c>
      <c r="B447" s="509" t="s">
        <v>2252</v>
      </c>
      <c r="C447" s="510">
        <v>2982.6</v>
      </c>
      <c r="D447" s="510">
        <v>0</v>
      </c>
      <c r="E447" s="510">
        <v>1456.71</v>
      </c>
      <c r="F447" s="510">
        <v>116.43</v>
      </c>
      <c r="G447" s="510">
        <v>1340.28</v>
      </c>
    </row>
    <row r="448" spans="1:7" x14ac:dyDescent="0.25">
      <c r="A448" s="509" t="s">
        <v>466</v>
      </c>
      <c r="B448" s="509" t="s">
        <v>44</v>
      </c>
      <c r="C448" s="510">
        <v>2463.84</v>
      </c>
      <c r="D448" s="510">
        <v>0</v>
      </c>
      <c r="E448" s="510">
        <v>1208.1400000000001</v>
      </c>
      <c r="F448" s="510">
        <v>96.01</v>
      </c>
      <c r="G448" s="510">
        <v>1112.1300000000001</v>
      </c>
    </row>
    <row r="449" spans="1:7" x14ac:dyDescent="0.25">
      <c r="A449" s="509" t="s">
        <v>482</v>
      </c>
      <c r="B449" s="509" t="s">
        <v>183</v>
      </c>
      <c r="C449" s="510">
        <v>1422</v>
      </c>
      <c r="D449" s="510">
        <v>0</v>
      </c>
      <c r="E449" s="510">
        <v>0</v>
      </c>
      <c r="F449" s="510">
        <v>0</v>
      </c>
      <c r="G449" s="510">
        <v>0</v>
      </c>
    </row>
    <row r="450" spans="1:7" x14ac:dyDescent="0.25">
      <c r="A450" s="509" t="s">
        <v>2313</v>
      </c>
      <c r="B450" s="509" t="s">
        <v>2254</v>
      </c>
      <c r="C450" s="510">
        <v>0</v>
      </c>
      <c r="D450" s="510">
        <v>0</v>
      </c>
      <c r="E450" s="510">
        <v>0</v>
      </c>
      <c r="F450" s="510">
        <v>0</v>
      </c>
      <c r="G450" s="510">
        <v>0</v>
      </c>
    </row>
    <row r="451" spans="1:7" x14ac:dyDescent="0.25">
      <c r="A451" s="509" t="s">
        <v>2314</v>
      </c>
      <c r="B451" s="509" t="s">
        <v>2256</v>
      </c>
      <c r="C451" s="510">
        <v>0</v>
      </c>
      <c r="D451" s="510">
        <v>0</v>
      </c>
      <c r="E451" s="510">
        <v>0</v>
      </c>
      <c r="F451" s="510">
        <v>0</v>
      </c>
      <c r="G451" s="510">
        <v>0</v>
      </c>
    </row>
    <row r="452" spans="1:7" x14ac:dyDescent="0.25">
      <c r="A452" s="509" t="s">
        <v>464</v>
      </c>
      <c r="B452" s="509" t="s">
        <v>1161</v>
      </c>
      <c r="C452" s="510">
        <v>72</v>
      </c>
      <c r="D452" s="510">
        <v>0</v>
      </c>
      <c r="E452" s="510">
        <v>0</v>
      </c>
      <c r="F452" s="510">
        <v>0</v>
      </c>
      <c r="G452" s="510">
        <v>0</v>
      </c>
    </row>
    <row r="453" spans="1:7" x14ac:dyDescent="0.25">
      <c r="A453" s="509" t="s">
        <v>484</v>
      </c>
      <c r="B453" s="509" t="s">
        <v>47</v>
      </c>
      <c r="C453" s="510">
        <v>3600</v>
      </c>
      <c r="D453" s="510">
        <v>0</v>
      </c>
      <c r="E453" s="510">
        <v>1570.19</v>
      </c>
      <c r="F453" s="510">
        <v>0</v>
      </c>
      <c r="G453" s="510">
        <v>1570.19</v>
      </c>
    </row>
    <row r="454" spans="1:7" x14ac:dyDescent="0.25">
      <c r="A454" s="509" t="s">
        <v>2315</v>
      </c>
      <c r="B454" s="509" t="s">
        <v>48</v>
      </c>
      <c r="C454" s="510">
        <v>0</v>
      </c>
      <c r="D454" s="510">
        <v>0</v>
      </c>
      <c r="E454" s="510">
        <v>0</v>
      </c>
      <c r="F454" s="510">
        <v>0</v>
      </c>
      <c r="G454" s="510">
        <v>0</v>
      </c>
    </row>
    <row r="455" spans="1:7" x14ac:dyDescent="0.25">
      <c r="A455" s="509" t="s">
        <v>475</v>
      </c>
      <c r="B455" s="509" t="s">
        <v>49</v>
      </c>
      <c r="C455" s="510">
        <v>360</v>
      </c>
      <c r="D455" s="510">
        <v>0</v>
      </c>
      <c r="E455" s="510">
        <v>0</v>
      </c>
      <c r="F455" s="510">
        <v>0</v>
      </c>
      <c r="G455" s="510">
        <v>0</v>
      </c>
    </row>
    <row r="456" spans="1:7" x14ac:dyDescent="0.25">
      <c r="A456" s="509" t="s">
        <v>467</v>
      </c>
      <c r="B456" s="509" t="s">
        <v>50</v>
      </c>
      <c r="C456" s="510">
        <v>180</v>
      </c>
      <c r="D456" s="510">
        <v>0</v>
      </c>
      <c r="E456" s="510">
        <v>126</v>
      </c>
      <c r="F456" s="510">
        <v>0</v>
      </c>
      <c r="G456" s="510">
        <v>126</v>
      </c>
    </row>
    <row r="457" spans="1:7" x14ac:dyDescent="0.25">
      <c r="A457" s="509" t="s">
        <v>463</v>
      </c>
      <c r="B457" s="509" t="s">
        <v>51</v>
      </c>
      <c r="C457" s="510">
        <v>1800</v>
      </c>
      <c r="D457" s="510">
        <v>0</v>
      </c>
      <c r="E457" s="510">
        <v>0</v>
      </c>
      <c r="F457" s="510">
        <v>0</v>
      </c>
      <c r="G457" s="510">
        <v>0</v>
      </c>
    </row>
    <row r="458" spans="1:7" x14ac:dyDescent="0.25">
      <c r="A458" s="509" t="s">
        <v>469</v>
      </c>
      <c r="B458" s="509" t="s">
        <v>52</v>
      </c>
      <c r="C458" s="510">
        <v>0</v>
      </c>
      <c r="D458" s="510">
        <v>0</v>
      </c>
      <c r="E458" s="510">
        <v>0</v>
      </c>
      <c r="F458" s="510">
        <v>0</v>
      </c>
      <c r="G458" s="510">
        <v>0</v>
      </c>
    </row>
    <row r="459" spans="1:7" x14ac:dyDescent="0.25">
      <c r="A459" s="509" t="s">
        <v>2316</v>
      </c>
      <c r="B459" s="509" t="s">
        <v>1151</v>
      </c>
      <c r="C459" s="510">
        <v>0</v>
      </c>
      <c r="D459" s="510">
        <v>0</v>
      </c>
      <c r="E459" s="510">
        <v>0</v>
      </c>
      <c r="F459" s="510">
        <v>0</v>
      </c>
      <c r="G459" s="510">
        <v>0</v>
      </c>
    </row>
    <row r="460" spans="1:7" x14ac:dyDescent="0.25">
      <c r="A460" s="509" t="s">
        <v>2317</v>
      </c>
      <c r="B460" s="509" t="s">
        <v>1152</v>
      </c>
      <c r="C460" s="510">
        <v>0</v>
      </c>
      <c r="D460" s="510">
        <v>0</v>
      </c>
      <c r="E460" s="510">
        <v>0</v>
      </c>
      <c r="F460" s="510">
        <v>0</v>
      </c>
      <c r="G460" s="510">
        <v>0</v>
      </c>
    </row>
    <row r="461" spans="1:7" x14ac:dyDescent="0.25">
      <c r="A461" s="509" t="s">
        <v>2318</v>
      </c>
      <c r="B461" s="509" t="s">
        <v>53</v>
      </c>
      <c r="C461" s="510">
        <v>0</v>
      </c>
      <c r="D461" s="510">
        <v>0</v>
      </c>
      <c r="E461" s="510">
        <v>0</v>
      </c>
      <c r="F461" s="510">
        <v>0</v>
      </c>
      <c r="G461" s="510">
        <v>0</v>
      </c>
    </row>
    <row r="462" spans="1:7" x14ac:dyDescent="0.25">
      <c r="A462" s="509" t="s">
        <v>481</v>
      </c>
      <c r="B462" s="509" t="s">
        <v>54</v>
      </c>
      <c r="C462" s="510">
        <v>1800</v>
      </c>
      <c r="D462" s="510">
        <v>0</v>
      </c>
      <c r="E462" s="510">
        <v>180</v>
      </c>
      <c r="F462" s="510">
        <v>0</v>
      </c>
      <c r="G462" s="510">
        <v>180</v>
      </c>
    </row>
    <row r="463" spans="1:7" x14ac:dyDescent="0.25">
      <c r="A463" s="509" t="s">
        <v>2319</v>
      </c>
      <c r="B463" s="509" t="s">
        <v>55</v>
      </c>
      <c r="C463" s="510">
        <v>0</v>
      </c>
      <c r="D463" s="510">
        <v>0</v>
      </c>
      <c r="E463" s="510">
        <v>0</v>
      </c>
      <c r="F463" s="510">
        <v>0</v>
      </c>
      <c r="G463" s="510">
        <v>0</v>
      </c>
    </row>
    <row r="464" spans="1:7" x14ac:dyDescent="0.25">
      <c r="A464" s="509" t="s">
        <v>486</v>
      </c>
      <c r="B464" s="509" t="s">
        <v>56</v>
      </c>
      <c r="C464" s="510">
        <v>20000</v>
      </c>
      <c r="D464" s="510">
        <v>0</v>
      </c>
      <c r="E464" s="510">
        <v>11472.53</v>
      </c>
      <c r="F464" s="510">
        <v>0</v>
      </c>
      <c r="G464" s="510">
        <v>11472.53</v>
      </c>
    </row>
    <row r="465" spans="1:7" x14ac:dyDescent="0.25">
      <c r="A465" s="509" t="s">
        <v>489</v>
      </c>
      <c r="B465" s="509" t="s">
        <v>57</v>
      </c>
      <c r="C465" s="510">
        <v>25000</v>
      </c>
      <c r="D465" s="510">
        <v>0</v>
      </c>
      <c r="E465" s="510">
        <v>6000</v>
      </c>
      <c r="F465" s="510">
        <v>0</v>
      </c>
      <c r="G465" s="510">
        <v>6000</v>
      </c>
    </row>
    <row r="466" spans="1:7" x14ac:dyDescent="0.25">
      <c r="A466" s="509" t="s">
        <v>468</v>
      </c>
      <c r="B466" s="509" t="s">
        <v>58</v>
      </c>
      <c r="C466" s="510">
        <v>15250</v>
      </c>
      <c r="D466" s="510">
        <v>0</v>
      </c>
      <c r="E466" s="510">
        <v>4509.7700000000004</v>
      </c>
      <c r="F466" s="510">
        <v>0</v>
      </c>
      <c r="G466" s="510">
        <v>4509.7700000000004</v>
      </c>
    </row>
    <row r="467" spans="1:7" x14ac:dyDescent="0.25">
      <c r="A467" s="509" t="s">
        <v>478</v>
      </c>
      <c r="B467" s="509" t="s">
        <v>59</v>
      </c>
      <c r="C467" s="510">
        <v>20000</v>
      </c>
      <c r="D467" s="510">
        <v>0</v>
      </c>
      <c r="E467" s="510">
        <v>5224.47</v>
      </c>
      <c r="F467" s="510">
        <v>0</v>
      </c>
      <c r="G467" s="510">
        <v>5224.47</v>
      </c>
    </row>
    <row r="468" spans="1:7" x14ac:dyDescent="0.25">
      <c r="A468" s="509" t="s">
        <v>476</v>
      </c>
      <c r="B468" s="509" t="s">
        <v>2320</v>
      </c>
      <c r="C468" s="510">
        <v>2500</v>
      </c>
      <c r="D468" s="510">
        <v>0</v>
      </c>
      <c r="E468" s="510">
        <v>670.1</v>
      </c>
      <c r="F468" s="510">
        <v>0</v>
      </c>
      <c r="G468" s="510">
        <v>670.1</v>
      </c>
    </row>
    <row r="469" spans="1:7" x14ac:dyDescent="0.25">
      <c r="A469" s="509" t="s">
        <v>477</v>
      </c>
      <c r="B469" s="509" t="s">
        <v>60</v>
      </c>
      <c r="C469" s="510">
        <v>1080</v>
      </c>
      <c r="D469" s="510">
        <v>0</v>
      </c>
      <c r="E469" s="510">
        <v>0</v>
      </c>
      <c r="F469" s="510">
        <v>0</v>
      </c>
      <c r="G469" s="510">
        <v>0</v>
      </c>
    </row>
    <row r="470" spans="1:7" x14ac:dyDescent="0.25">
      <c r="A470" s="509" t="s">
        <v>2321</v>
      </c>
      <c r="B470" s="509" t="s">
        <v>1080</v>
      </c>
      <c r="C470" s="510">
        <v>0</v>
      </c>
      <c r="D470" s="510">
        <v>0</v>
      </c>
      <c r="E470" s="510">
        <v>0</v>
      </c>
      <c r="F470" s="510">
        <v>0</v>
      </c>
      <c r="G470" s="510">
        <v>0</v>
      </c>
    </row>
    <row r="471" spans="1:7" x14ac:dyDescent="0.25">
      <c r="A471" s="509" t="s">
        <v>539</v>
      </c>
      <c r="B471" s="509" t="s">
        <v>150</v>
      </c>
      <c r="C471" s="510">
        <v>180019</v>
      </c>
      <c r="D471" s="510">
        <v>0</v>
      </c>
      <c r="E471" s="510">
        <v>73314.679999999993</v>
      </c>
      <c r="F471" s="510">
        <v>5412.8</v>
      </c>
      <c r="G471" s="510">
        <v>67901.88</v>
      </c>
    </row>
    <row r="472" spans="1:7" x14ac:dyDescent="0.25">
      <c r="A472" s="509" t="s">
        <v>540</v>
      </c>
      <c r="B472" s="509" t="s">
        <v>667</v>
      </c>
      <c r="C472" s="510">
        <v>-112635.4</v>
      </c>
      <c r="D472" s="510">
        <v>0</v>
      </c>
      <c r="E472" s="510">
        <v>0</v>
      </c>
      <c r="F472" s="510">
        <v>10546.75</v>
      </c>
      <c r="G472" s="510">
        <v>-10546.75</v>
      </c>
    </row>
    <row r="473" spans="1:7" x14ac:dyDescent="0.25">
      <c r="A473" s="509" t="s">
        <v>534</v>
      </c>
      <c r="B473" s="509" t="s">
        <v>37</v>
      </c>
      <c r="C473" s="510">
        <v>919</v>
      </c>
      <c r="D473" s="510">
        <v>0</v>
      </c>
      <c r="E473" s="510">
        <v>0</v>
      </c>
      <c r="F473" s="510">
        <v>0</v>
      </c>
      <c r="G473" s="510">
        <v>0</v>
      </c>
    </row>
    <row r="474" spans="1:7" x14ac:dyDescent="0.25">
      <c r="A474" s="509" t="s">
        <v>528</v>
      </c>
      <c r="B474" s="509" t="s">
        <v>153</v>
      </c>
      <c r="C474" s="510">
        <v>10232</v>
      </c>
      <c r="D474" s="510">
        <v>0</v>
      </c>
      <c r="E474" s="510">
        <v>3778.13</v>
      </c>
      <c r="F474" s="510">
        <v>313.51</v>
      </c>
      <c r="G474" s="510">
        <v>3464.62</v>
      </c>
    </row>
    <row r="475" spans="1:7" x14ac:dyDescent="0.25">
      <c r="A475" s="509" t="s">
        <v>527</v>
      </c>
      <c r="B475" s="509" t="s">
        <v>154</v>
      </c>
      <c r="C475" s="510">
        <v>2624</v>
      </c>
      <c r="D475" s="510">
        <v>0</v>
      </c>
      <c r="E475" s="510">
        <v>1042.49</v>
      </c>
      <c r="F475" s="510">
        <v>73.349999999999994</v>
      </c>
      <c r="G475" s="510">
        <v>969.14</v>
      </c>
    </row>
    <row r="476" spans="1:7" x14ac:dyDescent="0.25">
      <c r="A476" s="509" t="s">
        <v>530</v>
      </c>
      <c r="B476" s="509" t="s">
        <v>38</v>
      </c>
      <c r="C476" s="510">
        <v>34915</v>
      </c>
      <c r="D476" s="510">
        <v>0</v>
      </c>
      <c r="E476" s="510">
        <v>14086.78</v>
      </c>
      <c r="F476" s="510">
        <v>0</v>
      </c>
      <c r="G476" s="510">
        <v>14086.78</v>
      </c>
    </row>
    <row r="477" spans="1:7" x14ac:dyDescent="0.25">
      <c r="A477" s="509" t="s">
        <v>522</v>
      </c>
      <c r="B477" s="509" t="s">
        <v>77</v>
      </c>
      <c r="C477" s="510">
        <v>2110</v>
      </c>
      <c r="D477" s="510">
        <v>0</v>
      </c>
      <c r="E477" s="510">
        <v>827.1</v>
      </c>
      <c r="F477" s="510">
        <v>0</v>
      </c>
      <c r="G477" s="510">
        <v>827.1</v>
      </c>
    </row>
    <row r="478" spans="1:7" x14ac:dyDescent="0.25">
      <c r="A478" s="509" t="s">
        <v>538</v>
      </c>
      <c r="B478" s="509" t="s">
        <v>78</v>
      </c>
      <c r="C478" s="510">
        <v>344</v>
      </c>
      <c r="D478" s="510">
        <v>0</v>
      </c>
      <c r="E478" s="510">
        <v>157.09</v>
      </c>
      <c r="F478" s="510">
        <v>0</v>
      </c>
      <c r="G478" s="510">
        <v>157.09</v>
      </c>
    </row>
    <row r="479" spans="1:7" x14ac:dyDescent="0.25">
      <c r="A479" s="509" t="s">
        <v>2322</v>
      </c>
      <c r="B479" s="509" t="s">
        <v>2292</v>
      </c>
      <c r="C479" s="510">
        <v>0</v>
      </c>
      <c r="D479" s="510">
        <v>0</v>
      </c>
      <c r="E479" s="510">
        <v>0</v>
      </c>
      <c r="F479" s="510">
        <v>0</v>
      </c>
      <c r="G479" s="510">
        <v>0</v>
      </c>
    </row>
    <row r="480" spans="1:7" x14ac:dyDescent="0.25">
      <c r="A480" s="509" t="s">
        <v>541</v>
      </c>
      <c r="B480" s="509" t="s">
        <v>893</v>
      </c>
      <c r="C480" s="510">
        <v>1803</v>
      </c>
      <c r="D480" s="510">
        <v>0</v>
      </c>
      <c r="E480" s="510">
        <v>716.29</v>
      </c>
      <c r="F480" s="510">
        <v>40.76</v>
      </c>
      <c r="G480" s="510">
        <v>675.53</v>
      </c>
    </row>
    <row r="481" spans="1:7" x14ac:dyDescent="0.25">
      <c r="A481" s="509" t="s">
        <v>529</v>
      </c>
      <c r="B481" s="509" t="s">
        <v>2249</v>
      </c>
      <c r="C481" s="510">
        <v>673</v>
      </c>
      <c r="D481" s="510">
        <v>0</v>
      </c>
      <c r="E481" s="510">
        <v>491.71</v>
      </c>
      <c r="F481" s="510">
        <v>150.24</v>
      </c>
      <c r="G481" s="510">
        <v>341.47</v>
      </c>
    </row>
    <row r="482" spans="1:7" x14ac:dyDescent="0.25">
      <c r="A482" s="509" t="s">
        <v>537</v>
      </c>
      <c r="B482" s="509" t="s">
        <v>64</v>
      </c>
      <c r="C482" s="510">
        <v>0</v>
      </c>
      <c r="D482" s="510">
        <v>0</v>
      </c>
      <c r="E482" s="510">
        <v>0</v>
      </c>
      <c r="F482" s="510">
        <v>0</v>
      </c>
      <c r="G482" s="510">
        <v>0</v>
      </c>
    </row>
    <row r="483" spans="1:7" x14ac:dyDescent="0.25">
      <c r="A483" s="509" t="s">
        <v>519</v>
      </c>
      <c r="B483" s="509" t="s">
        <v>65</v>
      </c>
      <c r="C483" s="510">
        <v>232</v>
      </c>
      <c r="D483" s="510">
        <v>0</v>
      </c>
      <c r="E483" s="510">
        <v>39.74</v>
      </c>
      <c r="F483" s="510">
        <v>0</v>
      </c>
      <c r="G483" s="510">
        <v>39.74</v>
      </c>
    </row>
    <row r="484" spans="1:7" x14ac:dyDescent="0.25">
      <c r="A484" s="509" t="s">
        <v>536</v>
      </c>
      <c r="B484" s="509" t="s">
        <v>40</v>
      </c>
      <c r="C484" s="510">
        <v>639</v>
      </c>
      <c r="D484" s="510">
        <v>0</v>
      </c>
      <c r="E484" s="510">
        <v>103.65</v>
      </c>
      <c r="F484" s="510">
        <v>4.3600000000000003</v>
      </c>
      <c r="G484" s="510">
        <v>99.29</v>
      </c>
    </row>
    <row r="485" spans="1:7" x14ac:dyDescent="0.25">
      <c r="A485" s="509" t="s">
        <v>526</v>
      </c>
      <c r="B485" s="509" t="s">
        <v>41</v>
      </c>
      <c r="C485" s="510">
        <v>14</v>
      </c>
      <c r="D485" s="510">
        <v>0</v>
      </c>
      <c r="E485" s="510">
        <v>2.64</v>
      </c>
      <c r="F485" s="510">
        <v>0.12</v>
      </c>
      <c r="G485" s="510">
        <v>2.52</v>
      </c>
    </row>
    <row r="486" spans="1:7" x14ac:dyDescent="0.25">
      <c r="A486" s="509" t="s">
        <v>523</v>
      </c>
      <c r="B486" s="509" t="s">
        <v>42</v>
      </c>
      <c r="C486" s="510">
        <v>548</v>
      </c>
      <c r="D486" s="510">
        <v>0</v>
      </c>
      <c r="E486" s="510">
        <v>269.14</v>
      </c>
      <c r="F486" s="510">
        <v>17.239999999999998</v>
      </c>
      <c r="G486" s="510">
        <v>251.9</v>
      </c>
    </row>
    <row r="487" spans="1:7" x14ac:dyDescent="0.25">
      <c r="A487" s="509" t="s">
        <v>520</v>
      </c>
      <c r="B487" s="509" t="s">
        <v>2252</v>
      </c>
      <c r="C487" s="510">
        <v>15969</v>
      </c>
      <c r="D487" s="510">
        <v>0</v>
      </c>
      <c r="E487" s="510">
        <v>5784.58</v>
      </c>
      <c r="F487" s="510">
        <v>457.49</v>
      </c>
      <c r="G487" s="510">
        <v>5327.09</v>
      </c>
    </row>
    <row r="488" spans="1:7" x14ac:dyDescent="0.25">
      <c r="A488" s="509" t="s">
        <v>521</v>
      </c>
      <c r="B488" s="509" t="s">
        <v>44</v>
      </c>
      <c r="C488" s="510">
        <v>13192</v>
      </c>
      <c r="D488" s="510">
        <v>0</v>
      </c>
      <c r="E488" s="510">
        <v>4796.9399999999996</v>
      </c>
      <c r="F488" s="510">
        <v>377.14</v>
      </c>
      <c r="G488" s="510">
        <v>4419.8</v>
      </c>
    </row>
    <row r="489" spans="1:7" x14ac:dyDescent="0.25">
      <c r="A489" s="509" t="s">
        <v>533</v>
      </c>
      <c r="B489" s="509" t="s">
        <v>183</v>
      </c>
      <c r="C489" s="510">
        <v>7859</v>
      </c>
      <c r="D489" s="510">
        <v>0</v>
      </c>
      <c r="E489" s="510">
        <v>0</v>
      </c>
      <c r="F489" s="510">
        <v>0</v>
      </c>
      <c r="G489" s="510">
        <v>0</v>
      </c>
    </row>
    <row r="490" spans="1:7" x14ac:dyDescent="0.25">
      <c r="A490" s="509" t="s">
        <v>2323</v>
      </c>
      <c r="B490" s="509" t="s">
        <v>2254</v>
      </c>
      <c r="C490" s="510">
        <v>0</v>
      </c>
      <c r="D490" s="510">
        <v>0</v>
      </c>
      <c r="E490" s="510">
        <v>344.08</v>
      </c>
      <c r="F490" s="510">
        <v>0</v>
      </c>
      <c r="G490" s="510">
        <v>344.08</v>
      </c>
    </row>
    <row r="491" spans="1:7" x14ac:dyDescent="0.25">
      <c r="A491" s="509" t="s">
        <v>2324</v>
      </c>
      <c r="B491" s="509" t="s">
        <v>2256</v>
      </c>
      <c r="C491" s="510">
        <v>0</v>
      </c>
      <c r="D491" s="510">
        <v>0</v>
      </c>
      <c r="E491" s="510">
        <v>438.08</v>
      </c>
      <c r="F491" s="510">
        <v>0</v>
      </c>
      <c r="G491" s="510">
        <v>438.08</v>
      </c>
    </row>
    <row r="492" spans="1:7" x14ac:dyDescent="0.25">
      <c r="A492" s="509" t="s">
        <v>2325</v>
      </c>
      <c r="B492" s="509" t="s">
        <v>1161</v>
      </c>
      <c r="C492" s="510">
        <v>124</v>
      </c>
      <c r="D492" s="510">
        <v>0</v>
      </c>
      <c r="E492" s="510">
        <v>0</v>
      </c>
      <c r="F492" s="510">
        <v>0</v>
      </c>
      <c r="G492" s="510">
        <v>0</v>
      </c>
    </row>
    <row r="493" spans="1:7" x14ac:dyDescent="0.25">
      <c r="A493" s="509" t="s">
        <v>535</v>
      </c>
      <c r="B493" s="509" t="s">
        <v>70</v>
      </c>
      <c r="C493" s="510">
        <v>0</v>
      </c>
      <c r="D493" s="510">
        <v>0</v>
      </c>
      <c r="E493" s="510">
        <v>0</v>
      </c>
      <c r="F493" s="510">
        <v>0</v>
      </c>
      <c r="G493" s="510">
        <v>0</v>
      </c>
    </row>
    <row r="494" spans="1:7" x14ac:dyDescent="0.25">
      <c r="A494" s="509" t="s">
        <v>2326</v>
      </c>
      <c r="B494" s="509" t="s">
        <v>47</v>
      </c>
      <c r="C494" s="510">
        <v>0</v>
      </c>
      <c r="D494" s="510">
        <v>0</v>
      </c>
      <c r="E494" s="510">
        <v>0</v>
      </c>
      <c r="F494" s="510">
        <v>0</v>
      </c>
      <c r="G494" s="510">
        <v>0</v>
      </c>
    </row>
    <row r="495" spans="1:7" x14ac:dyDescent="0.25">
      <c r="A495" s="509" t="s">
        <v>532</v>
      </c>
      <c r="B495" s="509" t="s">
        <v>48</v>
      </c>
      <c r="C495" s="510">
        <v>0</v>
      </c>
      <c r="D495" s="510">
        <v>0</v>
      </c>
      <c r="E495" s="510">
        <v>0</v>
      </c>
      <c r="F495" s="510">
        <v>0</v>
      </c>
      <c r="G495" s="510">
        <v>0</v>
      </c>
    </row>
    <row r="496" spans="1:7" x14ac:dyDescent="0.25">
      <c r="A496" s="509" t="s">
        <v>2327</v>
      </c>
      <c r="B496" s="509" t="s">
        <v>49</v>
      </c>
      <c r="C496" s="510">
        <v>0</v>
      </c>
      <c r="D496" s="510">
        <v>0</v>
      </c>
      <c r="E496" s="510">
        <v>0</v>
      </c>
      <c r="F496" s="510">
        <v>0</v>
      </c>
      <c r="G496" s="510">
        <v>0</v>
      </c>
    </row>
    <row r="497" spans="1:7" x14ac:dyDescent="0.25">
      <c r="A497" s="509" t="s">
        <v>2328</v>
      </c>
      <c r="B497" s="509" t="s">
        <v>50</v>
      </c>
      <c r="C497" s="510">
        <v>0</v>
      </c>
      <c r="D497" s="510">
        <v>0</v>
      </c>
      <c r="E497" s="510">
        <v>0</v>
      </c>
      <c r="F497" s="510">
        <v>0</v>
      </c>
      <c r="G497" s="510">
        <v>0</v>
      </c>
    </row>
    <row r="498" spans="1:7" x14ac:dyDescent="0.25">
      <c r="A498" s="509" t="s">
        <v>2329</v>
      </c>
      <c r="B498" s="509" t="s">
        <v>51</v>
      </c>
      <c r="C498" s="510">
        <v>0</v>
      </c>
      <c r="D498" s="510">
        <v>0</v>
      </c>
      <c r="E498" s="510">
        <v>0</v>
      </c>
      <c r="F498" s="510">
        <v>0</v>
      </c>
      <c r="G498" s="510">
        <v>0</v>
      </c>
    </row>
    <row r="499" spans="1:7" x14ac:dyDescent="0.25">
      <c r="A499" s="509" t="s">
        <v>2330</v>
      </c>
      <c r="B499" s="509" t="s">
        <v>1151</v>
      </c>
      <c r="C499" s="510">
        <v>0</v>
      </c>
      <c r="D499" s="510">
        <v>0</v>
      </c>
      <c r="E499" s="510">
        <v>0</v>
      </c>
      <c r="F499" s="510">
        <v>0</v>
      </c>
      <c r="G499" s="510">
        <v>0</v>
      </c>
    </row>
    <row r="500" spans="1:7" x14ac:dyDescent="0.25">
      <c r="A500" s="509" t="s">
        <v>2331</v>
      </c>
      <c r="B500" s="509" t="s">
        <v>1152</v>
      </c>
      <c r="C500" s="510">
        <v>0</v>
      </c>
      <c r="D500" s="510">
        <v>0</v>
      </c>
      <c r="E500" s="510">
        <v>0</v>
      </c>
      <c r="F500" s="510">
        <v>0</v>
      </c>
      <c r="G500" s="510">
        <v>0</v>
      </c>
    </row>
    <row r="501" spans="1:7" x14ac:dyDescent="0.25">
      <c r="A501" s="509" t="s">
        <v>2332</v>
      </c>
      <c r="B501" s="509" t="s">
        <v>53</v>
      </c>
      <c r="C501" s="510">
        <v>0</v>
      </c>
      <c r="D501" s="510">
        <v>0</v>
      </c>
      <c r="E501" s="510">
        <v>0</v>
      </c>
      <c r="F501" s="510">
        <v>0</v>
      </c>
      <c r="G501" s="510">
        <v>0</v>
      </c>
    </row>
    <row r="502" spans="1:7" x14ac:dyDescent="0.25">
      <c r="A502" s="509" t="s">
        <v>531</v>
      </c>
      <c r="B502" s="509" t="s">
        <v>54</v>
      </c>
      <c r="C502" s="510">
        <v>232.5</v>
      </c>
      <c r="D502" s="510">
        <v>0</v>
      </c>
      <c r="E502" s="510">
        <v>0</v>
      </c>
      <c r="F502" s="510">
        <v>0</v>
      </c>
      <c r="G502" s="510">
        <v>0</v>
      </c>
    </row>
    <row r="503" spans="1:7" x14ac:dyDescent="0.25">
      <c r="A503" s="509" t="s">
        <v>1175</v>
      </c>
      <c r="B503" s="509" t="s">
        <v>1176</v>
      </c>
      <c r="C503" s="510">
        <v>0</v>
      </c>
      <c r="D503" s="510">
        <v>0</v>
      </c>
      <c r="E503" s="510">
        <v>0</v>
      </c>
      <c r="F503" s="510">
        <v>0</v>
      </c>
      <c r="G503" s="510">
        <v>0</v>
      </c>
    </row>
    <row r="504" spans="1:7" x14ac:dyDescent="0.25">
      <c r="A504" s="509" t="s">
        <v>524</v>
      </c>
      <c r="B504" s="509" t="s">
        <v>152</v>
      </c>
      <c r="C504" s="510">
        <v>62000</v>
      </c>
      <c r="D504" s="510">
        <v>0</v>
      </c>
      <c r="E504" s="510">
        <v>6357.22</v>
      </c>
      <c r="F504" s="510">
        <v>0</v>
      </c>
      <c r="G504" s="510">
        <v>6357.22</v>
      </c>
    </row>
    <row r="505" spans="1:7" x14ac:dyDescent="0.25">
      <c r="A505" s="509" t="s">
        <v>525</v>
      </c>
      <c r="B505" s="509" t="s">
        <v>1177</v>
      </c>
      <c r="C505" s="510">
        <v>31000</v>
      </c>
      <c r="D505" s="510">
        <v>0</v>
      </c>
      <c r="E505" s="510">
        <v>0</v>
      </c>
      <c r="F505" s="510">
        <v>0</v>
      </c>
      <c r="G505" s="510">
        <v>0</v>
      </c>
    </row>
    <row r="506" spans="1:7" x14ac:dyDescent="0.25">
      <c r="A506" s="509" t="s">
        <v>2333</v>
      </c>
      <c r="B506" s="509" t="s">
        <v>2334</v>
      </c>
      <c r="C506" s="510">
        <v>0</v>
      </c>
      <c r="D506" s="510">
        <v>0</v>
      </c>
      <c r="E506" s="510">
        <v>0</v>
      </c>
      <c r="F506" s="510">
        <v>0</v>
      </c>
      <c r="G506" s="510">
        <v>0</v>
      </c>
    </row>
    <row r="507" spans="1:7" x14ac:dyDescent="0.25">
      <c r="A507" s="509" t="s">
        <v>2335</v>
      </c>
      <c r="B507" s="509" t="s">
        <v>55</v>
      </c>
      <c r="C507" s="510">
        <v>0</v>
      </c>
      <c r="D507" s="510">
        <v>0</v>
      </c>
      <c r="E507" s="510">
        <v>0</v>
      </c>
      <c r="F507" s="510">
        <v>0</v>
      </c>
      <c r="G507" s="510">
        <v>0</v>
      </c>
    </row>
    <row r="508" spans="1:7" x14ac:dyDescent="0.25">
      <c r="A508" s="509" t="s">
        <v>2336</v>
      </c>
      <c r="B508" s="509" t="s">
        <v>1080</v>
      </c>
      <c r="C508" s="510">
        <v>0</v>
      </c>
      <c r="D508" s="510">
        <v>0</v>
      </c>
      <c r="E508" s="510">
        <v>0</v>
      </c>
      <c r="F508" s="510">
        <v>0</v>
      </c>
      <c r="G508" s="510">
        <v>0</v>
      </c>
    </row>
    <row r="509" spans="1:7" x14ac:dyDescent="0.25">
      <c r="A509" s="509" t="s">
        <v>2337</v>
      </c>
      <c r="B509" s="509" t="s">
        <v>1933</v>
      </c>
      <c r="C509" s="510">
        <v>0</v>
      </c>
      <c r="D509" s="510">
        <v>186646.93</v>
      </c>
      <c r="E509" s="510">
        <v>0</v>
      </c>
      <c r="F509" s="510">
        <v>186646.93</v>
      </c>
      <c r="G509" s="510">
        <v>0</v>
      </c>
    </row>
    <row r="510" spans="1:7" x14ac:dyDescent="0.25">
      <c r="A510" s="509" t="s">
        <v>2338</v>
      </c>
      <c r="B510" s="509" t="s">
        <v>1935</v>
      </c>
      <c r="C510" s="510">
        <v>0</v>
      </c>
      <c r="D510" s="510">
        <v>0</v>
      </c>
      <c r="E510" s="510">
        <v>0</v>
      </c>
      <c r="F510" s="510">
        <v>0</v>
      </c>
      <c r="G510" s="510">
        <v>0</v>
      </c>
    </row>
    <row r="511" spans="1:7" x14ac:dyDescent="0.25">
      <c r="A511" s="509" t="s">
        <v>2339</v>
      </c>
      <c r="B511" s="509" t="s">
        <v>1937</v>
      </c>
      <c r="C511" s="510">
        <v>0</v>
      </c>
      <c r="D511" s="510">
        <v>0</v>
      </c>
      <c r="E511" s="510">
        <v>0</v>
      </c>
      <c r="F511" s="510">
        <v>0</v>
      </c>
      <c r="G511" s="510">
        <v>0</v>
      </c>
    </row>
    <row r="512" spans="1:7" x14ac:dyDescent="0.25">
      <c r="A512" s="509" t="s">
        <v>2340</v>
      </c>
      <c r="B512" s="509" t="s">
        <v>1939</v>
      </c>
      <c r="C512" s="510">
        <v>0</v>
      </c>
      <c r="D512" s="510">
        <v>0</v>
      </c>
      <c r="E512" s="510">
        <v>0</v>
      </c>
      <c r="F512" s="510">
        <v>0</v>
      </c>
      <c r="G512" s="510">
        <v>0</v>
      </c>
    </row>
    <row r="513" spans="1:7" x14ac:dyDescent="0.25">
      <c r="A513" s="509" t="s">
        <v>2341</v>
      </c>
      <c r="B513" s="509" t="s">
        <v>1941</v>
      </c>
      <c r="C513" s="510">
        <v>0</v>
      </c>
      <c r="D513" s="510">
        <v>0</v>
      </c>
      <c r="E513" s="510">
        <v>0</v>
      </c>
      <c r="F513" s="510">
        <v>0</v>
      </c>
      <c r="G513" s="510">
        <v>0</v>
      </c>
    </row>
    <row r="514" spans="1:7" x14ac:dyDescent="0.25">
      <c r="A514" s="509" t="s">
        <v>2342</v>
      </c>
      <c r="B514" s="509" t="s">
        <v>1943</v>
      </c>
      <c r="C514" s="510">
        <v>0</v>
      </c>
      <c r="D514" s="510">
        <v>0</v>
      </c>
      <c r="E514" s="510">
        <v>0</v>
      </c>
      <c r="F514" s="510">
        <v>0</v>
      </c>
      <c r="G514" s="510">
        <v>0</v>
      </c>
    </row>
    <row r="515" spans="1:7" x14ac:dyDescent="0.25">
      <c r="A515" s="509" t="s">
        <v>2343</v>
      </c>
      <c r="B515" s="509" t="s">
        <v>1945</v>
      </c>
      <c r="C515" s="510">
        <v>0</v>
      </c>
      <c r="D515" s="510">
        <v>-4215391.51</v>
      </c>
      <c r="E515" s="510">
        <v>0</v>
      </c>
      <c r="F515" s="510">
        <v>0</v>
      </c>
      <c r="G515" s="510">
        <v>-4215391.51</v>
      </c>
    </row>
    <row r="516" spans="1:7" x14ac:dyDescent="0.25">
      <c r="A516" s="509" t="s">
        <v>2344</v>
      </c>
      <c r="B516" s="509" t="s">
        <v>1947</v>
      </c>
      <c r="C516" s="510">
        <v>0</v>
      </c>
      <c r="D516" s="510">
        <v>-660920.46</v>
      </c>
      <c r="E516" s="510">
        <v>0</v>
      </c>
      <c r="F516" s="510">
        <v>0</v>
      </c>
      <c r="G516" s="510">
        <v>-660920.46</v>
      </c>
    </row>
    <row r="517" spans="1:7" x14ac:dyDescent="0.25">
      <c r="A517" s="509" t="s">
        <v>2345</v>
      </c>
      <c r="B517" s="509" t="s">
        <v>1949</v>
      </c>
      <c r="C517" s="510">
        <v>0</v>
      </c>
      <c r="D517" s="510">
        <v>363299.86</v>
      </c>
      <c r="E517" s="510">
        <v>0</v>
      </c>
      <c r="F517" s="510">
        <v>0</v>
      </c>
      <c r="G517" s="510">
        <v>363299.86</v>
      </c>
    </row>
    <row r="518" spans="1:7" x14ac:dyDescent="0.25">
      <c r="A518" s="509" t="s">
        <v>2346</v>
      </c>
      <c r="B518" s="509" t="s">
        <v>1951</v>
      </c>
      <c r="C518" s="510">
        <v>0</v>
      </c>
      <c r="D518" s="510">
        <v>0</v>
      </c>
      <c r="E518" s="510">
        <v>0</v>
      </c>
      <c r="F518" s="510">
        <v>0</v>
      </c>
      <c r="G518" s="510">
        <v>0</v>
      </c>
    </row>
    <row r="519" spans="1:7" x14ac:dyDescent="0.25">
      <c r="A519" s="509" t="s">
        <v>2347</v>
      </c>
      <c r="B519" s="509" t="s">
        <v>2282</v>
      </c>
      <c r="C519" s="510">
        <v>0</v>
      </c>
      <c r="D519" s="510">
        <v>0</v>
      </c>
      <c r="E519" s="510">
        <v>0</v>
      </c>
      <c r="F519" s="510">
        <v>0</v>
      </c>
      <c r="G519" s="510">
        <v>0</v>
      </c>
    </row>
    <row r="520" spans="1:7" x14ac:dyDescent="0.25">
      <c r="A520" s="509" t="s">
        <v>2348</v>
      </c>
      <c r="B520" s="509" t="s">
        <v>1953</v>
      </c>
      <c r="C520" s="510">
        <v>0</v>
      </c>
      <c r="D520" s="510">
        <v>529379.47</v>
      </c>
      <c r="E520" s="510">
        <v>631655.28</v>
      </c>
      <c r="F520" s="510">
        <v>339206.77</v>
      </c>
      <c r="G520" s="510">
        <v>821827.98</v>
      </c>
    </row>
    <row r="521" spans="1:7" x14ac:dyDescent="0.25">
      <c r="A521" s="509" t="s">
        <v>2349</v>
      </c>
      <c r="B521" s="509" t="s">
        <v>1955</v>
      </c>
      <c r="C521" s="510">
        <v>0</v>
      </c>
      <c r="D521" s="510">
        <v>0</v>
      </c>
      <c r="E521" s="510">
        <v>0</v>
      </c>
      <c r="F521" s="510">
        <v>0</v>
      </c>
      <c r="G521" s="510">
        <v>0</v>
      </c>
    </row>
    <row r="522" spans="1:7" x14ac:dyDescent="0.25">
      <c r="A522" s="509" t="s">
        <v>2350</v>
      </c>
      <c r="B522" s="509" t="s">
        <v>1961</v>
      </c>
      <c r="C522" s="510">
        <v>0</v>
      </c>
      <c r="D522" s="510">
        <v>0</v>
      </c>
      <c r="E522" s="510">
        <v>0</v>
      </c>
      <c r="F522" s="510">
        <v>0</v>
      </c>
      <c r="G522" s="510">
        <v>0</v>
      </c>
    </row>
    <row r="523" spans="1:7" x14ac:dyDescent="0.25">
      <c r="A523" s="509" t="s">
        <v>2351</v>
      </c>
      <c r="B523" s="509" t="s">
        <v>1963</v>
      </c>
      <c r="C523" s="510">
        <v>0</v>
      </c>
      <c r="D523" s="510">
        <v>0</v>
      </c>
      <c r="E523" s="510">
        <v>0</v>
      </c>
      <c r="F523" s="510">
        <v>0</v>
      </c>
      <c r="G523" s="510">
        <v>0</v>
      </c>
    </row>
    <row r="524" spans="1:7" x14ac:dyDescent="0.25">
      <c r="A524" s="509" t="s">
        <v>2352</v>
      </c>
      <c r="B524" s="509" t="s">
        <v>1965</v>
      </c>
      <c r="C524" s="510">
        <v>0</v>
      </c>
      <c r="D524" s="510">
        <v>0</v>
      </c>
      <c r="E524" s="510">
        <v>0</v>
      </c>
      <c r="F524" s="510">
        <v>0</v>
      </c>
      <c r="G524" s="510">
        <v>0</v>
      </c>
    </row>
    <row r="525" spans="1:7" x14ac:dyDescent="0.25">
      <c r="A525" s="509" t="s">
        <v>2353</v>
      </c>
      <c r="B525" s="509" t="s">
        <v>1967</v>
      </c>
      <c r="C525" s="510">
        <v>0</v>
      </c>
      <c r="D525" s="510">
        <v>0</v>
      </c>
      <c r="E525" s="510">
        <v>0</v>
      </c>
      <c r="F525" s="510">
        <v>0</v>
      </c>
      <c r="G525" s="510">
        <v>0</v>
      </c>
    </row>
    <row r="526" spans="1:7" x14ac:dyDescent="0.25">
      <c r="A526" s="509" t="s">
        <v>2354</v>
      </c>
      <c r="B526" s="509" t="s">
        <v>1969</v>
      </c>
      <c r="C526" s="510">
        <v>0</v>
      </c>
      <c r="D526" s="510">
        <v>0</v>
      </c>
      <c r="E526" s="510">
        <v>0</v>
      </c>
      <c r="F526" s="510">
        <v>0</v>
      </c>
      <c r="G526" s="510">
        <v>0</v>
      </c>
    </row>
    <row r="527" spans="1:7" x14ac:dyDescent="0.25">
      <c r="A527" s="509" t="s">
        <v>2355</v>
      </c>
      <c r="B527" s="509" t="s">
        <v>1971</v>
      </c>
      <c r="C527" s="510">
        <v>0</v>
      </c>
      <c r="D527" s="510">
        <v>233329.58</v>
      </c>
      <c r="E527" s="510">
        <v>541.47</v>
      </c>
      <c r="F527" s="510">
        <v>0</v>
      </c>
      <c r="G527" s="510">
        <v>233871.05</v>
      </c>
    </row>
    <row r="528" spans="1:7" x14ac:dyDescent="0.25">
      <c r="A528" s="509" t="s">
        <v>2356</v>
      </c>
      <c r="B528" s="509" t="s">
        <v>1973</v>
      </c>
      <c r="C528" s="510">
        <v>0</v>
      </c>
      <c r="D528" s="510">
        <v>0</v>
      </c>
      <c r="E528" s="510">
        <v>0</v>
      </c>
      <c r="F528" s="510">
        <v>0</v>
      </c>
      <c r="G528" s="510">
        <v>0</v>
      </c>
    </row>
    <row r="529" spans="1:7" x14ac:dyDescent="0.25">
      <c r="A529" s="509" t="s">
        <v>2357</v>
      </c>
      <c r="B529" s="509" t="s">
        <v>1975</v>
      </c>
      <c r="C529" s="510">
        <v>0</v>
      </c>
      <c r="D529" s="510">
        <v>313107.37</v>
      </c>
      <c r="E529" s="510">
        <v>404.45</v>
      </c>
      <c r="F529" s="510">
        <v>0</v>
      </c>
      <c r="G529" s="510">
        <v>313511.82</v>
      </c>
    </row>
    <row r="530" spans="1:7" x14ac:dyDescent="0.25">
      <c r="A530" s="509" t="s">
        <v>2358</v>
      </c>
      <c r="B530" s="509" t="s">
        <v>1977</v>
      </c>
      <c r="C530" s="510">
        <v>0</v>
      </c>
      <c r="D530" s="510">
        <v>0</v>
      </c>
      <c r="E530" s="510">
        <v>0</v>
      </c>
      <c r="F530" s="510">
        <v>0</v>
      </c>
      <c r="G530" s="510">
        <v>0</v>
      </c>
    </row>
    <row r="531" spans="1:7" x14ac:dyDescent="0.25">
      <c r="A531" s="509" t="s">
        <v>2359</v>
      </c>
      <c r="B531" s="509" t="s">
        <v>1979</v>
      </c>
      <c r="C531" s="510">
        <v>0</v>
      </c>
      <c r="D531" s="510">
        <v>157443.75</v>
      </c>
      <c r="E531" s="510">
        <v>3856.08</v>
      </c>
      <c r="F531" s="510">
        <v>3856.09</v>
      </c>
      <c r="G531" s="510">
        <v>157443.74</v>
      </c>
    </row>
    <row r="532" spans="1:7" x14ac:dyDescent="0.25">
      <c r="A532" s="509" t="s">
        <v>2360</v>
      </c>
      <c r="B532" s="509" t="s">
        <v>1981</v>
      </c>
      <c r="C532" s="510">
        <v>0</v>
      </c>
      <c r="D532" s="510">
        <v>0</v>
      </c>
      <c r="E532" s="510">
        <v>0</v>
      </c>
      <c r="F532" s="510">
        <v>0</v>
      </c>
      <c r="G532" s="510">
        <v>0</v>
      </c>
    </row>
    <row r="533" spans="1:7" x14ac:dyDescent="0.25">
      <c r="A533" s="509" t="s">
        <v>2361</v>
      </c>
      <c r="B533" s="509" t="s">
        <v>1983</v>
      </c>
      <c r="C533" s="510">
        <v>0</v>
      </c>
      <c r="D533" s="510">
        <v>0</v>
      </c>
      <c r="E533" s="510">
        <v>0</v>
      </c>
      <c r="F533" s="510">
        <v>0</v>
      </c>
      <c r="G533" s="510">
        <v>0</v>
      </c>
    </row>
    <row r="534" spans="1:7" x14ac:dyDescent="0.25">
      <c r="A534" s="509" t="s">
        <v>2362</v>
      </c>
      <c r="B534" s="509" t="s">
        <v>1985</v>
      </c>
      <c r="C534" s="510">
        <v>0</v>
      </c>
      <c r="D534" s="510">
        <v>0</v>
      </c>
      <c r="E534" s="510">
        <v>45271.88</v>
      </c>
      <c r="F534" s="510">
        <v>45271.88</v>
      </c>
      <c r="G534" s="510">
        <v>0</v>
      </c>
    </row>
    <row r="535" spans="1:7" x14ac:dyDescent="0.25">
      <c r="A535" s="509" t="s">
        <v>2363</v>
      </c>
      <c r="B535" s="509" t="s">
        <v>1987</v>
      </c>
      <c r="C535" s="510">
        <v>0</v>
      </c>
      <c r="D535" s="510">
        <v>0</v>
      </c>
      <c r="E535" s="510">
        <v>0</v>
      </c>
      <c r="F535" s="510">
        <v>0</v>
      </c>
      <c r="G535" s="510">
        <v>0</v>
      </c>
    </row>
    <row r="536" spans="1:7" x14ac:dyDescent="0.25">
      <c r="A536" s="509" t="s">
        <v>2364</v>
      </c>
      <c r="B536" s="509" t="s">
        <v>1989</v>
      </c>
      <c r="C536" s="510">
        <v>0</v>
      </c>
      <c r="D536" s="510">
        <v>0</v>
      </c>
      <c r="E536" s="510">
        <v>0</v>
      </c>
      <c r="F536" s="510">
        <v>0</v>
      </c>
      <c r="G536" s="510">
        <v>0</v>
      </c>
    </row>
    <row r="537" spans="1:7" x14ac:dyDescent="0.25">
      <c r="A537" s="509" t="s">
        <v>2365</v>
      </c>
      <c r="B537" s="509" t="s">
        <v>1991</v>
      </c>
      <c r="C537" s="510">
        <v>0</v>
      </c>
      <c r="D537" s="510">
        <v>0</v>
      </c>
      <c r="E537" s="510">
        <v>0</v>
      </c>
      <c r="F537" s="510">
        <v>0</v>
      </c>
      <c r="G537" s="510">
        <v>0</v>
      </c>
    </row>
    <row r="538" spans="1:7" x14ac:dyDescent="0.25">
      <c r="A538" s="509" t="s">
        <v>2366</v>
      </c>
      <c r="B538" s="509" t="s">
        <v>1993</v>
      </c>
      <c r="C538" s="510">
        <v>0</v>
      </c>
      <c r="D538" s="510">
        <v>0.17</v>
      </c>
      <c r="E538" s="510">
        <v>10433.89</v>
      </c>
      <c r="F538" s="510">
        <v>10434</v>
      </c>
      <c r="G538" s="510">
        <v>0.06</v>
      </c>
    </row>
    <row r="539" spans="1:7" x14ac:dyDescent="0.25">
      <c r="A539" s="509" t="s">
        <v>2367</v>
      </c>
      <c r="B539" s="509" t="s">
        <v>1995</v>
      </c>
      <c r="C539" s="510">
        <v>0</v>
      </c>
      <c r="D539" s="510">
        <v>67961.14</v>
      </c>
      <c r="E539" s="510">
        <v>4.8600000000000003</v>
      </c>
      <c r="F539" s="510">
        <v>3.37</v>
      </c>
      <c r="G539" s="510">
        <v>67962.63</v>
      </c>
    </row>
    <row r="540" spans="1:7" x14ac:dyDescent="0.25">
      <c r="A540" s="509" t="s">
        <v>2368</v>
      </c>
      <c r="B540" s="509" t="s">
        <v>1997</v>
      </c>
      <c r="C540" s="510">
        <v>0</v>
      </c>
      <c r="D540" s="510">
        <v>0</v>
      </c>
      <c r="E540" s="510">
        <v>0</v>
      </c>
      <c r="F540" s="510">
        <v>0</v>
      </c>
      <c r="G540" s="510">
        <v>0</v>
      </c>
    </row>
    <row r="541" spans="1:7" x14ac:dyDescent="0.25">
      <c r="A541" s="509" t="s">
        <v>2369</v>
      </c>
      <c r="B541" s="509" t="s">
        <v>1999</v>
      </c>
      <c r="C541" s="510">
        <v>0</v>
      </c>
      <c r="D541" s="510">
        <v>0</v>
      </c>
      <c r="E541" s="510">
        <v>0</v>
      </c>
      <c r="F541" s="510">
        <v>0</v>
      </c>
      <c r="G541" s="510">
        <v>0</v>
      </c>
    </row>
    <row r="542" spans="1:7" x14ac:dyDescent="0.25">
      <c r="A542" s="509" t="s">
        <v>2370</v>
      </c>
      <c r="B542" s="509" t="s">
        <v>2371</v>
      </c>
      <c r="C542" s="510">
        <v>0</v>
      </c>
      <c r="D542" s="510">
        <v>0</v>
      </c>
      <c r="E542" s="510">
        <v>0</v>
      </c>
      <c r="F542" s="510">
        <v>0</v>
      </c>
      <c r="G542" s="510">
        <v>0</v>
      </c>
    </row>
    <row r="543" spans="1:7" x14ac:dyDescent="0.25">
      <c r="A543" s="509" t="s">
        <v>2372</v>
      </c>
      <c r="B543" s="509" t="s">
        <v>2003</v>
      </c>
      <c r="C543" s="510">
        <v>0</v>
      </c>
      <c r="D543" s="510">
        <v>0</v>
      </c>
      <c r="E543" s="510">
        <v>0</v>
      </c>
      <c r="F543" s="510">
        <v>0</v>
      </c>
      <c r="G543" s="510">
        <v>0</v>
      </c>
    </row>
    <row r="544" spans="1:7" x14ac:dyDescent="0.25">
      <c r="A544" s="509" t="s">
        <v>1816</v>
      </c>
      <c r="B544" s="509" t="s">
        <v>2004</v>
      </c>
      <c r="C544" s="510">
        <v>0</v>
      </c>
      <c r="D544" s="510">
        <v>288158.55</v>
      </c>
      <c r="E544" s="510">
        <v>334.07</v>
      </c>
      <c r="F544" s="510">
        <v>875.25</v>
      </c>
      <c r="G544" s="510">
        <v>287617.37</v>
      </c>
    </row>
    <row r="545" spans="1:7" x14ac:dyDescent="0.25">
      <c r="A545" s="509" t="s">
        <v>1818</v>
      </c>
      <c r="B545" s="509" t="s">
        <v>2005</v>
      </c>
      <c r="C545" s="510">
        <v>0</v>
      </c>
      <c r="D545" s="510">
        <v>300652.90999999997</v>
      </c>
      <c r="E545" s="510">
        <v>1224.9000000000001</v>
      </c>
      <c r="F545" s="510">
        <v>0</v>
      </c>
      <c r="G545" s="510">
        <v>301877.81</v>
      </c>
    </row>
    <row r="546" spans="1:7" x14ac:dyDescent="0.25">
      <c r="A546" s="509" t="s">
        <v>1820</v>
      </c>
      <c r="B546" s="509" t="s">
        <v>2006</v>
      </c>
      <c r="C546" s="510">
        <v>0</v>
      </c>
      <c r="D546" s="510">
        <v>826365.78</v>
      </c>
      <c r="E546" s="510">
        <v>959.57</v>
      </c>
      <c r="F546" s="510">
        <v>0</v>
      </c>
      <c r="G546" s="510">
        <v>827325.35</v>
      </c>
    </row>
    <row r="547" spans="1:7" x14ac:dyDescent="0.25">
      <c r="A547" s="509" t="s">
        <v>2373</v>
      </c>
      <c r="B547" s="509" t="s">
        <v>2008</v>
      </c>
      <c r="C547" s="510">
        <v>0</v>
      </c>
      <c r="D547" s="510">
        <v>123829.61</v>
      </c>
      <c r="E547" s="510">
        <v>0</v>
      </c>
      <c r="F547" s="510">
        <v>0</v>
      </c>
      <c r="G547" s="510">
        <v>123829.61</v>
      </c>
    </row>
    <row r="548" spans="1:7" x14ac:dyDescent="0.25">
      <c r="A548" s="509" t="s">
        <v>2374</v>
      </c>
      <c r="B548" s="509" t="s">
        <v>2010</v>
      </c>
      <c r="C548" s="510">
        <v>0</v>
      </c>
      <c r="D548" s="510">
        <v>0</v>
      </c>
      <c r="E548" s="510">
        <v>0</v>
      </c>
      <c r="F548" s="510">
        <v>0</v>
      </c>
      <c r="G548" s="510">
        <v>0</v>
      </c>
    </row>
    <row r="549" spans="1:7" x14ac:dyDescent="0.25">
      <c r="A549" s="509" t="s">
        <v>2375</v>
      </c>
      <c r="B549" s="509" t="s">
        <v>2012</v>
      </c>
      <c r="C549" s="510">
        <v>0</v>
      </c>
      <c r="D549" s="510">
        <v>1923.06</v>
      </c>
      <c r="E549" s="510">
        <v>184.32</v>
      </c>
      <c r="F549" s="510">
        <v>0</v>
      </c>
      <c r="G549" s="510">
        <v>2107.38</v>
      </c>
    </row>
    <row r="550" spans="1:7" x14ac:dyDescent="0.25">
      <c r="A550" s="509" t="s">
        <v>2376</v>
      </c>
      <c r="B550" s="509" t="s">
        <v>2016</v>
      </c>
      <c r="C550" s="510">
        <v>0</v>
      </c>
      <c r="D550" s="510">
        <v>2635.46</v>
      </c>
      <c r="E550" s="510">
        <v>0</v>
      </c>
      <c r="F550" s="510">
        <v>0</v>
      </c>
      <c r="G550" s="510">
        <v>2635.46</v>
      </c>
    </row>
    <row r="551" spans="1:7" x14ac:dyDescent="0.25">
      <c r="A551" s="509" t="s">
        <v>2377</v>
      </c>
      <c r="B551" s="509" t="s">
        <v>2018</v>
      </c>
      <c r="C551" s="510">
        <v>0</v>
      </c>
      <c r="D551" s="510">
        <v>1434.53</v>
      </c>
      <c r="E551" s="510">
        <v>1770.59</v>
      </c>
      <c r="F551" s="510">
        <v>2297.29</v>
      </c>
      <c r="G551" s="510">
        <v>907.83</v>
      </c>
    </row>
    <row r="552" spans="1:7" x14ac:dyDescent="0.25">
      <c r="A552" s="509" t="s">
        <v>2378</v>
      </c>
      <c r="B552" s="509" t="s">
        <v>2020</v>
      </c>
      <c r="C552" s="510">
        <v>0</v>
      </c>
      <c r="D552" s="510">
        <v>0</v>
      </c>
      <c r="E552" s="510">
        <v>0</v>
      </c>
      <c r="F552" s="510">
        <v>0</v>
      </c>
      <c r="G552" s="510">
        <v>0</v>
      </c>
    </row>
    <row r="553" spans="1:7" x14ac:dyDescent="0.25">
      <c r="A553" s="509" t="s">
        <v>2379</v>
      </c>
      <c r="B553" s="509" t="s">
        <v>2022</v>
      </c>
      <c r="C553" s="510">
        <v>0</v>
      </c>
      <c r="D553" s="510">
        <v>1770.24</v>
      </c>
      <c r="E553" s="510">
        <v>7843.2</v>
      </c>
      <c r="F553" s="510">
        <v>3731.04</v>
      </c>
      <c r="G553" s="510">
        <v>5882.4</v>
      </c>
    </row>
    <row r="554" spans="1:7" x14ac:dyDescent="0.25">
      <c r="A554" s="509" t="s">
        <v>2380</v>
      </c>
      <c r="B554" s="509" t="s">
        <v>2024</v>
      </c>
      <c r="C554" s="510">
        <v>0</v>
      </c>
      <c r="D554" s="510">
        <v>553.62</v>
      </c>
      <c r="E554" s="510">
        <v>0</v>
      </c>
      <c r="F554" s="510">
        <v>369.12</v>
      </c>
      <c r="G554" s="510">
        <v>184.5</v>
      </c>
    </row>
    <row r="555" spans="1:7" x14ac:dyDescent="0.25">
      <c r="A555" s="509" t="s">
        <v>2381</v>
      </c>
      <c r="B555" s="509" t="s">
        <v>2026</v>
      </c>
      <c r="C555" s="510">
        <v>0</v>
      </c>
      <c r="D555" s="510">
        <v>391.35</v>
      </c>
      <c r="E555" s="510">
        <v>0</v>
      </c>
      <c r="F555" s="510">
        <v>260.94</v>
      </c>
      <c r="G555" s="510">
        <v>130.41</v>
      </c>
    </row>
    <row r="556" spans="1:7" x14ac:dyDescent="0.25">
      <c r="A556" s="509" t="s">
        <v>2382</v>
      </c>
      <c r="B556" s="509" t="s">
        <v>2028</v>
      </c>
      <c r="C556" s="510">
        <v>0</v>
      </c>
      <c r="D556" s="510">
        <v>0</v>
      </c>
      <c r="E556" s="510">
        <v>0</v>
      </c>
      <c r="F556" s="510">
        <v>0</v>
      </c>
      <c r="G556" s="510">
        <v>0</v>
      </c>
    </row>
    <row r="557" spans="1:7" x14ac:dyDescent="0.25">
      <c r="A557" s="509" t="s">
        <v>2383</v>
      </c>
      <c r="B557" s="509" t="s">
        <v>2030</v>
      </c>
      <c r="C557" s="510">
        <v>0</v>
      </c>
      <c r="D557" s="510">
        <v>0</v>
      </c>
      <c r="E557" s="510">
        <v>0</v>
      </c>
      <c r="F557" s="510">
        <v>0</v>
      </c>
      <c r="G557" s="510">
        <v>0</v>
      </c>
    </row>
    <row r="558" spans="1:7" x14ac:dyDescent="0.25">
      <c r="A558" s="509" t="s">
        <v>2384</v>
      </c>
      <c r="B558" s="509" t="s">
        <v>2032</v>
      </c>
      <c r="C558" s="510">
        <v>0</v>
      </c>
      <c r="D558" s="510">
        <v>3156.68</v>
      </c>
      <c r="E558" s="510">
        <v>1587.1</v>
      </c>
      <c r="F558" s="510">
        <v>3950.22</v>
      </c>
      <c r="G558" s="510">
        <v>793.56</v>
      </c>
    </row>
    <row r="559" spans="1:7" x14ac:dyDescent="0.25">
      <c r="A559" s="509" t="s">
        <v>2385</v>
      </c>
      <c r="B559" s="509" t="s">
        <v>2034</v>
      </c>
      <c r="C559" s="510">
        <v>0</v>
      </c>
      <c r="D559" s="510">
        <v>44147.53</v>
      </c>
      <c r="E559" s="510">
        <v>441097.15</v>
      </c>
      <c r="F559" s="510">
        <v>432293.34</v>
      </c>
      <c r="G559" s="510">
        <v>52951.34</v>
      </c>
    </row>
    <row r="560" spans="1:7" x14ac:dyDescent="0.25">
      <c r="A560" s="509" t="s">
        <v>2386</v>
      </c>
      <c r="B560" s="509" t="s">
        <v>2036</v>
      </c>
      <c r="C560" s="510">
        <v>0</v>
      </c>
      <c r="D560" s="510">
        <v>-3662.57</v>
      </c>
      <c r="E560" s="510">
        <v>0</v>
      </c>
      <c r="F560" s="510">
        <v>0</v>
      </c>
      <c r="G560" s="510">
        <v>-3662.57</v>
      </c>
    </row>
    <row r="561" spans="1:7" x14ac:dyDescent="0.25">
      <c r="A561" s="509" t="s">
        <v>2387</v>
      </c>
      <c r="B561" s="509" t="s">
        <v>2038</v>
      </c>
      <c r="C561" s="510">
        <v>0</v>
      </c>
      <c r="D561" s="510">
        <v>0</v>
      </c>
      <c r="E561" s="510">
        <v>0</v>
      </c>
      <c r="F561" s="510">
        <v>0</v>
      </c>
      <c r="G561" s="510">
        <v>0</v>
      </c>
    </row>
    <row r="562" spans="1:7" x14ac:dyDescent="0.25">
      <c r="A562" s="509" t="s">
        <v>2388</v>
      </c>
      <c r="B562" s="509" t="s">
        <v>2389</v>
      </c>
      <c r="C562" s="510">
        <v>0</v>
      </c>
      <c r="D562" s="510">
        <v>0</v>
      </c>
      <c r="E562" s="510">
        <v>0</v>
      </c>
      <c r="F562" s="510">
        <v>0</v>
      </c>
      <c r="G562" s="510">
        <v>0</v>
      </c>
    </row>
    <row r="563" spans="1:7" x14ac:dyDescent="0.25">
      <c r="A563" s="509" t="s">
        <v>2390</v>
      </c>
      <c r="B563" s="509" t="s">
        <v>2040</v>
      </c>
      <c r="C563" s="510">
        <v>0</v>
      </c>
      <c r="D563" s="510">
        <v>45.43</v>
      </c>
      <c r="E563" s="510">
        <v>273</v>
      </c>
      <c r="F563" s="510">
        <v>295.43</v>
      </c>
      <c r="G563" s="510">
        <v>23</v>
      </c>
    </row>
    <row r="564" spans="1:7" x14ac:dyDescent="0.25">
      <c r="A564" s="509" t="s">
        <v>2391</v>
      </c>
      <c r="B564" s="509" t="s">
        <v>2042</v>
      </c>
      <c r="C564" s="510">
        <v>0</v>
      </c>
      <c r="D564" s="510">
        <v>0</v>
      </c>
      <c r="E564" s="510">
        <v>0</v>
      </c>
      <c r="F564" s="510">
        <v>0</v>
      </c>
      <c r="G564" s="510">
        <v>0</v>
      </c>
    </row>
    <row r="565" spans="1:7" x14ac:dyDescent="0.25">
      <c r="A565" s="509" t="s">
        <v>2392</v>
      </c>
      <c r="B565" s="509" t="s">
        <v>2048</v>
      </c>
      <c r="C565" s="510">
        <v>0</v>
      </c>
      <c r="D565" s="510">
        <v>0</v>
      </c>
      <c r="E565" s="510">
        <v>0</v>
      </c>
      <c r="F565" s="510">
        <v>0</v>
      </c>
      <c r="G565" s="510">
        <v>0</v>
      </c>
    </row>
    <row r="566" spans="1:7" x14ac:dyDescent="0.25">
      <c r="A566" s="509" t="s">
        <v>2393</v>
      </c>
      <c r="B566" s="509" t="s">
        <v>2050</v>
      </c>
      <c r="C566" s="510">
        <v>0</v>
      </c>
      <c r="D566" s="510">
        <v>0</v>
      </c>
      <c r="E566" s="510">
        <v>0</v>
      </c>
      <c r="F566" s="510">
        <v>0</v>
      </c>
      <c r="G566" s="510">
        <v>0</v>
      </c>
    </row>
    <row r="567" spans="1:7" x14ac:dyDescent="0.25">
      <c r="A567" s="509" t="s">
        <v>1562</v>
      </c>
      <c r="B567" s="509" t="s">
        <v>1468</v>
      </c>
      <c r="C567" s="510">
        <v>0</v>
      </c>
      <c r="D567" s="510">
        <v>74405.25</v>
      </c>
      <c r="E567" s="510">
        <v>0</v>
      </c>
      <c r="F567" s="510">
        <v>0</v>
      </c>
      <c r="G567" s="510">
        <v>74405.25</v>
      </c>
    </row>
    <row r="568" spans="1:7" x14ac:dyDescent="0.25">
      <c r="A568" s="509" t="s">
        <v>1563</v>
      </c>
      <c r="B568" s="509" t="s">
        <v>1470</v>
      </c>
      <c r="C568" s="510">
        <v>0</v>
      </c>
      <c r="D568" s="510">
        <v>89846.58</v>
      </c>
      <c r="E568" s="510">
        <v>0</v>
      </c>
      <c r="F568" s="510">
        <v>0</v>
      </c>
      <c r="G568" s="510">
        <v>89846.58</v>
      </c>
    </row>
    <row r="569" spans="1:7" x14ac:dyDescent="0.25">
      <c r="A569" s="509" t="s">
        <v>1564</v>
      </c>
      <c r="B569" s="509" t="s">
        <v>1472</v>
      </c>
      <c r="C569" s="510">
        <v>0</v>
      </c>
      <c r="D569" s="510">
        <v>17181.41</v>
      </c>
      <c r="E569" s="510">
        <v>0</v>
      </c>
      <c r="F569" s="510">
        <v>0</v>
      </c>
      <c r="G569" s="510">
        <v>17181.41</v>
      </c>
    </row>
    <row r="570" spans="1:7" x14ac:dyDescent="0.25">
      <c r="A570" s="509" t="s">
        <v>1565</v>
      </c>
      <c r="B570" s="509" t="s">
        <v>1566</v>
      </c>
      <c r="C570" s="510">
        <v>0</v>
      </c>
      <c r="D570" s="510">
        <v>87425.62</v>
      </c>
      <c r="E570" s="510">
        <v>0</v>
      </c>
      <c r="F570" s="510">
        <v>0</v>
      </c>
      <c r="G570" s="510">
        <v>87425.62</v>
      </c>
    </row>
    <row r="571" spans="1:7" x14ac:dyDescent="0.25">
      <c r="A571" s="509" t="s">
        <v>1567</v>
      </c>
      <c r="B571" s="509" t="s">
        <v>1568</v>
      </c>
      <c r="C571" s="510">
        <v>0</v>
      </c>
      <c r="D571" s="510">
        <v>0</v>
      </c>
      <c r="E571" s="510">
        <v>0</v>
      </c>
      <c r="F571" s="510">
        <v>0</v>
      </c>
      <c r="G571" s="510">
        <v>0</v>
      </c>
    </row>
    <row r="572" spans="1:7" x14ac:dyDescent="0.25">
      <c r="A572" s="509" t="s">
        <v>1569</v>
      </c>
      <c r="B572" s="509" t="s">
        <v>1476</v>
      </c>
      <c r="C572" s="510">
        <v>0</v>
      </c>
      <c r="D572" s="510">
        <v>0</v>
      </c>
      <c r="E572" s="510">
        <v>0</v>
      </c>
      <c r="F572" s="510">
        <v>0</v>
      </c>
      <c r="G572" s="510">
        <v>0</v>
      </c>
    </row>
    <row r="573" spans="1:7" x14ac:dyDescent="0.25">
      <c r="A573" s="509" t="s">
        <v>1570</v>
      </c>
      <c r="B573" s="509" t="s">
        <v>1478</v>
      </c>
      <c r="C573" s="510">
        <v>0</v>
      </c>
      <c r="D573" s="510">
        <v>588142.88</v>
      </c>
      <c r="E573" s="510">
        <v>0</v>
      </c>
      <c r="F573" s="510">
        <v>0</v>
      </c>
      <c r="G573" s="510">
        <v>588142.88</v>
      </c>
    </row>
    <row r="574" spans="1:7" x14ac:dyDescent="0.25">
      <c r="A574" s="509" t="s">
        <v>1571</v>
      </c>
      <c r="B574" s="509" t="s">
        <v>1482</v>
      </c>
      <c r="C574" s="510">
        <v>0</v>
      </c>
      <c r="D574" s="510">
        <v>0</v>
      </c>
      <c r="E574" s="510">
        <v>0</v>
      </c>
      <c r="F574" s="510">
        <v>0</v>
      </c>
      <c r="G574" s="510">
        <v>0</v>
      </c>
    </row>
    <row r="575" spans="1:7" x14ac:dyDescent="0.25">
      <c r="A575" s="509" t="s">
        <v>1572</v>
      </c>
      <c r="B575" s="509" t="s">
        <v>1484</v>
      </c>
      <c r="C575" s="510">
        <v>0</v>
      </c>
      <c r="D575" s="510">
        <v>0</v>
      </c>
      <c r="E575" s="510">
        <v>0</v>
      </c>
      <c r="F575" s="510">
        <v>0</v>
      </c>
      <c r="G575" s="510">
        <v>0</v>
      </c>
    </row>
    <row r="576" spans="1:7" x14ac:dyDescent="0.25">
      <c r="A576" s="509" t="s">
        <v>2394</v>
      </c>
      <c r="B576" s="509" t="s">
        <v>2052</v>
      </c>
      <c r="C576" s="510">
        <v>0</v>
      </c>
      <c r="D576" s="510">
        <v>0</v>
      </c>
      <c r="E576" s="510">
        <v>0</v>
      </c>
      <c r="F576" s="510">
        <v>0</v>
      </c>
      <c r="G576" s="510">
        <v>0</v>
      </c>
    </row>
    <row r="577" spans="1:7" x14ac:dyDescent="0.25">
      <c r="A577" s="509" t="s">
        <v>1573</v>
      </c>
      <c r="B577" s="509" t="s">
        <v>1486</v>
      </c>
      <c r="C577" s="510">
        <v>0</v>
      </c>
      <c r="D577" s="510">
        <v>15729.21</v>
      </c>
      <c r="E577" s="510">
        <v>826.51</v>
      </c>
      <c r="F577" s="510">
        <v>0</v>
      </c>
      <c r="G577" s="510">
        <v>16555.72</v>
      </c>
    </row>
    <row r="578" spans="1:7" x14ac:dyDescent="0.25">
      <c r="A578" s="509" t="s">
        <v>1574</v>
      </c>
      <c r="B578" s="509" t="s">
        <v>1488</v>
      </c>
      <c r="C578" s="510">
        <v>0</v>
      </c>
      <c r="D578" s="510">
        <v>1369.89</v>
      </c>
      <c r="E578" s="510">
        <v>0</v>
      </c>
      <c r="F578" s="510">
        <v>0</v>
      </c>
      <c r="G578" s="510">
        <v>1369.89</v>
      </c>
    </row>
    <row r="579" spans="1:7" x14ac:dyDescent="0.25">
      <c r="A579" s="509" t="s">
        <v>1575</v>
      </c>
      <c r="B579" s="509" t="s">
        <v>1491</v>
      </c>
      <c r="C579" s="510">
        <v>0</v>
      </c>
      <c r="D579" s="510">
        <v>46707</v>
      </c>
      <c r="E579" s="510">
        <v>0</v>
      </c>
      <c r="F579" s="510">
        <v>0</v>
      </c>
      <c r="G579" s="510">
        <v>46707</v>
      </c>
    </row>
    <row r="580" spans="1:7" x14ac:dyDescent="0.25">
      <c r="A580" s="509" t="s">
        <v>1576</v>
      </c>
      <c r="B580" s="509" t="s">
        <v>1493</v>
      </c>
      <c r="C580" s="510">
        <v>0</v>
      </c>
      <c r="D580" s="510">
        <v>40353.629999999997</v>
      </c>
      <c r="E580" s="510">
        <v>1631.83</v>
      </c>
      <c r="F580" s="510">
        <v>0</v>
      </c>
      <c r="G580" s="510">
        <v>41985.46</v>
      </c>
    </row>
    <row r="581" spans="1:7" x14ac:dyDescent="0.25">
      <c r="A581" s="509" t="s">
        <v>1577</v>
      </c>
      <c r="B581" s="509" t="s">
        <v>1495</v>
      </c>
      <c r="C581" s="510">
        <v>0</v>
      </c>
      <c r="D581" s="510">
        <v>0</v>
      </c>
      <c r="E581" s="510">
        <v>0</v>
      </c>
      <c r="F581" s="510">
        <v>0</v>
      </c>
      <c r="G581" s="510">
        <v>0</v>
      </c>
    </row>
    <row r="582" spans="1:7" x14ac:dyDescent="0.25">
      <c r="A582" s="509" t="s">
        <v>1578</v>
      </c>
      <c r="B582" s="509" t="s">
        <v>1497</v>
      </c>
      <c r="C582" s="510">
        <v>0</v>
      </c>
      <c r="D582" s="510">
        <v>130089.71</v>
      </c>
      <c r="E582" s="510">
        <v>0</v>
      </c>
      <c r="F582" s="510">
        <v>0</v>
      </c>
      <c r="G582" s="510">
        <v>130089.71</v>
      </c>
    </row>
    <row r="583" spans="1:7" x14ac:dyDescent="0.25">
      <c r="A583" s="509" t="s">
        <v>1579</v>
      </c>
      <c r="B583" s="509" t="s">
        <v>1499</v>
      </c>
      <c r="C583" s="510">
        <v>0</v>
      </c>
      <c r="D583" s="510">
        <v>266559.19</v>
      </c>
      <c r="E583" s="510">
        <v>0</v>
      </c>
      <c r="F583" s="510">
        <v>0</v>
      </c>
      <c r="G583" s="510">
        <v>266559.19</v>
      </c>
    </row>
    <row r="584" spans="1:7" x14ac:dyDescent="0.25">
      <c r="A584" s="509" t="s">
        <v>2395</v>
      </c>
      <c r="B584" s="509" t="s">
        <v>2054</v>
      </c>
      <c r="C584" s="510">
        <v>0</v>
      </c>
      <c r="D584" s="510">
        <v>0</v>
      </c>
      <c r="E584" s="510">
        <v>0</v>
      </c>
      <c r="F584" s="510">
        <v>0</v>
      </c>
      <c r="G584" s="510">
        <v>0</v>
      </c>
    </row>
    <row r="585" spans="1:7" x14ac:dyDescent="0.25">
      <c r="A585" s="509" t="s">
        <v>2396</v>
      </c>
      <c r="B585" s="509" t="s">
        <v>846</v>
      </c>
      <c r="C585" s="510">
        <v>0</v>
      </c>
      <c r="D585" s="510">
        <v>0</v>
      </c>
      <c r="E585" s="510">
        <v>0</v>
      </c>
      <c r="F585" s="510">
        <v>0</v>
      </c>
      <c r="G585" s="510">
        <v>0</v>
      </c>
    </row>
    <row r="586" spans="1:7" x14ac:dyDescent="0.25">
      <c r="A586" s="509" t="s">
        <v>1580</v>
      </c>
      <c r="B586" s="509" t="s">
        <v>1581</v>
      </c>
      <c r="C586" s="510">
        <v>0</v>
      </c>
      <c r="D586" s="510">
        <v>0</v>
      </c>
      <c r="E586" s="510">
        <v>2926.96</v>
      </c>
      <c r="F586" s="510">
        <v>0</v>
      </c>
      <c r="G586" s="510">
        <v>2926.96</v>
      </c>
    </row>
    <row r="587" spans="1:7" x14ac:dyDescent="0.25">
      <c r="A587" s="509" t="s">
        <v>1582</v>
      </c>
      <c r="B587" s="509" t="s">
        <v>1583</v>
      </c>
      <c r="C587" s="510">
        <v>0</v>
      </c>
      <c r="D587" s="510">
        <v>179861.22</v>
      </c>
      <c r="E587" s="510">
        <v>0</v>
      </c>
      <c r="F587" s="510">
        <v>0</v>
      </c>
      <c r="G587" s="510">
        <v>179861.22</v>
      </c>
    </row>
    <row r="588" spans="1:7" x14ac:dyDescent="0.25">
      <c r="A588" s="509" t="s">
        <v>1584</v>
      </c>
      <c r="B588" s="509" t="s">
        <v>1585</v>
      </c>
      <c r="C588" s="510">
        <v>0</v>
      </c>
      <c r="D588" s="510">
        <v>213930.52</v>
      </c>
      <c r="E588" s="510">
        <v>0</v>
      </c>
      <c r="F588" s="510">
        <v>0</v>
      </c>
      <c r="G588" s="510">
        <v>213930.52</v>
      </c>
    </row>
    <row r="589" spans="1:7" x14ac:dyDescent="0.25">
      <c r="A589" s="509" t="s">
        <v>1586</v>
      </c>
      <c r="B589" s="509" t="s">
        <v>1587</v>
      </c>
      <c r="C589" s="510">
        <v>0</v>
      </c>
      <c r="D589" s="510">
        <v>156976.89000000001</v>
      </c>
      <c r="E589" s="510">
        <v>0</v>
      </c>
      <c r="F589" s="510">
        <v>0</v>
      </c>
      <c r="G589" s="510">
        <v>156976.89000000001</v>
      </c>
    </row>
    <row r="590" spans="1:7" x14ac:dyDescent="0.25">
      <c r="A590" s="509" t="s">
        <v>1588</v>
      </c>
      <c r="B590" s="509" t="s">
        <v>1589</v>
      </c>
      <c r="C590" s="510">
        <v>0</v>
      </c>
      <c r="D590" s="510">
        <v>235465.35</v>
      </c>
      <c r="E590" s="510">
        <v>0</v>
      </c>
      <c r="F590" s="510">
        <v>0</v>
      </c>
      <c r="G590" s="510">
        <v>235465.35</v>
      </c>
    </row>
    <row r="591" spans="1:7" x14ac:dyDescent="0.25">
      <c r="A591" s="509" t="s">
        <v>1590</v>
      </c>
      <c r="B591" s="509" t="s">
        <v>1591</v>
      </c>
      <c r="C591" s="510">
        <v>0</v>
      </c>
      <c r="D591" s="510">
        <v>613738.52</v>
      </c>
      <c r="E591" s="510">
        <v>0</v>
      </c>
      <c r="F591" s="510">
        <v>0</v>
      </c>
      <c r="G591" s="510">
        <v>613738.52</v>
      </c>
    </row>
    <row r="592" spans="1:7" x14ac:dyDescent="0.25">
      <c r="A592" s="509" t="s">
        <v>1592</v>
      </c>
      <c r="B592" s="509" t="s">
        <v>1593</v>
      </c>
      <c r="C592" s="510">
        <v>0</v>
      </c>
      <c r="D592" s="510">
        <v>0</v>
      </c>
      <c r="E592" s="510">
        <v>0</v>
      </c>
      <c r="F592" s="510">
        <v>0</v>
      </c>
      <c r="G592" s="510">
        <v>0</v>
      </c>
    </row>
    <row r="593" spans="1:7" x14ac:dyDescent="0.25">
      <c r="A593" s="509" t="s">
        <v>1594</v>
      </c>
      <c r="B593" s="509" t="s">
        <v>1531</v>
      </c>
      <c r="C593" s="510">
        <v>0</v>
      </c>
      <c r="D593" s="510">
        <v>106772.37</v>
      </c>
      <c r="E593" s="510">
        <v>0</v>
      </c>
      <c r="F593" s="510">
        <v>0</v>
      </c>
      <c r="G593" s="510">
        <v>106772.37</v>
      </c>
    </row>
    <row r="594" spans="1:7" x14ac:dyDescent="0.25">
      <c r="A594" s="509" t="s">
        <v>1595</v>
      </c>
      <c r="B594" s="509" t="s">
        <v>1596</v>
      </c>
      <c r="C594" s="510">
        <v>0</v>
      </c>
      <c r="D594" s="510">
        <v>370309.26</v>
      </c>
      <c r="E594" s="510">
        <v>0</v>
      </c>
      <c r="F594" s="510">
        <v>0</v>
      </c>
      <c r="G594" s="510">
        <v>370309.26</v>
      </c>
    </row>
    <row r="595" spans="1:7" x14ac:dyDescent="0.25">
      <c r="A595" s="509" t="s">
        <v>1597</v>
      </c>
      <c r="B595" s="509" t="s">
        <v>1598</v>
      </c>
      <c r="C595" s="510">
        <v>0</v>
      </c>
      <c r="D595" s="510">
        <v>0</v>
      </c>
      <c r="E595" s="510">
        <v>2045.86</v>
      </c>
      <c r="F595" s="510">
        <v>0</v>
      </c>
      <c r="G595" s="510">
        <v>2045.86</v>
      </c>
    </row>
    <row r="596" spans="1:7" x14ac:dyDescent="0.25">
      <c r="A596" s="509" t="s">
        <v>1599</v>
      </c>
      <c r="B596" s="509" t="s">
        <v>1537</v>
      </c>
      <c r="C596" s="510">
        <v>0</v>
      </c>
      <c r="D596" s="510">
        <v>19538.759999999998</v>
      </c>
      <c r="E596" s="510">
        <v>0</v>
      </c>
      <c r="F596" s="510">
        <v>0</v>
      </c>
      <c r="G596" s="510">
        <v>19538.759999999998</v>
      </c>
    </row>
    <row r="597" spans="1:7" x14ac:dyDescent="0.25">
      <c r="A597" s="509" t="s">
        <v>1600</v>
      </c>
      <c r="B597" s="509" t="s">
        <v>1539</v>
      </c>
      <c r="C597" s="510">
        <v>0</v>
      </c>
      <c r="D597" s="510">
        <v>0</v>
      </c>
      <c r="E597" s="510">
        <v>0</v>
      </c>
      <c r="F597" s="510">
        <v>0</v>
      </c>
      <c r="G597" s="510">
        <v>0</v>
      </c>
    </row>
    <row r="598" spans="1:7" x14ac:dyDescent="0.25">
      <c r="A598" s="509" t="s">
        <v>1601</v>
      </c>
      <c r="B598" s="509" t="s">
        <v>1543</v>
      </c>
      <c r="C598" s="510">
        <v>0</v>
      </c>
      <c r="D598" s="510">
        <v>0</v>
      </c>
      <c r="E598" s="510">
        <v>0</v>
      </c>
      <c r="F598" s="510">
        <v>0</v>
      </c>
      <c r="G598" s="510">
        <v>0</v>
      </c>
    </row>
    <row r="599" spans="1:7" x14ac:dyDescent="0.25">
      <c r="A599" s="509" t="s">
        <v>1602</v>
      </c>
      <c r="B599" s="509" t="s">
        <v>1545</v>
      </c>
      <c r="C599" s="510">
        <v>0</v>
      </c>
      <c r="D599" s="510">
        <v>53310.65</v>
      </c>
      <c r="E599" s="510">
        <v>0</v>
      </c>
      <c r="F599" s="510">
        <v>0</v>
      </c>
      <c r="G599" s="510">
        <v>53310.65</v>
      </c>
    </row>
    <row r="600" spans="1:7" x14ac:dyDescent="0.25">
      <c r="A600" s="509" t="s">
        <v>1603</v>
      </c>
      <c r="B600" s="509" t="s">
        <v>1547</v>
      </c>
      <c r="C600" s="510">
        <v>0</v>
      </c>
      <c r="D600" s="510">
        <v>246439.18</v>
      </c>
      <c r="E600" s="510">
        <v>360.04</v>
      </c>
      <c r="F600" s="510">
        <v>360.04</v>
      </c>
      <c r="G600" s="510">
        <v>246439.18</v>
      </c>
    </row>
    <row r="601" spans="1:7" x14ac:dyDescent="0.25">
      <c r="A601" s="509" t="s">
        <v>1604</v>
      </c>
      <c r="B601" s="509" t="s">
        <v>2060</v>
      </c>
      <c r="C601" s="510">
        <v>0</v>
      </c>
      <c r="D601" s="510">
        <v>0</v>
      </c>
      <c r="E601" s="510">
        <v>4381.49</v>
      </c>
      <c r="F601" s="510">
        <v>0</v>
      </c>
      <c r="G601" s="510">
        <v>4381.49</v>
      </c>
    </row>
    <row r="602" spans="1:7" x14ac:dyDescent="0.25">
      <c r="A602" s="509" t="s">
        <v>1605</v>
      </c>
      <c r="B602" s="509" t="s">
        <v>1606</v>
      </c>
      <c r="C602" s="510">
        <v>0</v>
      </c>
      <c r="D602" s="510">
        <v>332720.46999999997</v>
      </c>
      <c r="E602" s="510">
        <v>0</v>
      </c>
      <c r="F602" s="510">
        <v>0</v>
      </c>
      <c r="G602" s="510">
        <v>332720.46999999997</v>
      </c>
    </row>
    <row r="603" spans="1:7" x14ac:dyDescent="0.25">
      <c r="A603" s="509" t="s">
        <v>2397</v>
      </c>
      <c r="B603" s="509" t="s">
        <v>2398</v>
      </c>
      <c r="C603" s="510">
        <v>0</v>
      </c>
      <c r="D603" s="510">
        <v>0</v>
      </c>
      <c r="E603" s="510">
        <v>0</v>
      </c>
      <c r="F603" s="510">
        <v>0</v>
      </c>
      <c r="G603" s="510">
        <v>0</v>
      </c>
    </row>
    <row r="604" spans="1:7" x14ac:dyDescent="0.25">
      <c r="A604" s="509" t="s">
        <v>1607</v>
      </c>
      <c r="B604" s="509" t="s">
        <v>187</v>
      </c>
      <c r="C604" s="510">
        <v>0</v>
      </c>
      <c r="D604" s="510">
        <v>864404.98</v>
      </c>
      <c r="E604" s="510">
        <v>0</v>
      </c>
      <c r="F604" s="510">
        <v>0</v>
      </c>
      <c r="G604" s="510">
        <v>864404.98</v>
      </c>
    </row>
    <row r="605" spans="1:7" x14ac:dyDescent="0.25">
      <c r="A605" s="509" t="s">
        <v>1608</v>
      </c>
      <c r="B605" s="509" t="s">
        <v>1609</v>
      </c>
      <c r="C605" s="510">
        <v>0</v>
      </c>
      <c r="D605" s="510">
        <v>374555.55</v>
      </c>
      <c r="E605" s="510">
        <v>0</v>
      </c>
      <c r="F605" s="510">
        <v>0</v>
      </c>
      <c r="G605" s="510">
        <v>374555.55</v>
      </c>
    </row>
    <row r="606" spans="1:7" x14ac:dyDescent="0.25">
      <c r="A606" s="509" t="s">
        <v>2399</v>
      </c>
      <c r="B606" s="509" t="s">
        <v>2066</v>
      </c>
      <c r="C606" s="510">
        <v>0</v>
      </c>
      <c r="D606" s="510">
        <v>0</v>
      </c>
      <c r="E606" s="510">
        <v>0</v>
      </c>
      <c r="F606" s="510">
        <v>0</v>
      </c>
      <c r="G606" s="510">
        <v>0</v>
      </c>
    </row>
    <row r="607" spans="1:7" x14ac:dyDescent="0.25">
      <c r="A607" s="509" t="s">
        <v>2400</v>
      </c>
      <c r="B607" s="509" t="s">
        <v>2068</v>
      </c>
      <c r="C607" s="510">
        <v>0</v>
      </c>
      <c r="D607" s="510">
        <v>0</v>
      </c>
      <c r="E607" s="510">
        <v>0</v>
      </c>
      <c r="F607" s="510">
        <v>0</v>
      </c>
      <c r="G607" s="510">
        <v>0</v>
      </c>
    </row>
    <row r="608" spans="1:7" x14ac:dyDescent="0.25">
      <c r="A608" s="509" t="s">
        <v>2401</v>
      </c>
      <c r="B608" s="509" t="s">
        <v>2070</v>
      </c>
      <c r="C608" s="510">
        <v>0</v>
      </c>
      <c r="D608" s="510">
        <v>11091.44</v>
      </c>
      <c r="E608" s="510">
        <v>0</v>
      </c>
      <c r="F608" s="510">
        <v>0</v>
      </c>
      <c r="G608" s="510">
        <v>11091.44</v>
      </c>
    </row>
    <row r="609" spans="1:7" x14ac:dyDescent="0.25">
      <c r="A609" s="509" t="s">
        <v>2402</v>
      </c>
      <c r="B609" s="509" t="s">
        <v>2072</v>
      </c>
      <c r="C609" s="510">
        <v>0</v>
      </c>
      <c r="D609" s="510">
        <v>-11091.44</v>
      </c>
      <c r="E609" s="510">
        <v>0</v>
      </c>
      <c r="F609" s="510">
        <v>0</v>
      </c>
      <c r="G609" s="510">
        <v>-11091.44</v>
      </c>
    </row>
    <row r="610" spans="1:7" x14ac:dyDescent="0.25">
      <c r="A610" s="509" t="s">
        <v>2403</v>
      </c>
      <c r="B610" s="509" t="s">
        <v>2074</v>
      </c>
      <c r="C610" s="510">
        <v>0</v>
      </c>
      <c r="D610" s="510">
        <v>0</v>
      </c>
      <c r="E610" s="510">
        <v>0</v>
      </c>
      <c r="F610" s="510">
        <v>0</v>
      </c>
      <c r="G610" s="510">
        <v>0</v>
      </c>
    </row>
    <row r="611" spans="1:7" x14ac:dyDescent="0.25">
      <c r="A611" s="509" t="s">
        <v>1610</v>
      </c>
      <c r="B611" s="509" t="s">
        <v>1611</v>
      </c>
      <c r="C611" s="510">
        <v>0</v>
      </c>
      <c r="D611" s="510">
        <v>3594657.92</v>
      </c>
      <c r="E611" s="510">
        <v>0</v>
      </c>
      <c r="F611" s="510">
        <v>0</v>
      </c>
      <c r="G611" s="510">
        <v>3594657.92</v>
      </c>
    </row>
    <row r="612" spans="1:7" x14ac:dyDescent="0.25">
      <c r="A612" s="509" t="s">
        <v>1612</v>
      </c>
      <c r="B612" s="509" t="s">
        <v>1560</v>
      </c>
      <c r="C612" s="510">
        <v>0</v>
      </c>
      <c r="D612" s="510">
        <v>907.76</v>
      </c>
      <c r="E612" s="510">
        <v>0</v>
      </c>
      <c r="F612" s="510">
        <v>0</v>
      </c>
      <c r="G612" s="510">
        <v>907.76</v>
      </c>
    </row>
    <row r="613" spans="1:7" x14ac:dyDescent="0.25">
      <c r="A613" s="509" t="s">
        <v>1613</v>
      </c>
      <c r="B613" s="509" t="s">
        <v>104</v>
      </c>
      <c r="C613" s="510">
        <v>0</v>
      </c>
      <c r="D613" s="510">
        <v>0</v>
      </c>
      <c r="E613" s="510">
        <v>0</v>
      </c>
      <c r="F613" s="510">
        <v>0</v>
      </c>
      <c r="G613" s="510">
        <v>0</v>
      </c>
    </row>
    <row r="614" spans="1:7" x14ac:dyDescent="0.25">
      <c r="A614" s="509" t="s">
        <v>2404</v>
      </c>
      <c r="B614" s="509" t="s">
        <v>2080</v>
      </c>
      <c r="C614" s="510">
        <v>0</v>
      </c>
      <c r="D614" s="510">
        <v>-4614840.8499999996</v>
      </c>
      <c r="E614" s="510">
        <v>0</v>
      </c>
      <c r="F614" s="510">
        <v>0</v>
      </c>
      <c r="G614" s="510">
        <v>-4614840.8499999996</v>
      </c>
    </row>
    <row r="615" spans="1:7" x14ac:dyDescent="0.25">
      <c r="A615" s="509" t="s">
        <v>2405</v>
      </c>
      <c r="B615" s="509" t="s">
        <v>2082</v>
      </c>
      <c r="C615" s="510">
        <v>0</v>
      </c>
      <c r="D615" s="510">
        <v>-10973.07</v>
      </c>
      <c r="E615" s="510">
        <v>134574.65</v>
      </c>
      <c r="F615" s="510">
        <v>130745.27</v>
      </c>
      <c r="G615" s="510">
        <v>-7143.69</v>
      </c>
    </row>
    <row r="616" spans="1:7" x14ac:dyDescent="0.25">
      <c r="A616" s="509" t="s">
        <v>2406</v>
      </c>
      <c r="B616" s="509" t="s">
        <v>2084</v>
      </c>
      <c r="C616" s="510">
        <v>0</v>
      </c>
      <c r="D616" s="510">
        <v>0</v>
      </c>
      <c r="E616" s="510">
        <v>184.69</v>
      </c>
      <c r="F616" s="510">
        <v>1601.52</v>
      </c>
      <c r="G616" s="510">
        <v>-1416.83</v>
      </c>
    </row>
    <row r="617" spans="1:7" x14ac:dyDescent="0.25">
      <c r="A617" s="509" t="s">
        <v>2407</v>
      </c>
      <c r="B617" s="509" t="s">
        <v>2090</v>
      </c>
      <c r="C617" s="510">
        <v>0</v>
      </c>
      <c r="D617" s="510">
        <v>0</v>
      </c>
      <c r="E617" s="510">
        <v>0</v>
      </c>
      <c r="F617" s="510">
        <v>0</v>
      </c>
      <c r="G617" s="510">
        <v>0</v>
      </c>
    </row>
    <row r="618" spans="1:7" x14ac:dyDescent="0.25">
      <c r="A618" s="509" t="s">
        <v>2408</v>
      </c>
      <c r="B618" s="509" t="s">
        <v>2092</v>
      </c>
      <c r="C618" s="510">
        <v>0</v>
      </c>
      <c r="D618" s="510">
        <v>0</v>
      </c>
      <c r="E618" s="510">
        <v>0</v>
      </c>
      <c r="F618" s="510">
        <v>0</v>
      </c>
      <c r="G618" s="510">
        <v>0</v>
      </c>
    </row>
    <row r="619" spans="1:7" x14ac:dyDescent="0.25">
      <c r="A619" s="509" t="s">
        <v>2409</v>
      </c>
      <c r="B619" s="509" t="s">
        <v>2094</v>
      </c>
      <c r="C619" s="510">
        <v>0</v>
      </c>
      <c r="D619" s="510">
        <v>0</v>
      </c>
      <c r="E619" s="510">
        <v>0</v>
      </c>
      <c r="F619" s="510">
        <v>0</v>
      </c>
      <c r="G619" s="510">
        <v>0</v>
      </c>
    </row>
    <row r="620" spans="1:7" x14ac:dyDescent="0.25">
      <c r="A620" s="509" t="s">
        <v>2410</v>
      </c>
      <c r="B620" s="509" t="s">
        <v>2411</v>
      </c>
      <c r="C620" s="510">
        <v>0</v>
      </c>
      <c r="D620" s="510">
        <v>0</v>
      </c>
      <c r="E620" s="510">
        <v>0</v>
      </c>
      <c r="F620" s="510">
        <v>0</v>
      </c>
      <c r="G620" s="510">
        <v>0</v>
      </c>
    </row>
    <row r="621" spans="1:7" x14ac:dyDescent="0.25">
      <c r="A621" s="509" t="s">
        <v>2412</v>
      </c>
      <c r="B621" s="509" t="s">
        <v>2096</v>
      </c>
      <c r="C621" s="510">
        <v>0</v>
      </c>
      <c r="D621" s="510">
        <v>0</v>
      </c>
      <c r="E621" s="510">
        <v>0</v>
      </c>
      <c r="F621" s="510">
        <v>0</v>
      </c>
      <c r="G621" s="510">
        <v>0</v>
      </c>
    </row>
    <row r="622" spans="1:7" x14ac:dyDescent="0.25">
      <c r="A622" s="509" t="s">
        <v>2413</v>
      </c>
      <c r="B622" s="509" t="s">
        <v>2098</v>
      </c>
      <c r="C622" s="510">
        <v>0</v>
      </c>
      <c r="D622" s="510">
        <v>0</v>
      </c>
      <c r="E622" s="510">
        <v>0</v>
      </c>
      <c r="F622" s="510">
        <v>0</v>
      </c>
      <c r="G622" s="510">
        <v>0</v>
      </c>
    </row>
    <row r="623" spans="1:7" x14ac:dyDescent="0.25">
      <c r="A623" s="509" t="s">
        <v>2414</v>
      </c>
      <c r="B623" s="509" t="s">
        <v>2415</v>
      </c>
      <c r="C623" s="510">
        <v>0</v>
      </c>
      <c r="D623" s="510">
        <v>0</v>
      </c>
      <c r="E623" s="510">
        <v>0</v>
      </c>
      <c r="F623" s="510">
        <v>0</v>
      </c>
      <c r="G623" s="510">
        <v>0</v>
      </c>
    </row>
    <row r="624" spans="1:7" x14ac:dyDescent="0.25">
      <c r="A624" s="509" t="s">
        <v>2416</v>
      </c>
      <c r="B624" s="509" t="s">
        <v>2106</v>
      </c>
      <c r="C624" s="510">
        <v>0</v>
      </c>
      <c r="D624" s="510">
        <v>0</v>
      </c>
      <c r="E624" s="510">
        <v>0</v>
      </c>
      <c r="F624" s="510">
        <v>0</v>
      </c>
      <c r="G624" s="510">
        <v>0</v>
      </c>
    </row>
    <row r="625" spans="1:7" x14ac:dyDescent="0.25">
      <c r="A625" s="509" t="s">
        <v>2417</v>
      </c>
      <c r="B625" s="509" t="s">
        <v>2108</v>
      </c>
      <c r="C625" s="510">
        <v>0</v>
      </c>
      <c r="D625" s="510">
        <v>-7695</v>
      </c>
      <c r="E625" s="510">
        <v>7695</v>
      </c>
      <c r="F625" s="510">
        <v>0</v>
      </c>
      <c r="G625" s="510">
        <v>0</v>
      </c>
    </row>
    <row r="626" spans="1:7" x14ac:dyDescent="0.25">
      <c r="A626" s="509" t="s">
        <v>2418</v>
      </c>
      <c r="B626" s="509" t="s">
        <v>2110</v>
      </c>
      <c r="C626" s="510">
        <v>0</v>
      </c>
      <c r="D626" s="510">
        <v>-1739.04</v>
      </c>
      <c r="E626" s="510">
        <v>1739.04</v>
      </c>
      <c r="F626" s="510">
        <v>0</v>
      </c>
      <c r="G626" s="510">
        <v>0</v>
      </c>
    </row>
    <row r="627" spans="1:7" x14ac:dyDescent="0.25">
      <c r="A627" s="509" t="s">
        <v>2419</v>
      </c>
      <c r="B627" s="509" t="s">
        <v>2112</v>
      </c>
      <c r="C627" s="510">
        <v>0</v>
      </c>
      <c r="D627" s="510">
        <v>0</v>
      </c>
      <c r="E627" s="510">
        <v>0</v>
      </c>
      <c r="F627" s="510">
        <v>0</v>
      </c>
      <c r="G627" s="510">
        <v>0</v>
      </c>
    </row>
    <row r="628" spans="1:7" x14ac:dyDescent="0.25">
      <c r="A628" s="509" t="s">
        <v>2420</v>
      </c>
      <c r="B628" s="509" t="s">
        <v>2114</v>
      </c>
      <c r="C628" s="510">
        <v>0</v>
      </c>
      <c r="D628" s="510">
        <v>0</v>
      </c>
      <c r="E628" s="510">
        <v>0</v>
      </c>
      <c r="F628" s="510">
        <v>0</v>
      </c>
      <c r="G628" s="510">
        <v>0</v>
      </c>
    </row>
    <row r="629" spans="1:7" x14ac:dyDescent="0.25">
      <c r="A629" s="509" t="s">
        <v>2421</v>
      </c>
      <c r="B629" s="509" t="s">
        <v>2116</v>
      </c>
      <c r="C629" s="510">
        <v>0</v>
      </c>
      <c r="D629" s="510">
        <v>0</v>
      </c>
      <c r="E629" s="510">
        <v>0</v>
      </c>
      <c r="F629" s="510">
        <v>0</v>
      </c>
      <c r="G629" s="510">
        <v>0</v>
      </c>
    </row>
    <row r="630" spans="1:7" x14ac:dyDescent="0.25">
      <c r="A630" s="509" t="s">
        <v>2422</v>
      </c>
      <c r="B630" s="509" t="s">
        <v>2118</v>
      </c>
      <c r="C630" s="510">
        <v>0</v>
      </c>
      <c r="D630" s="510">
        <v>0</v>
      </c>
      <c r="E630" s="510">
        <v>0</v>
      </c>
      <c r="F630" s="510">
        <v>0</v>
      </c>
      <c r="G630" s="510">
        <v>0</v>
      </c>
    </row>
    <row r="631" spans="1:7" x14ac:dyDescent="0.25">
      <c r="A631" s="509" t="s">
        <v>2423</v>
      </c>
      <c r="B631" s="509" t="s">
        <v>2003</v>
      </c>
      <c r="C631" s="510">
        <v>0</v>
      </c>
      <c r="D631" s="510">
        <v>0</v>
      </c>
      <c r="E631" s="510">
        <v>0</v>
      </c>
      <c r="F631" s="510">
        <v>0</v>
      </c>
      <c r="G631" s="510">
        <v>0</v>
      </c>
    </row>
    <row r="632" spans="1:7" x14ac:dyDescent="0.25">
      <c r="A632" s="509" t="s">
        <v>2424</v>
      </c>
      <c r="B632" s="509" t="s">
        <v>2123</v>
      </c>
      <c r="C632" s="510">
        <v>0</v>
      </c>
      <c r="D632" s="510">
        <v>0</v>
      </c>
      <c r="E632" s="510">
        <v>0</v>
      </c>
      <c r="F632" s="510">
        <v>0</v>
      </c>
      <c r="G632" s="510">
        <v>0</v>
      </c>
    </row>
    <row r="633" spans="1:7" x14ac:dyDescent="0.25">
      <c r="A633" s="509" t="s">
        <v>2425</v>
      </c>
      <c r="B633" s="509" t="s">
        <v>2125</v>
      </c>
      <c r="C633" s="510">
        <v>0</v>
      </c>
      <c r="D633" s="510">
        <v>0</v>
      </c>
      <c r="E633" s="510">
        <v>0</v>
      </c>
      <c r="F633" s="510">
        <v>0</v>
      </c>
      <c r="G633" s="510">
        <v>0</v>
      </c>
    </row>
    <row r="634" spans="1:7" x14ac:dyDescent="0.25">
      <c r="A634" s="509" t="s">
        <v>2426</v>
      </c>
      <c r="B634" s="509" t="s">
        <v>2127</v>
      </c>
      <c r="C634" s="510">
        <v>0</v>
      </c>
      <c r="D634" s="510">
        <v>-395600</v>
      </c>
      <c r="E634" s="510">
        <v>0</v>
      </c>
      <c r="F634" s="510">
        <v>58000</v>
      </c>
      <c r="G634" s="510">
        <v>-453600</v>
      </c>
    </row>
    <row r="635" spans="1:7" x14ac:dyDescent="0.25">
      <c r="A635" s="509" t="s">
        <v>2427</v>
      </c>
      <c r="B635" s="509" t="s">
        <v>2129</v>
      </c>
      <c r="C635" s="510">
        <v>0</v>
      </c>
      <c r="D635" s="510">
        <v>-5426.11</v>
      </c>
      <c r="E635" s="510">
        <v>0</v>
      </c>
      <c r="F635" s="510">
        <v>0</v>
      </c>
      <c r="G635" s="510">
        <v>-5426.11</v>
      </c>
    </row>
    <row r="636" spans="1:7" x14ac:dyDescent="0.25">
      <c r="A636" s="509" t="s">
        <v>2428</v>
      </c>
      <c r="B636" s="509" t="s">
        <v>2131</v>
      </c>
      <c r="C636" s="510">
        <v>0</v>
      </c>
      <c r="D636" s="510">
        <v>0</v>
      </c>
      <c r="E636" s="510">
        <v>0</v>
      </c>
      <c r="F636" s="510">
        <v>0</v>
      </c>
      <c r="G636" s="510">
        <v>0</v>
      </c>
    </row>
    <row r="637" spans="1:7" x14ac:dyDescent="0.25">
      <c r="A637" s="509" t="s">
        <v>2429</v>
      </c>
      <c r="B637" s="509" t="s">
        <v>2133</v>
      </c>
      <c r="C637" s="510">
        <v>0</v>
      </c>
      <c r="D637" s="510">
        <v>-171952.01</v>
      </c>
      <c r="E637" s="510">
        <v>0</v>
      </c>
      <c r="F637" s="510">
        <v>0</v>
      </c>
      <c r="G637" s="510">
        <v>-171952.01</v>
      </c>
    </row>
    <row r="638" spans="1:7" x14ac:dyDescent="0.25">
      <c r="A638" s="509" t="s">
        <v>2430</v>
      </c>
      <c r="B638" s="509" t="s">
        <v>2135</v>
      </c>
      <c r="C638" s="510">
        <v>0</v>
      </c>
      <c r="D638" s="510">
        <v>0</v>
      </c>
      <c r="E638" s="510">
        <v>0</v>
      </c>
      <c r="F638" s="510">
        <v>0</v>
      </c>
      <c r="G638" s="510">
        <v>0</v>
      </c>
    </row>
    <row r="639" spans="1:7" x14ac:dyDescent="0.25">
      <c r="A639" s="509" t="s">
        <v>2431</v>
      </c>
      <c r="B639" s="509" t="s">
        <v>2137</v>
      </c>
      <c r="C639" s="510">
        <v>0</v>
      </c>
      <c r="D639" s="510">
        <v>-1830000</v>
      </c>
      <c r="E639" s="510">
        <v>0</v>
      </c>
      <c r="F639" s="510">
        <v>45000</v>
      </c>
      <c r="G639" s="510">
        <v>-1875000</v>
      </c>
    </row>
    <row r="640" spans="1:7" x14ac:dyDescent="0.25">
      <c r="A640" s="509" t="s">
        <v>2432</v>
      </c>
      <c r="B640" s="509" t="s">
        <v>2139</v>
      </c>
      <c r="C640" s="510">
        <v>0</v>
      </c>
      <c r="D640" s="510">
        <v>-42127.13</v>
      </c>
      <c r="E640" s="510">
        <v>0</v>
      </c>
      <c r="F640" s="510">
        <v>0</v>
      </c>
      <c r="G640" s="510">
        <v>-42127.13</v>
      </c>
    </row>
    <row r="641" spans="1:7" x14ac:dyDescent="0.25">
      <c r="A641" s="509" t="s">
        <v>2433</v>
      </c>
      <c r="B641" s="509" t="s">
        <v>2434</v>
      </c>
      <c r="C641" s="510">
        <v>0</v>
      </c>
      <c r="D641" s="510">
        <v>0</v>
      </c>
      <c r="E641" s="510">
        <v>0</v>
      </c>
      <c r="F641" s="510">
        <v>0</v>
      </c>
      <c r="G641" s="510">
        <v>0</v>
      </c>
    </row>
    <row r="642" spans="1:7" x14ac:dyDescent="0.25">
      <c r="A642" s="509" t="s">
        <v>2435</v>
      </c>
      <c r="B642" s="509" t="s">
        <v>2147</v>
      </c>
      <c r="C642" s="510">
        <v>0</v>
      </c>
      <c r="D642" s="510">
        <v>0</v>
      </c>
      <c r="E642" s="510">
        <v>0</v>
      </c>
      <c r="F642" s="510">
        <v>0</v>
      </c>
      <c r="G642" s="510">
        <v>0</v>
      </c>
    </row>
    <row r="643" spans="1:7" x14ac:dyDescent="0.25">
      <c r="A643" s="509" t="s">
        <v>2436</v>
      </c>
      <c r="B643" s="509" t="s">
        <v>2153</v>
      </c>
      <c r="C643" s="510">
        <v>0</v>
      </c>
      <c r="D643" s="510">
        <v>0</v>
      </c>
      <c r="E643" s="510">
        <v>0</v>
      </c>
      <c r="F643" s="510">
        <v>0</v>
      </c>
      <c r="G643" s="510">
        <v>0</v>
      </c>
    </row>
    <row r="644" spans="1:7" x14ac:dyDescent="0.25">
      <c r="A644" s="509" t="s">
        <v>2437</v>
      </c>
      <c r="B644" s="509" t="s">
        <v>2155</v>
      </c>
      <c r="C644" s="510">
        <v>0</v>
      </c>
      <c r="D644" s="510">
        <v>0</v>
      </c>
      <c r="E644" s="510">
        <v>0</v>
      </c>
      <c r="F644" s="510">
        <v>0</v>
      </c>
      <c r="G644" s="510">
        <v>0</v>
      </c>
    </row>
    <row r="645" spans="1:7" x14ac:dyDescent="0.25">
      <c r="A645" s="509" t="s">
        <v>2438</v>
      </c>
      <c r="B645" s="509" t="s">
        <v>2159</v>
      </c>
      <c r="C645" s="510">
        <v>0</v>
      </c>
      <c r="D645" s="510">
        <v>-103000</v>
      </c>
      <c r="E645" s="510">
        <v>103000</v>
      </c>
      <c r="F645" s="510">
        <v>0</v>
      </c>
      <c r="G645" s="510">
        <v>0</v>
      </c>
    </row>
    <row r="646" spans="1:7" x14ac:dyDescent="0.25">
      <c r="A646" s="509" t="s">
        <v>2439</v>
      </c>
      <c r="B646" s="509" t="s">
        <v>2163</v>
      </c>
      <c r="C646" s="510">
        <v>0</v>
      </c>
      <c r="D646" s="510">
        <v>0</v>
      </c>
      <c r="E646" s="510">
        <v>0</v>
      </c>
      <c r="F646" s="510">
        <v>0</v>
      </c>
      <c r="G646" s="510">
        <v>0</v>
      </c>
    </row>
    <row r="647" spans="1:7" x14ac:dyDescent="0.25">
      <c r="A647" s="509" t="s">
        <v>2440</v>
      </c>
      <c r="B647" s="509" t="s">
        <v>2165</v>
      </c>
      <c r="C647" s="510">
        <v>0</v>
      </c>
      <c r="D647" s="510">
        <v>0</v>
      </c>
      <c r="E647" s="510">
        <v>0</v>
      </c>
      <c r="F647" s="510">
        <v>0</v>
      </c>
      <c r="G647" s="510">
        <v>0</v>
      </c>
    </row>
    <row r="648" spans="1:7" x14ac:dyDescent="0.25">
      <c r="A648" s="509" t="s">
        <v>2441</v>
      </c>
      <c r="B648" s="509" t="s">
        <v>2169</v>
      </c>
      <c r="C648" s="510">
        <v>0</v>
      </c>
      <c r="D648" s="510">
        <v>-22036</v>
      </c>
      <c r="E648" s="510">
        <v>0</v>
      </c>
      <c r="F648" s="510">
        <v>0</v>
      </c>
      <c r="G648" s="510">
        <v>-22036</v>
      </c>
    </row>
    <row r="649" spans="1:7" x14ac:dyDescent="0.25">
      <c r="A649" s="509" t="s">
        <v>2442</v>
      </c>
      <c r="B649" s="509" t="s">
        <v>2171</v>
      </c>
      <c r="C649" s="510">
        <v>0</v>
      </c>
      <c r="D649" s="510">
        <v>0</v>
      </c>
      <c r="E649" s="510">
        <v>0</v>
      </c>
      <c r="F649" s="510">
        <v>0</v>
      </c>
      <c r="G649" s="510">
        <v>0</v>
      </c>
    </row>
    <row r="650" spans="1:7" x14ac:dyDescent="0.25">
      <c r="A650" s="509" t="s">
        <v>2443</v>
      </c>
      <c r="B650" s="509" t="s">
        <v>2173</v>
      </c>
      <c r="C650" s="510">
        <v>0</v>
      </c>
      <c r="D650" s="510">
        <v>0</v>
      </c>
      <c r="E650" s="510">
        <v>0</v>
      </c>
      <c r="F650" s="510">
        <v>0</v>
      </c>
      <c r="G650" s="510">
        <v>0</v>
      </c>
    </row>
    <row r="651" spans="1:7" x14ac:dyDescent="0.25">
      <c r="A651" s="509" t="s">
        <v>2444</v>
      </c>
      <c r="B651" s="509" t="s">
        <v>2175</v>
      </c>
      <c r="C651" s="510">
        <v>0</v>
      </c>
      <c r="D651" s="510">
        <v>0</v>
      </c>
      <c r="E651" s="510">
        <v>0</v>
      </c>
      <c r="F651" s="510">
        <v>0</v>
      </c>
      <c r="G651" s="510">
        <v>0</v>
      </c>
    </row>
    <row r="652" spans="1:7" x14ac:dyDescent="0.25">
      <c r="A652" s="509" t="s">
        <v>2445</v>
      </c>
      <c r="B652" s="509" t="s">
        <v>2177</v>
      </c>
      <c r="C652" s="510">
        <v>0</v>
      </c>
      <c r="D652" s="510">
        <v>0</v>
      </c>
      <c r="E652" s="510">
        <v>0</v>
      </c>
      <c r="F652" s="510">
        <v>0</v>
      </c>
      <c r="G652" s="510">
        <v>0</v>
      </c>
    </row>
    <row r="653" spans="1:7" x14ac:dyDescent="0.25">
      <c r="A653" s="509" t="s">
        <v>2446</v>
      </c>
      <c r="B653" s="509" t="s">
        <v>2179</v>
      </c>
      <c r="C653" s="510">
        <v>0</v>
      </c>
      <c r="D653" s="510">
        <v>0</v>
      </c>
      <c r="E653" s="510">
        <v>0</v>
      </c>
      <c r="F653" s="510">
        <v>0</v>
      </c>
      <c r="G653" s="510">
        <v>0</v>
      </c>
    </row>
    <row r="654" spans="1:7" x14ac:dyDescent="0.25">
      <c r="A654" s="509" t="s">
        <v>2447</v>
      </c>
      <c r="B654" s="509" t="s">
        <v>2181</v>
      </c>
      <c r="C654" s="510">
        <v>0</v>
      </c>
      <c r="D654" s="510">
        <v>0</v>
      </c>
      <c r="E654" s="510">
        <v>0</v>
      </c>
      <c r="F654" s="510">
        <v>0</v>
      </c>
      <c r="G654" s="510">
        <v>0</v>
      </c>
    </row>
    <row r="655" spans="1:7" x14ac:dyDescent="0.25">
      <c r="A655" s="509" t="s">
        <v>2448</v>
      </c>
      <c r="B655" s="509" t="s">
        <v>2183</v>
      </c>
      <c r="C655" s="510">
        <v>0</v>
      </c>
      <c r="D655" s="510">
        <v>0</v>
      </c>
      <c r="E655" s="510">
        <v>0</v>
      </c>
      <c r="F655" s="510">
        <v>0</v>
      </c>
      <c r="G655" s="510">
        <v>0</v>
      </c>
    </row>
    <row r="656" spans="1:7" x14ac:dyDescent="0.25">
      <c r="A656" s="509" t="s">
        <v>2449</v>
      </c>
      <c r="B656" s="509" t="s">
        <v>2185</v>
      </c>
      <c r="C656" s="510">
        <v>0</v>
      </c>
      <c r="D656" s="510">
        <v>0</v>
      </c>
      <c r="E656" s="510">
        <v>0</v>
      </c>
      <c r="F656" s="510">
        <v>0</v>
      </c>
      <c r="G656" s="510">
        <v>0</v>
      </c>
    </row>
    <row r="657" spans="1:7" x14ac:dyDescent="0.25">
      <c r="A657" s="509" t="s">
        <v>2450</v>
      </c>
      <c r="B657" s="509" t="s">
        <v>2187</v>
      </c>
      <c r="C657" s="510">
        <v>0</v>
      </c>
      <c r="D657" s="510">
        <v>0</v>
      </c>
      <c r="E657" s="510">
        <v>0</v>
      </c>
      <c r="F657" s="510">
        <v>0</v>
      </c>
      <c r="G657" s="510">
        <v>0</v>
      </c>
    </row>
    <row r="658" spans="1:7" x14ac:dyDescent="0.25">
      <c r="A658" s="509" t="s">
        <v>2451</v>
      </c>
      <c r="B658" s="509" t="s">
        <v>2189</v>
      </c>
      <c r="C658" s="510">
        <v>0</v>
      </c>
      <c r="D658" s="510">
        <v>0</v>
      </c>
      <c r="E658" s="510">
        <v>0</v>
      </c>
      <c r="F658" s="510">
        <v>0</v>
      </c>
      <c r="G658" s="510">
        <v>0</v>
      </c>
    </row>
    <row r="659" spans="1:7" x14ac:dyDescent="0.25">
      <c r="A659" s="509" t="s">
        <v>2452</v>
      </c>
      <c r="B659" s="509" t="s">
        <v>2191</v>
      </c>
      <c r="C659" s="510">
        <v>0</v>
      </c>
      <c r="D659" s="510">
        <v>0</v>
      </c>
      <c r="E659" s="510">
        <v>0</v>
      </c>
      <c r="F659" s="510">
        <v>0</v>
      </c>
      <c r="G659" s="510">
        <v>0</v>
      </c>
    </row>
    <row r="660" spans="1:7" x14ac:dyDescent="0.25">
      <c r="A660" s="509" t="s">
        <v>2453</v>
      </c>
      <c r="B660" s="509" t="s">
        <v>2171</v>
      </c>
      <c r="C660" s="510">
        <v>0</v>
      </c>
      <c r="D660" s="510">
        <v>0</v>
      </c>
      <c r="E660" s="510">
        <v>0</v>
      </c>
      <c r="F660" s="510">
        <v>0</v>
      </c>
      <c r="G660" s="510">
        <v>0</v>
      </c>
    </row>
    <row r="661" spans="1:7" x14ac:dyDescent="0.25">
      <c r="A661" s="509" t="s">
        <v>2454</v>
      </c>
      <c r="B661" s="509" t="s">
        <v>2194</v>
      </c>
      <c r="C661" s="510">
        <v>0</v>
      </c>
      <c r="D661" s="510">
        <v>0</v>
      </c>
      <c r="E661" s="510">
        <v>0</v>
      </c>
      <c r="F661" s="510">
        <v>0</v>
      </c>
      <c r="G661" s="510">
        <v>0</v>
      </c>
    </row>
    <row r="662" spans="1:7" x14ac:dyDescent="0.25">
      <c r="A662" s="509" t="s">
        <v>2455</v>
      </c>
      <c r="B662" s="509" t="s">
        <v>2196</v>
      </c>
      <c r="C662" s="510">
        <v>0</v>
      </c>
      <c r="D662" s="510">
        <v>0</v>
      </c>
      <c r="E662" s="510">
        <v>0</v>
      </c>
      <c r="F662" s="510">
        <v>0</v>
      </c>
      <c r="G662" s="510">
        <v>0</v>
      </c>
    </row>
    <row r="663" spans="1:7" x14ac:dyDescent="0.25">
      <c r="A663" s="509" t="s">
        <v>2456</v>
      </c>
      <c r="B663" s="509" t="s">
        <v>2198</v>
      </c>
      <c r="C663" s="510">
        <v>0</v>
      </c>
      <c r="D663" s="510">
        <v>0</v>
      </c>
      <c r="E663" s="510">
        <v>0</v>
      </c>
      <c r="F663" s="510">
        <v>0</v>
      </c>
      <c r="G663" s="510">
        <v>0</v>
      </c>
    </row>
    <row r="664" spans="1:7" x14ac:dyDescent="0.25">
      <c r="A664" s="509" t="s">
        <v>2457</v>
      </c>
      <c r="B664" s="509" t="s">
        <v>2200</v>
      </c>
      <c r="C664" s="510">
        <v>0</v>
      </c>
      <c r="D664" s="510">
        <v>0</v>
      </c>
      <c r="E664" s="510">
        <v>0</v>
      </c>
      <c r="F664" s="510">
        <v>0</v>
      </c>
      <c r="G664" s="510">
        <v>0</v>
      </c>
    </row>
    <row r="665" spans="1:7" x14ac:dyDescent="0.25">
      <c r="A665" s="509" t="s">
        <v>2458</v>
      </c>
      <c r="B665" s="509" t="s">
        <v>2202</v>
      </c>
      <c r="C665" s="510">
        <v>0</v>
      </c>
      <c r="D665" s="510">
        <v>0</v>
      </c>
      <c r="E665" s="510">
        <v>0</v>
      </c>
      <c r="F665" s="510">
        <v>0</v>
      </c>
      <c r="G665" s="510">
        <v>0</v>
      </c>
    </row>
    <row r="666" spans="1:7" x14ac:dyDescent="0.25">
      <c r="A666" s="509" t="s">
        <v>2459</v>
      </c>
      <c r="B666" s="509" t="s">
        <v>2204</v>
      </c>
      <c r="C666" s="510">
        <v>0</v>
      </c>
      <c r="D666" s="510">
        <v>0</v>
      </c>
      <c r="E666" s="510">
        <v>0</v>
      </c>
      <c r="F666" s="510">
        <v>0</v>
      </c>
      <c r="G666" s="510">
        <v>0</v>
      </c>
    </row>
    <row r="667" spans="1:7" x14ac:dyDescent="0.25">
      <c r="A667" s="509" t="s">
        <v>2460</v>
      </c>
      <c r="B667" s="509" t="s">
        <v>2206</v>
      </c>
      <c r="C667" s="510">
        <v>0</v>
      </c>
      <c r="D667" s="510">
        <v>-425</v>
      </c>
      <c r="E667" s="510">
        <v>425</v>
      </c>
      <c r="F667" s="510">
        <v>0</v>
      </c>
      <c r="G667" s="510">
        <v>0</v>
      </c>
    </row>
    <row r="668" spans="1:7" x14ac:dyDescent="0.25">
      <c r="A668" s="509" t="s">
        <v>2461</v>
      </c>
      <c r="B668" s="509" t="s">
        <v>2208</v>
      </c>
      <c r="C668" s="510">
        <v>0</v>
      </c>
      <c r="D668" s="510">
        <v>0</v>
      </c>
      <c r="E668" s="510">
        <v>0</v>
      </c>
      <c r="F668" s="510">
        <v>0</v>
      </c>
      <c r="G668" s="510">
        <v>0</v>
      </c>
    </row>
    <row r="669" spans="1:7" x14ac:dyDescent="0.25">
      <c r="A669" s="509" t="s">
        <v>2462</v>
      </c>
      <c r="B669" s="509" t="s">
        <v>2210</v>
      </c>
      <c r="C669" s="510">
        <v>0</v>
      </c>
      <c r="D669" s="510">
        <v>0</v>
      </c>
      <c r="E669" s="510">
        <v>0</v>
      </c>
      <c r="F669" s="510">
        <v>0</v>
      </c>
      <c r="G669" s="510">
        <v>0</v>
      </c>
    </row>
    <row r="670" spans="1:7" x14ac:dyDescent="0.25">
      <c r="A670" s="509" t="s">
        <v>2463</v>
      </c>
      <c r="B670" s="509" t="s">
        <v>2212</v>
      </c>
      <c r="C670" s="510">
        <v>0</v>
      </c>
      <c r="D670" s="510">
        <v>0</v>
      </c>
      <c r="E670" s="510">
        <v>0</v>
      </c>
      <c r="F670" s="510">
        <v>0</v>
      </c>
      <c r="G670" s="510">
        <v>0</v>
      </c>
    </row>
    <row r="671" spans="1:7" x14ac:dyDescent="0.25">
      <c r="A671" s="509" t="s">
        <v>2464</v>
      </c>
      <c r="B671" s="509" t="s">
        <v>2214</v>
      </c>
      <c r="C671" s="510">
        <v>0</v>
      </c>
      <c r="D671" s="510">
        <v>0</v>
      </c>
      <c r="E671" s="510">
        <v>0</v>
      </c>
      <c r="F671" s="510">
        <v>0</v>
      </c>
      <c r="G671" s="510">
        <v>0</v>
      </c>
    </row>
    <row r="672" spans="1:7" x14ac:dyDescent="0.25">
      <c r="A672" s="509" t="s">
        <v>2465</v>
      </c>
      <c r="B672" s="509" t="s">
        <v>2216</v>
      </c>
      <c r="C672" s="510">
        <v>0</v>
      </c>
      <c r="D672" s="510">
        <v>0</v>
      </c>
      <c r="E672" s="510">
        <v>0</v>
      </c>
      <c r="F672" s="510">
        <v>0</v>
      </c>
      <c r="G672" s="510">
        <v>0</v>
      </c>
    </row>
    <row r="673" spans="1:7" x14ac:dyDescent="0.25">
      <c r="A673" s="509" t="s">
        <v>2466</v>
      </c>
      <c r="B673" s="509" t="s">
        <v>2218</v>
      </c>
      <c r="C673" s="510">
        <v>0</v>
      </c>
      <c r="D673" s="510">
        <v>-59014.36</v>
      </c>
      <c r="E673" s="510">
        <v>0</v>
      </c>
      <c r="F673" s="510">
        <v>0</v>
      </c>
      <c r="G673" s="510">
        <v>-59014.36</v>
      </c>
    </row>
    <row r="674" spans="1:7" x14ac:dyDescent="0.25">
      <c r="A674" s="509" t="s">
        <v>2467</v>
      </c>
      <c r="B674" s="509" t="s">
        <v>2222</v>
      </c>
      <c r="C674" s="510">
        <v>0</v>
      </c>
      <c r="D674" s="510">
        <v>0</v>
      </c>
      <c r="E674" s="510">
        <v>0</v>
      </c>
      <c r="F674" s="510">
        <v>0</v>
      </c>
      <c r="G674" s="510">
        <v>0</v>
      </c>
    </row>
    <row r="675" spans="1:7" x14ac:dyDescent="0.25">
      <c r="A675" s="509" t="s">
        <v>2468</v>
      </c>
      <c r="B675" s="509" t="s">
        <v>2224</v>
      </c>
      <c r="C675" s="510">
        <v>0</v>
      </c>
      <c r="D675" s="510">
        <v>0</v>
      </c>
      <c r="E675" s="510">
        <v>0</v>
      </c>
      <c r="F675" s="510">
        <v>0</v>
      </c>
      <c r="G675" s="510">
        <v>0</v>
      </c>
    </row>
    <row r="676" spans="1:7" x14ac:dyDescent="0.25">
      <c r="A676" s="509" t="s">
        <v>2469</v>
      </c>
      <c r="B676" s="509" t="s">
        <v>2228</v>
      </c>
      <c r="C676" s="510">
        <v>0</v>
      </c>
      <c r="D676" s="510">
        <v>-22829.68</v>
      </c>
      <c r="E676" s="510">
        <v>8074.72</v>
      </c>
      <c r="F676" s="510">
        <v>0</v>
      </c>
      <c r="G676" s="510">
        <v>-14754.96</v>
      </c>
    </row>
    <row r="677" spans="1:7" x14ac:dyDescent="0.25">
      <c r="A677" s="509" t="s">
        <v>882</v>
      </c>
      <c r="B677" s="509" t="s">
        <v>1126</v>
      </c>
      <c r="C677" s="510">
        <v>0</v>
      </c>
      <c r="D677" s="510">
        <v>0</v>
      </c>
      <c r="E677" s="510">
        <v>0</v>
      </c>
      <c r="F677" s="510">
        <v>0</v>
      </c>
      <c r="G677" s="510">
        <v>0</v>
      </c>
    </row>
    <row r="678" spans="1:7" x14ac:dyDescent="0.25">
      <c r="A678" s="509" t="s">
        <v>881</v>
      </c>
      <c r="B678" s="509" t="s">
        <v>12</v>
      </c>
      <c r="C678" s="510">
        <v>0</v>
      </c>
      <c r="D678" s="510">
        <v>0</v>
      </c>
      <c r="E678" s="510">
        <v>0</v>
      </c>
      <c r="F678" s="510">
        <v>875.25</v>
      </c>
      <c r="G678" s="510">
        <v>-875.25</v>
      </c>
    </row>
    <row r="679" spans="1:7" x14ac:dyDescent="0.25">
      <c r="A679" s="509" t="s">
        <v>889</v>
      </c>
      <c r="B679" s="509" t="s">
        <v>13</v>
      </c>
      <c r="C679" s="510">
        <v>4900</v>
      </c>
      <c r="D679" s="510">
        <v>0</v>
      </c>
      <c r="E679" s="510">
        <v>0</v>
      </c>
      <c r="F679" s="510">
        <v>2312.06</v>
      </c>
      <c r="G679" s="510">
        <v>-2312.06</v>
      </c>
    </row>
    <row r="680" spans="1:7" x14ac:dyDescent="0.25">
      <c r="A680" s="509" t="s">
        <v>2470</v>
      </c>
      <c r="B680" s="509" t="s">
        <v>2230</v>
      </c>
      <c r="C680" s="510">
        <v>0</v>
      </c>
      <c r="D680" s="510">
        <v>0</v>
      </c>
      <c r="E680" s="510">
        <v>0</v>
      </c>
      <c r="F680" s="510">
        <v>0</v>
      </c>
      <c r="G680" s="510">
        <v>0</v>
      </c>
    </row>
    <row r="681" spans="1:7" x14ac:dyDescent="0.25">
      <c r="A681" s="509" t="s">
        <v>890</v>
      </c>
      <c r="B681" s="509" t="s">
        <v>1127</v>
      </c>
      <c r="C681" s="510">
        <v>0</v>
      </c>
      <c r="D681" s="510">
        <v>0</v>
      </c>
      <c r="E681" s="510">
        <v>0</v>
      </c>
      <c r="F681" s="510">
        <v>0</v>
      </c>
      <c r="G681" s="510">
        <v>0</v>
      </c>
    </row>
    <row r="682" spans="1:7" x14ac:dyDescent="0.25">
      <c r="A682" s="509" t="s">
        <v>891</v>
      </c>
      <c r="B682" s="509" t="s">
        <v>15</v>
      </c>
      <c r="C682" s="510">
        <v>7300</v>
      </c>
      <c r="D682" s="510">
        <v>0</v>
      </c>
      <c r="E682" s="510">
        <v>654</v>
      </c>
      <c r="F682" s="510">
        <v>4260.53</v>
      </c>
      <c r="G682" s="510">
        <v>-3606.53</v>
      </c>
    </row>
    <row r="683" spans="1:7" x14ac:dyDescent="0.25">
      <c r="A683" s="509" t="s">
        <v>947</v>
      </c>
      <c r="B683" s="509" t="s">
        <v>843</v>
      </c>
      <c r="C683" s="510">
        <v>12</v>
      </c>
      <c r="D683" s="510">
        <v>0</v>
      </c>
      <c r="E683" s="510">
        <v>0</v>
      </c>
      <c r="F683" s="510">
        <v>4.95</v>
      </c>
      <c r="G683" s="510">
        <v>-4.95</v>
      </c>
    </row>
    <row r="684" spans="1:7" x14ac:dyDescent="0.25">
      <c r="A684" s="509" t="s">
        <v>883</v>
      </c>
      <c r="B684" s="509" t="s">
        <v>16</v>
      </c>
      <c r="C684" s="510">
        <v>500</v>
      </c>
      <c r="D684" s="510">
        <v>0</v>
      </c>
      <c r="E684" s="510">
        <v>0</v>
      </c>
      <c r="F684" s="510">
        <v>1320</v>
      </c>
      <c r="G684" s="510">
        <v>-1320</v>
      </c>
    </row>
    <row r="685" spans="1:7" x14ac:dyDescent="0.25">
      <c r="A685" s="509" t="s">
        <v>2471</v>
      </c>
      <c r="B685" s="509" t="s">
        <v>2232</v>
      </c>
      <c r="C685" s="510">
        <v>0</v>
      </c>
      <c r="D685" s="510">
        <v>0</v>
      </c>
      <c r="E685" s="510">
        <v>0</v>
      </c>
      <c r="F685" s="510">
        <v>0</v>
      </c>
      <c r="G685" s="510">
        <v>0</v>
      </c>
    </row>
    <row r="686" spans="1:7" x14ac:dyDescent="0.25">
      <c r="A686" s="509" t="s">
        <v>884</v>
      </c>
      <c r="B686" s="509" t="s">
        <v>17</v>
      </c>
      <c r="C686" s="510">
        <v>3400</v>
      </c>
      <c r="D686" s="510">
        <v>0</v>
      </c>
      <c r="E686" s="510">
        <v>0</v>
      </c>
      <c r="F686" s="510">
        <v>725.92</v>
      </c>
      <c r="G686" s="510">
        <v>-725.92</v>
      </c>
    </row>
    <row r="687" spans="1:7" x14ac:dyDescent="0.25">
      <c r="A687" s="509" t="s">
        <v>878</v>
      </c>
      <c r="B687" s="509" t="s">
        <v>18</v>
      </c>
      <c r="C687" s="510">
        <v>0</v>
      </c>
      <c r="D687" s="510">
        <v>0</v>
      </c>
      <c r="E687" s="510">
        <v>0</v>
      </c>
      <c r="F687" s="510">
        <v>0</v>
      </c>
      <c r="G687" s="510">
        <v>0</v>
      </c>
    </row>
    <row r="688" spans="1:7" x14ac:dyDescent="0.25">
      <c r="A688" s="509" t="s">
        <v>2472</v>
      </c>
      <c r="B688" s="509" t="s">
        <v>2234</v>
      </c>
      <c r="C688" s="510">
        <v>0</v>
      </c>
      <c r="D688" s="510">
        <v>0</v>
      </c>
      <c r="E688" s="510">
        <v>0</v>
      </c>
      <c r="F688" s="510">
        <v>0</v>
      </c>
      <c r="G688" s="510">
        <v>0</v>
      </c>
    </row>
    <row r="689" spans="1:7" x14ac:dyDescent="0.25">
      <c r="A689" s="509" t="s">
        <v>2473</v>
      </c>
      <c r="B689" s="509" t="s">
        <v>2238</v>
      </c>
      <c r="C689" s="510">
        <v>0</v>
      </c>
      <c r="D689" s="510">
        <v>0</v>
      </c>
      <c r="E689" s="510">
        <v>0</v>
      </c>
      <c r="F689" s="510">
        <v>0</v>
      </c>
      <c r="G689" s="510">
        <v>0</v>
      </c>
    </row>
    <row r="690" spans="1:7" x14ac:dyDescent="0.25">
      <c r="A690" s="509" t="s">
        <v>885</v>
      </c>
      <c r="B690" s="509" t="s">
        <v>1128</v>
      </c>
      <c r="C690" s="510">
        <v>1895</v>
      </c>
      <c r="D690" s="510">
        <v>0</v>
      </c>
      <c r="E690" s="510">
        <v>0</v>
      </c>
      <c r="F690" s="510">
        <v>0</v>
      </c>
      <c r="G690" s="510">
        <v>0</v>
      </c>
    </row>
    <row r="691" spans="1:7" x14ac:dyDescent="0.25">
      <c r="A691" s="509" t="s">
        <v>951</v>
      </c>
      <c r="B691" s="509" t="s">
        <v>1129</v>
      </c>
      <c r="C691" s="510">
        <v>895</v>
      </c>
      <c r="D691" s="510">
        <v>0</v>
      </c>
      <c r="E691" s="510">
        <v>0</v>
      </c>
      <c r="F691" s="510">
        <v>0</v>
      </c>
      <c r="G691" s="510">
        <v>0</v>
      </c>
    </row>
    <row r="692" spans="1:7" x14ac:dyDescent="0.25">
      <c r="A692" s="509" t="s">
        <v>886</v>
      </c>
      <c r="B692" s="509" t="s">
        <v>181</v>
      </c>
      <c r="C692" s="510">
        <v>0</v>
      </c>
      <c r="D692" s="510">
        <v>0</v>
      </c>
      <c r="E692" s="510">
        <v>0</v>
      </c>
      <c r="F692" s="510">
        <v>0</v>
      </c>
      <c r="G692" s="510">
        <v>0</v>
      </c>
    </row>
    <row r="693" spans="1:7" x14ac:dyDescent="0.25">
      <c r="A693" s="509" t="s">
        <v>1132</v>
      </c>
      <c r="B693" s="509" t="s">
        <v>21</v>
      </c>
      <c r="C693" s="510">
        <v>0</v>
      </c>
      <c r="D693" s="510">
        <v>0</v>
      </c>
      <c r="E693" s="510">
        <v>0</v>
      </c>
      <c r="F693" s="510">
        <v>0</v>
      </c>
      <c r="G693" s="510">
        <v>0</v>
      </c>
    </row>
    <row r="694" spans="1:7" x14ac:dyDescent="0.25">
      <c r="A694" s="509" t="s">
        <v>2474</v>
      </c>
      <c r="B694" s="509" t="s">
        <v>2242</v>
      </c>
      <c r="C694" s="510">
        <v>0</v>
      </c>
      <c r="D694" s="510">
        <v>0</v>
      </c>
      <c r="E694" s="510">
        <v>0</v>
      </c>
      <c r="F694" s="510">
        <v>0</v>
      </c>
      <c r="G694" s="510">
        <v>0</v>
      </c>
    </row>
    <row r="695" spans="1:7" x14ac:dyDescent="0.25">
      <c r="A695" s="509" t="s">
        <v>2475</v>
      </c>
      <c r="B695" s="509" t="s">
        <v>2476</v>
      </c>
      <c r="C695" s="510">
        <v>0</v>
      </c>
      <c r="D695" s="510">
        <v>0</v>
      </c>
      <c r="E695" s="510">
        <v>0</v>
      </c>
      <c r="F695" s="510">
        <v>0</v>
      </c>
      <c r="G695" s="510">
        <v>0</v>
      </c>
    </row>
    <row r="696" spans="1:7" x14ac:dyDescent="0.25">
      <c r="A696" s="509" t="s">
        <v>1133</v>
      </c>
      <c r="B696" s="509" t="s">
        <v>1131</v>
      </c>
      <c r="C696" s="510">
        <v>14355.07</v>
      </c>
      <c r="D696" s="510">
        <v>0</v>
      </c>
      <c r="E696" s="510">
        <v>0</v>
      </c>
      <c r="F696" s="510">
        <v>8074.72</v>
      </c>
      <c r="G696" s="510">
        <v>-8074.72</v>
      </c>
    </row>
    <row r="697" spans="1:7" x14ac:dyDescent="0.25">
      <c r="A697" s="509" t="s">
        <v>879</v>
      </c>
      <c r="B697" s="509" t="s">
        <v>1134</v>
      </c>
      <c r="C697" s="510">
        <v>141752</v>
      </c>
      <c r="D697" s="510">
        <v>0</v>
      </c>
      <c r="E697" s="510">
        <v>0</v>
      </c>
      <c r="F697" s="510">
        <v>61305.2</v>
      </c>
      <c r="G697" s="510">
        <v>-61305.2</v>
      </c>
    </row>
    <row r="698" spans="1:7" x14ac:dyDescent="0.25">
      <c r="A698" s="509" t="s">
        <v>880</v>
      </c>
      <c r="B698" s="509" t="s">
        <v>1135</v>
      </c>
      <c r="C698" s="510">
        <v>784747</v>
      </c>
      <c r="D698" s="510">
        <v>0</v>
      </c>
      <c r="E698" s="510">
        <v>711.97</v>
      </c>
      <c r="F698" s="510">
        <v>379502.29</v>
      </c>
      <c r="G698" s="510">
        <v>-378790.32</v>
      </c>
    </row>
    <row r="699" spans="1:7" x14ac:dyDescent="0.25">
      <c r="A699" s="509" t="s">
        <v>2477</v>
      </c>
      <c r="B699" s="509" t="s">
        <v>7</v>
      </c>
      <c r="C699" s="510">
        <v>0</v>
      </c>
      <c r="D699" s="510">
        <v>0</v>
      </c>
      <c r="E699" s="510">
        <v>0</v>
      </c>
      <c r="F699" s="510">
        <v>0</v>
      </c>
      <c r="G699" s="510">
        <v>0</v>
      </c>
    </row>
    <row r="700" spans="1:7" x14ac:dyDescent="0.25">
      <c r="A700" s="509" t="s">
        <v>2478</v>
      </c>
      <c r="B700" s="509" t="s">
        <v>2244</v>
      </c>
      <c r="C700" s="510">
        <v>0</v>
      </c>
      <c r="D700" s="510">
        <v>0</v>
      </c>
      <c r="E700" s="510">
        <v>0</v>
      </c>
      <c r="F700" s="510">
        <v>0</v>
      </c>
      <c r="G700" s="510">
        <v>0</v>
      </c>
    </row>
    <row r="701" spans="1:7" x14ac:dyDescent="0.25">
      <c r="A701" s="509" t="s">
        <v>888</v>
      </c>
      <c r="B701" s="509" t="s">
        <v>32</v>
      </c>
      <c r="C701" s="510">
        <v>0</v>
      </c>
      <c r="D701" s="510">
        <v>0</v>
      </c>
      <c r="E701" s="510">
        <v>0</v>
      </c>
      <c r="F701" s="510">
        <v>0</v>
      </c>
      <c r="G701" s="510">
        <v>0</v>
      </c>
    </row>
    <row r="702" spans="1:7" x14ac:dyDescent="0.25">
      <c r="A702" s="509" t="s">
        <v>2479</v>
      </c>
      <c r="B702" s="509" t="s">
        <v>2246</v>
      </c>
      <c r="C702" s="510">
        <v>0</v>
      </c>
      <c r="D702" s="510">
        <v>0</v>
      </c>
      <c r="E702" s="510">
        <v>0</v>
      </c>
      <c r="F702" s="510">
        <v>0</v>
      </c>
      <c r="G702" s="510">
        <v>0</v>
      </c>
    </row>
    <row r="703" spans="1:7" x14ac:dyDescent="0.25">
      <c r="A703" s="509" t="s">
        <v>887</v>
      </c>
      <c r="B703" s="509" t="s">
        <v>867</v>
      </c>
      <c r="C703" s="510">
        <v>0</v>
      </c>
      <c r="D703" s="510">
        <v>0</v>
      </c>
      <c r="E703" s="510">
        <v>0</v>
      </c>
      <c r="F703" s="510">
        <v>0</v>
      </c>
      <c r="G703" s="510">
        <v>0</v>
      </c>
    </row>
    <row r="704" spans="1:7" x14ac:dyDescent="0.25">
      <c r="A704" s="509" t="s">
        <v>2480</v>
      </c>
      <c r="B704" s="509" t="s">
        <v>2248</v>
      </c>
      <c r="C704" s="510">
        <v>0</v>
      </c>
      <c r="D704" s="510">
        <v>0</v>
      </c>
      <c r="E704" s="510">
        <v>0</v>
      </c>
      <c r="F704" s="510">
        <v>0</v>
      </c>
      <c r="G704" s="510">
        <v>0</v>
      </c>
    </row>
    <row r="705" spans="1:7" x14ac:dyDescent="0.25">
      <c r="A705" s="509" t="s">
        <v>2481</v>
      </c>
      <c r="B705" s="509" t="s">
        <v>2482</v>
      </c>
      <c r="C705" s="510">
        <v>0</v>
      </c>
      <c r="D705" s="510">
        <v>0</v>
      </c>
      <c r="E705" s="510">
        <v>0</v>
      </c>
      <c r="F705" s="510">
        <v>0</v>
      </c>
      <c r="G705" s="510">
        <v>0</v>
      </c>
    </row>
    <row r="706" spans="1:7" x14ac:dyDescent="0.25">
      <c r="A706" s="509" t="s">
        <v>2483</v>
      </c>
      <c r="B706" s="509" t="s">
        <v>2484</v>
      </c>
      <c r="C706" s="510">
        <v>0</v>
      </c>
      <c r="D706" s="510">
        <v>0</v>
      </c>
      <c r="E706" s="510">
        <v>0</v>
      </c>
      <c r="F706" s="510">
        <v>0</v>
      </c>
      <c r="G706" s="510">
        <v>0</v>
      </c>
    </row>
    <row r="707" spans="1:7" x14ac:dyDescent="0.25">
      <c r="A707" s="509" t="s">
        <v>722</v>
      </c>
      <c r="B707" s="509" t="s">
        <v>665</v>
      </c>
      <c r="C707" s="510">
        <v>83392</v>
      </c>
      <c r="D707" s="510">
        <v>0</v>
      </c>
      <c r="E707" s="510">
        <v>40288.129999999997</v>
      </c>
      <c r="F707" s="510">
        <v>3331.12</v>
      </c>
      <c r="G707" s="510">
        <v>36957.01</v>
      </c>
    </row>
    <row r="708" spans="1:7" x14ac:dyDescent="0.25">
      <c r="A708" s="509" t="s">
        <v>723</v>
      </c>
      <c r="B708" s="509" t="s">
        <v>667</v>
      </c>
      <c r="C708" s="510">
        <v>0</v>
      </c>
      <c r="D708" s="510">
        <v>0</v>
      </c>
      <c r="E708" s="510">
        <v>0</v>
      </c>
      <c r="F708" s="510">
        <v>0</v>
      </c>
      <c r="G708" s="510">
        <v>0</v>
      </c>
    </row>
    <row r="709" spans="1:7" x14ac:dyDescent="0.25">
      <c r="A709" s="509" t="s">
        <v>709</v>
      </c>
      <c r="B709" s="509" t="s">
        <v>37</v>
      </c>
      <c r="C709" s="510">
        <v>1470.08</v>
      </c>
      <c r="D709" s="510">
        <v>0</v>
      </c>
      <c r="E709" s="510">
        <v>967.8</v>
      </c>
      <c r="F709" s="510">
        <v>30.84</v>
      </c>
      <c r="G709" s="510">
        <v>936.96</v>
      </c>
    </row>
    <row r="710" spans="1:7" x14ac:dyDescent="0.25">
      <c r="A710" s="509" t="s">
        <v>717</v>
      </c>
      <c r="B710" s="509" t="s">
        <v>1076</v>
      </c>
      <c r="C710" s="510">
        <v>0</v>
      </c>
      <c r="D710" s="510">
        <v>0</v>
      </c>
      <c r="E710" s="510">
        <v>0</v>
      </c>
      <c r="F710" s="510">
        <v>0</v>
      </c>
      <c r="G710" s="510">
        <v>0</v>
      </c>
    </row>
    <row r="711" spans="1:7" x14ac:dyDescent="0.25">
      <c r="A711" s="509" t="s">
        <v>692</v>
      </c>
      <c r="B711" s="509" t="s">
        <v>153</v>
      </c>
      <c r="C711" s="510">
        <v>4822</v>
      </c>
      <c r="D711" s="510">
        <v>0</v>
      </c>
      <c r="E711" s="510">
        <v>2068.4299999999998</v>
      </c>
      <c r="F711" s="510">
        <v>199.12</v>
      </c>
      <c r="G711" s="510">
        <v>1869.31</v>
      </c>
    </row>
    <row r="712" spans="1:7" x14ac:dyDescent="0.25">
      <c r="A712" s="509" t="s">
        <v>703</v>
      </c>
      <c r="B712" s="509" t="s">
        <v>154</v>
      </c>
      <c r="C712" s="510">
        <v>1230</v>
      </c>
      <c r="D712" s="510">
        <v>0</v>
      </c>
      <c r="E712" s="510">
        <v>578.76</v>
      </c>
      <c r="F712" s="510">
        <v>46.62</v>
      </c>
      <c r="G712" s="510">
        <v>532.14</v>
      </c>
    </row>
    <row r="713" spans="1:7" x14ac:dyDescent="0.25">
      <c r="A713" s="509" t="s">
        <v>704</v>
      </c>
      <c r="B713" s="509" t="s">
        <v>38</v>
      </c>
      <c r="C713" s="510">
        <v>15877</v>
      </c>
      <c r="D713" s="510">
        <v>0</v>
      </c>
      <c r="E713" s="510">
        <v>6809.82</v>
      </c>
      <c r="F713" s="510">
        <v>67.64</v>
      </c>
      <c r="G713" s="510">
        <v>6742.18</v>
      </c>
    </row>
    <row r="714" spans="1:7" x14ac:dyDescent="0.25">
      <c r="A714" s="509" t="s">
        <v>688</v>
      </c>
      <c r="B714" s="509" t="s">
        <v>77</v>
      </c>
      <c r="C714" s="510">
        <v>979</v>
      </c>
      <c r="D714" s="510">
        <v>0</v>
      </c>
      <c r="E714" s="510">
        <v>360.01</v>
      </c>
      <c r="F714" s="510">
        <v>7.82</v>
      </c>
      <c r="G714" s="510">
        <v>352.19</v>
      </c>
    </row>
    <row r="715" spans="1:7" x14ac:dyDescent="0.25">
      <c r="A715" s="509" t="s">
        <v>721</v>
      </c>
      <c r="B715" s="509" t="s">
        <v>78</v>
      </c>
      <c r="C715" s="510">
        <v>182</v>
      </c>
      <c r="D715" s="510">
        <v>0</v>
      </c>
      <c r="E715" s="510">
        <v>98.01</v>
      </c>
      <c r="F715" s="510">
        <v>0</v>
      </c>
      <c r="G715" s="510">
        <v>98.01</v>
      </c>
    </row>
    <row r="716" spans="1:7" x14ac:dyDescent="0.25">
      <c r="A716" s="509" t="s">
        <v>724</v>
      </c>
      <c r="B716" s="509" t="s">
        <v>893</v>
      </c>
      <c r="C716" s="510">
        <v>874</v>
      </c>
      <c r="D716" s="510">
        <v>0</v>
      </c>
      <c r="E716" s="510">
        <v>338.57</v>
      </c>
      <c r="F716" s="510">
        <v>19.66</v>
      </c>
      <c r="G716" s="510">
        <v>318.91000000000003</v>
      </c>
    </row>
    <row r="717" spans="1:7" x14ac:dyDescent="0.25">
      <c r="A717" s="509" t="s">
        <v>701</v>
      </c>
      <c r="B717" s="509" t="s">
        <v>2249</v>
      </c>
      <c r="C717" s="510">
        <v>309</v>
      </c>
      <c r="D717" s="510">
        <v>0</v>
      </c>
      <c r="E717" s="510">
        <v>184.51</v>
      </c>
      <c r="F717" s="510">
        <v>52.03</v>
      </c>
      <c r="G717" s="510">
        <v>132.47999999999999</v>
      </c>
    </row>
    <row r="718" spans="1:7" x14ac:dyDescent="0.25">
      <c r="A718" s="509" t="s">
        <v>2485</v>
      </c>
      <c r="B718" s="509" t="s">
        <v>64</v>
      </c>
      <c r="C718" s="510">
        <v>0</v>
      </c>
      <c r="D718" s="510">
        <v>0</v>
      </c>
      <c r="E718" s="510">
        <v>0</v>
      </c>
      <c r="F718" s="510">
        <v>0</v>
      </c>
      <c r="G718" s="510">
        <v>0</v>
      </c>
    </row>
    <row r="719" spans="1:7" x14ac:dyDescent="0.25">
      <c r="A719" s="509" t="s">
        <v>2486</v>
      </c>
      <c r="B719" s="509" t="s">
        <v>65</v>
      </c>
      <c r="C719" s="510">
        <v>0</v>
      </c>
      <c r="D719" s="510">
        <v>0</v>
      </c>
      <c r="E719" s="510">
        <v>0</v>
      </c>
      <c r="F719" s="510">
        <v>0</v>
      </c>
      <c r="G719" s="510">
        <v>0</v>
      </c>
    </row>
    <row r="720" spans="1:7" x14ac:dyDescent="0.25">
      <c r="A720" s="509" t="s">
        <v>718</v>
      </c>
      <c r="B720" s="509" t="s">
        <v>40</v>
      </c>
      <c r="C720" s="510">
        <v>302</v>
      </c>
      <c r="D720" s="510">
        <v>0</v>
      </c>
      <c r="E720" s="510">
        <v>13.03</v>
      </c>
      <c r="F720" s="510">
        <v>7.68</v>
      </c>
      <c r="G720" s="510">
        <v>5.35</v>
      </c>
    </row>
    <row r="721" spans="1:7" x14ac:dyDescent="0.25">
      <c r="A721" s="509" t="s">
        <v>691</v>
      </c>
      <c r="B721" s="509" t="s">
        <v>41</v>
      </c>
      <c r="C721" s="510">
        <v>7.28</v>
      </c>
      <c r="D721" s="510">
        <v>0</v>
      </c>
      <c r="E721" s="510">
        <v>0.31</v>
      </c>
      <c r="F721" s="510">
        <v>0.22</v>
      </c>
      <c r="G721" s="510">
        <v>0.09</v>
      </c>
    </row>
    <row r="722" spans="1:7" x14ac:dyDescent="0.25">
      <c r="A722" s="509" t="s">
        <v>683</v>
      </c>
      <c r="B722" s="509" t="s">
        <v>155</v>
      </c>
      <c r="C722" s="510">
        <v>576</v>
      </c>
      <c r="D722" s="510">
        <v>0</v>
      </c>
      <c r="E722" s="510">
        <v>245</v>
      </c>
      <c r="F722" s="510">
        <v>45</v>
      </c>
      <c r="G722" s="510">
        <v>200</v>
      </c>
    </row>
    <row r="723" spans="1:7" x14ac:dyDescent="0.25">
      <c r="A723" s="509" t="s">
        <v>689</v>
      </c>
      <c r="B723" s="509" t="s">
        <v>42</v>
      </c>
      <c r="C723" s="510">
        <v>253</v>
      </c>
      <c r="D723" s="510">
        <v>0</v>
      </c>
      <c r="E723" s="510">
        <v>97.91</v>
      </c>
      <c r="F723" s="510">
        <v>5.28</v>
      </c>
      <c r="G723" s="510">
        <v>92.63</v>
      </c>
    </row>
    <row r="724" spans="1:7" x14ac:dyDescent="0.25">
      <c r="A724" s="509" t="s">
        <v>681</v>
      </c>
      <c r="B724" s="509" t="s">
        <v>2252</v>
      </c>
      <c r="C724" s="510">
        <v>7372</v>
      </c>
      <c r="D724" s="510">
        <v>0</v>
      </c>
      <c r="E724" s="510">
        <v>3102.9</v>
      </c>
      <c r="F724" s="510">
        <v>266.58</v>
      </c>
      <c r="G724" s="510">
        <v>2836.32</v>
      </c>
    </row>
    <row r="725" spans="1:7" x14ac:dyDescent="0.25">
      <c r="A725" s="509" t="s">
        <v>682</v>
      </c>
      <c r="B725" s="509" t="s">
        <v>44</v>
      </c>
      <c r="C725" s="510">
        <v>6090</v>
      </c>
      <c r="D725" s="510">
        <v>0</v>
      </c>
      <c r="E725" s="510">
        <v>2574.2800000000002</v>
      </c>
      <c r="F725" s="510">
        <v>219.92</v>
      </c>
      <c r="G725" s="510">
        <v>2354.36</v>
      </c>
    </row>
    <row r="726" spans="1:7" x14ac:dyDescent="0.25">
      <c r="A726" s="509" t="s">
        <v>708</v>
      </c>
      <c r="B726" s="509" t="s">
        <v>183</v>
      </c>
      <c r="C726" s="510">
        <v>4240</v>
      </c>
      <c r="D726" s="510">
        <v>0</v>
      </c>
      <c r="E726" s="510">
        <v>0</v>
      </c>
      <c r="F726" s="510">
        <v>0</v>
      </c>
      <c r="G726" s="510">
        <v>0</v>
      </c>
    </row>
    <row r="727" spans="1:7" x14ac:dyDescent="0.25">
      <c r="A727" s="509" t="s">
        <v>2487</v>
      </c>
      <c r="B727" s="509" t="s">
        <v>2254</v>
      </c>
      <c r="C727" s="510">
        <v>0</v>
      </c>
      <c r="D727" s="510">
        <v>0</v>
      </c>
      <c r="E727" s="510">
        <v>102.74</v>
      </c>
      <c r="F727" s="510">
        <v>8.64</v>
      </c>
      <c r="G727" s="510">
        <v>94.1</v>
      </c>
    </row>
    <row r="728" spans="1:7" x14ac:dyDescent="0.25">
      <c r="A728" s="509" t="s">
        <v>2488</v>
      </c>
      <c r="B728" s="509" t="s">
        <v>2256</v>
      </c>
      <c r="C728" s="510">
        <v>0</v>
      </c>
      <c r="D728" s="510">
        <v>0</v>
      </c>
      <c r="E728" s="510">
        <v>130.61000000000001</v>
      </c>
      <c r="F728" s="510">
        <v>10.99</v>
      </c>
      <c r="G728" s="510">
        <v>119.62</v>
      </c>
    </row>
    <row r="729" spans="1:7" x14ac:dyDescent="0.25">
      <c r="A729" s="509" t="s">
        <v>1081</v>
      </c>
      <c r="B729" s="509" t="s">
        <v>1079</v>
      </c>
      <c r="C729" s="510">
        <v>10545.92</v>
      </c>
      <c r="D729" s="510">
        <v>0</v>
      </c>
      <c r="E729" s="510">
        <v>10326.780000000001</v>
      </c>
      <c r="F729" s="510">
        <v>0</v>
      </c>
      <c r="G729" s="510">
        <v>10326.780000000001</v>
      </c>
    </row>
    <row r="730" spans="1:7" x14ac:dyDescent="0.25">
      <c r="A730" s="509" t="s">
        <v>700</v>
      </c>
      <c r="B730" s="509" t="s">
        <v>156</v>
      </c>
      <c r="C730" s="510">
        <v>7600</v>
      </c>
      <c r="D730" s="510">
        <v>0</v>
      </c>
      <c r="E730" s="510">
        <v>3731.04</v>
      </c>
      <c r="F730" s="510">
        <v>0</v>
      </c>
      <c r="G730" s="510">
        <v>3731.04</v>
      </c>
    </row>
    <row r="731" spans="1:7" x14ac:dyDescent="0.25">
      <c r="A731" s="509" t="s">
        <v>2489</v>
      </c>
      <c r="B731" s="509" t="s">
        <v>2258</v>
      </c>
      <c r="C731" s="510">
        <v>0</v>
      </c>
      <c r="D731" s="510">
        <v>0</v>
      </c>
      <c r="E731" s="510">
        <v>0</v>
      </c>
      <c r="F731" s="510">
        <v>0</v>
      </c>
      <c r="G731" s="510">
        <v>0</v>
      </c>
    </row>
    <row r="732" spans="1:7" x14ac:dyDescent="0.25">
      <c r="A732" s="509" t="s">
        <v>2490</v>
      </c>
      <c r="B732" s="509" t="s">
        <v>2260</v>
      </c>
      <c r="C732" s="510">
        <v>0</v>
      </c>
      <c r="D732" s="510">
        <v>0</v>
      </c>
      <c r="E732" s="510">
        <v>0</v>
      </c>
      <c r="F732" s="510">
        <v>0</v>
      </c>
      <c r="G732" s="510">
        <v>0</v>
      </c>
    </row>
    <row r="733" spans="1:7" x14ac:dyDescent="0.25">
      <c r="A733" s="509" t="s">
        <v>714</v>
      </c>
      <c r="B733" s="509" t="s">
        <v>157</v>
      </c>
      <c r="C733" s="510">
        <v>2000</v>
      </c>
      <c r="D733" s="510">
        <v>0</v>
      </c>
      <c r="E733" s="510">
        <v>369.12</v>
      </c>
      <c r="F733" s="510">
        <v>0</v>
      </c>
      <c r="G733" s="510">
        <v>369.12</v>
      </c>
    </row>
    <row r="734" spans="1:7" x14ac:dyDescent="0.25">
      <c r="A734" s="509" t="s">
        <v>675</v>
      </c>
      <c r="B734" s="509" t="s">
        <v>158</v>
      </c>
      <c r="C734" s="510">
        <v>480</v>
      </c>
      <c r="D734" s="510">
        <v>0</v>
      </c>
      <c r="E734" s="510">
        <v>260.94</v>
      </c>
      <c r="F734" s="510">
        <v>0</v>
      </c>
      <c r="G734" s="510">
        <v>260.94</v>
      </c>
    </row>
    <row r="735" spans="1:7" x14ac:dyDescent="0.25">
      <c r="A735" s="509" t="s">
        <v>2491</v>
      </c>
      <c r="B735" s="509" t="s">
        <v>846</v>
      </c>
      <c r="C735" s="510">
        <v>0</v>
      </c>
      <c r="D735" s="510">
        <v>0</v>
      </c>
      <c r="E735" s="510">
        <v>0</v>
      </c>
      <c r="F735" s="510">
        <v>0</v>
      </c>
      <c r="G735" s="510">
        <v>0</v>
      </c>
    </row>
    <row r="736" spans="1:7" x14ac:dyDescent="0.25">
      <c r="A736" s="509" t="s">
        <v>1064</v>
      </c>
      <c r="B736" s="509" t="s">
        <v>1073</v>
      </c>
      <c r="C736" s="510">
        <v>0</v>
      </c>
      <c r="D736" s="510">
        <v>0</v>
      </c>
      <c r="E736" s="510">
        <v>0</v>
      </c>
      <c r="F736" s="510">
        <v>0</v>
      </c>
      <c r="G736" s="510">
        <v>0</v>
      </c>
    </row>
    <row r="737" spans="1:7" x14ac:dyDescent="0.25">
      <c r="A737" s="509" t="s">
        <v>2492</v>
      </c>
      <c r="B737" s="509" t="s">
        <v>2263</v>
      </c>
      <c r="C737" s="510">
        <v>0</v>
      </c>
      <c r="D737" s="510">
        <v>0</v>
      </c>
      <c r="E737" s="510">
        <v>0</v>
      </c>
      <c r="F737" s="510">
        <v>0</v>
      </c>
      <c r="G737" s="510">
        <v>0</v>
      </c>
    </row>
    <row r="738" spans="1:7" x14ac:dyDescent="0.25">
      <c r="A738" s="509" t="s">
        <v>706</v>
      </c>
      <c r="B738" s="509" t="s">
        <v>159</v>
      </c>
      <c r="C738" s="510">
        <v>1200</v>
      </c>
      <c r="D738" s="510">
        <v>0</v>
      </c>
      <c r="E738" s="510">
        <v>497.4</v>
      </c>
      <c r="F738" s="510">
        <v>0</v>
      </c>
      <c r="G738" s="510">
        <v>497.4</v>
      </c>
    </row>
    <row r="739" spans="1:7" x14ac:dyDescent="0.25">
      <c r="A739" s="509" t="s">
        <v>680</v>
      </c>
      <c r="B739" s="509" t="s">
        <v>160</v>
      </c>
      <c r="C739" s="510">
        <v>360</v>
      </c>
      <c r="D739" s="510">
        <v>0</v>
      </c>
      <c r="E739" s="510">
        <v>1295.8399999999999</v>
      </c>
      <c r="F739" s="510">
        <v>0</v>
      </c>
      <c r="G739" s="510">
        <v>1295.8399999999999</v>
      </c>
    </row>
    <row r="740" spans="1:7" x14ac:dyDescent="0.25">
      <c r="A740" s="509" t="s">
        <v>719</v>
      </c>
      <c r="B740" s="509" t="s">
        <v>161</v>
      </c>
      <c r="C740" s="510">
        <v>512</v>
      </c>
      <c r="D740" s="510">
        <v>0</v>
      </c>
      <c r="E740" s="510">
        <v>258.35000000000002</v>
      </c>
      <c r="F740" s="510">
        <v>0</v>
      </c>
      <c r="G740" s="510">
        <v>258.35000000000002</v>
      </c>
    </row>
    <row r="741" spans="1:7" x14ac:dyDescent="0.25">
      <c r="A741" s="509" t="s">
        <v>674</v>
      </c>
      <c r="B741" s="509" t="s">
        <v>162</v>
      </c>
      <c r="C741" s="510">
        <v>200</v>
      </c>
      <c r="D741" s="510">
        <v>0</v>
      </c>
      <c r="E741" s="510">
        <v>94.35</v>
      </c>
      <c r="F741" s="510">
        <v>12.35</v>
      </c>
      <c r="G741" s="510">
        <v>82</v>
      </c>
    </row>
    <row r="742" spans="1:7" x14ac:dyDescent="0.25">
      <c r="A742" s="509" t="s">
        <v>711</v>
      </c>
      <c r="B742" s="509" t="s">
        <v>83</v>
      </c>
      <c r="C742" s="510">
        <v>3600</v>
      </c>
      <c r="D742" s="510">
        <v>0</v>
      </c>
      <c r="E742" s="510">
        <v>1587.63</v>
      </c>
      <c r="F742" s="510">
        <v>17.989999999999998</v>
      </c>
      <c r="G742" s="510">
        <v>1569.64</v>
      </c>
    </row>
    <row r="743" spans="1:7" x14ac:dyDescent="0.25">
      <c r="A743" s="509" t="s">
        <v>715</v>
      </c>
      <c r="B743" s="509" t="s">
        <v>163</v>
      </c>
      <c r="C743" s="510">
        <v>2080</v>
      </c>
      <c r="D743" s="510">
        <v>0</v>
      </c>
      <c r="E743" s="510">
        <v>1078.6400000000001</v>
      </c>
      <c r="F743" s="510">
        <v>0</v>
      </c>
      <c r="G743" s="510">
        <v>1078.6400000000001</v>
      </c>
    </row>
    <row r="744" spans="1:7" x14ac:dyDescent="0.25">
      <c r="A744" s="509" t="s">
        <v>2493</v>
      </c>
      <c r="B744" s="509" t="s">
        <v>2265</v>
      </c>
      <c r="C744" s="510">
        <v>0</v>
      </c>
      <c r="D744" s="510">
        <v>0</v>
      </c>
      <c r="E744" s="510">
        <v>0</v>
      </c>
      <c r="F744" s="510">
        <v>0</v>
      </c>
      <c r="G744" s="510">
        <v>0</v>
      </c>
    </row>
    <row r="745" spans="1:7" x14ac:dyDescent="0.25">
      <c r="A745" s="509" t="s">
        <v>712</v>
      </c>
      <c r="B745" s="509" t="s">
        <v>70</v>
      </c>
      <c r="C745" s="510">
        <v>4640</v>
      </c>
      <c r="D745" s="510">
        <v>0</v>
      </c>
      <c r="E745" s="510">
        <v>7159.67</v>
      </c>
      <c r="F745" s="510">
        <v>16.34</v>
      </c>
      <c r="G745" s="510">
        <v>7143.33</v>
      </c>
    </row>
    <row r="746" spans="1:7" x14ac:dyDescent="0.25">
      <c r="A746" s="509" t="s">
        <v>713</v>
      </c>
      <c r="B746" s="509" t="s">
        <v>47</v>
      </c>
      <c r="C746" s="510">
        <v>400</v>
      </c>
      <c r="D746" s="510">
        <v>0</v>
      </c>
      <c r="E746" s="510">
        <v>943.41</v>
      </c>
      <c r="F746" s="510">
        <v>170</v>
      </c>
      <c r="G746" s="510">
        <v>773.41</v>
      </c>
    </row>
    <row r="747" spans="1:7" x14ac:dyDescent="0.25">
      <c r="A747" s="509" t="s">
        <v>707</v>
      </c>
      <c r="B747" s="509" t="s">
        <v>48</v>
      </c>
      <c r="C747" s="510">
        <v>600</v>
      </c>
      <c r="D747" s="510">
        <v>0</v>
      </c>
      <c r="E747" s="510">
        <v>224.25</v>
      </c>
      <c r="F747" s="510">
        <v>79.239999999999995</v>
      </c>
      <c r="G747" s="510">
        <v>145.01</v>
      </c>
    </row>
    <row r="748" spans="1:7" x14ac:dyDescent="0.25">
      <c r="A748" s="509" t="s">
        <v>693</v>
      </c>
      <c r="B748" s="509" t="s">
        <v>49</v>
      </c>
      <c r="C748" s="510">
        <v>1600</v>
      </c>
      <c r="D748" s="510">
        <v>0</v>
      </c>
      <c r="E748" s="510">
        <v>393.11</v>
      </c>
      <c r="F748" s="510">
        <v>0</v>
      </c>
      <c r="G748" s="510">
        <v>393.11</v>
      </c>
    </row>
    <row r="749" spans="1:7" x14ac:dyDescent="0.25">
      <c r="A749" s="509" t="s">
        <v>684</v>
      </c>
      <c r="B749" s="509" t="s">
        <v>50</v>
      </c>
      <c r="C749" s="510">
        <v>2240</v>
      </c>
      <c r="D749" s="510">
        <v>0</v>
      </c>
      <c r="E749" s="510">
        <v>692.05</v>
      </c>
      <c r="F749" s="510">
        <v>0</v>
      </c>
      <c r="G749" s="510">
        <v>692.05</v>
      </c>
    </row>
    <row r="750" spans="1:7" x14ac:dyDescent="0.25">
      <c r="A750" s="509" t="s">
        <v>1065</v>
      </c>
      <c r="B750" s="509" t="s">
        <v>1061</v>
      </c>
      <c r="C750" s="510">
        <v>2400</v>
      </c>
      <c r="D750" s="510">
        <v>0</v>
      </c>
      <c r="E750" s="510">
        <v>1961.79</v>
      </c>
      <c r="F750" s="510">
        <v>0</v>
      </c>
      <c r="G750" s="510">
        <v>1961.79</v>
      </c>
    </row>
    <row r="751" spans="1:7" x14ac:dyDescent="0.25">
      <c r="A751" s="509" t="s">
        <v>673</v>
      </c>
      <c r="B751" s="509" t="s">
        <v>51</v>
      </c>
      <c r="C751" s="510">
        <v>960</v>
      </c>
      <c r="D751" s="510">
        <v>0</v>
      </c>
      <c r="E751" s="510">
        <v>302.14999999999998</v>
      </c>
      <c r="F751" s="510">
        <v>0</v>
      </c>
      <c r="G751" s="510">
        <v>302.14999999999998</v>
      </c>
    </row>
    <row r="752" spans="1:7" x14ac:dyDescent="0.25">
      <c r="A752" s="509" t="s">
        <v>702</v>
      </c>
      <c r="B752" s="509" t="s">
        <v>164</v>
      </c>
      <c r="C752" s="510">
        <v>4800</v>
      </c>
      <c r="D752" s="510">
        <v>0</v>
      </c>
      <c r="E752" s="510">
        <v>3649.73</v>
      </c>
      <c r="F752" s="510">
        <v>0</v>
      </c>
      <c r="G752" s="510">
        <v>3649.73</v>
      </c>
    </row>
    <row r="753" spans="1:7" x14ac:dyDescent="0.25">
      <c r="A753" s="509" t="s">
        <v>694</v>
      </c>
      <c r="B753" s="509" t="s">
        <v>165</v>
      </c>
      <c r="C753" s="510">
        <v>480</v>
      </c>
      <c r="D753" s="510">
        <v>0</v>
      </c>
      <c r="E753" s="510">
        <v>150.81</v>
      </c>
      <c r="F753" s="510">
        <v>6.68</v>
      </c>
      <c r="G753" s="510">
        <v>144.13</v>
      </c>
    </row>
    <row r="754" spans="1:7" x14ac:dyDescent="0.25">
      <c r="A754" s="509" t="s">
        <v>1066</v>
      </c>
      <c r="B754" s="509" t="s">
        <v>1063</v>
      </c>
      <c r="C754" s="510">
        <v>760</v>
      </c>
      <c r="D754" s="510">
        <v>0</v>
      </c>
      <c r="E754" s="510">
        <v>287.2</v>
      </c>
      <c r="F754" s="510">
        <v>0</v>
      </c>
      <c r="G754" s="510">
        <v>287.2</v>
      </c>
    </row>
    <row r="755" spans="1:7" x14ac:dyDescent="0.25">
      <c r="A755" s="509" t="s">
        <v>672</v>
      </c>
      <c r="B755" s="509" t="s">
        <v>166</v>
      </c>
      <c r="C755" s="510">
        <v>2800</v>
      </c>
      <c r="D755" s="510">
        <v>0</v>
      </c>
      <c r="E755" s="510">
        <v>2194.8000000000002</v>
      </c>
      <c r="F755" s="510">
        <v>0</v>
      </c>
      <c r="G755" s="510">
        <v>2194.8000000000002</v>
      </c>
    </row>
    <row r="756" spans="1:7" x14ac:dyDescent="0.25">
      <c r="A756" s="509" t="s">
        <v>687</v>
      </c>
      <c r="B756" s="509" t="s">
        <v>52</v>
      </c>
      <c r="C756" s="510">
        <v>14720</v>
      </c>
      <c r="D756" s="510">
        <v>0</v>
      </c>
      <c r="E756" s="510">
        <v>4512.5</v>
      </c>
      <c r="F756" s="510">
        <v>306</v>
      </c>
      <c r="G756" s="510">
        <v>4206.5</v>
      </c>
    </row>
    <row r="757" spans="1:7" x14ac:dyDescent="0.25">
      <c r="A757" s="509" t="s">
        <v>699</v>
      </c>
      <c r="B757" s="509" t="s">
        <v>167</v>
      </c>
      <c r="C757" s="510">
        <v>18240</v>
      </c>
      <c r="D757" s="510">
        <v>0</v>
      </c>
      <c r="E757" s="510">
        <v>9357.26</v>
      </c>
      <c r="F757" s="510">
        <v>638.05999999999995</v>
      </c>
      <c r="G757" s="510">
        <v>8719.2000000000007</v>
      </c>
    </row>
    <row r="758" spans="1:7" x14ac:dyDescent="0.25">
      <c r="A758" s="509" t="s">
        <v>2494</v>
      </c>
      <c r="B758" s="509" t="s">
        <v>2269</v>
      </c>
      <c r="C758" s="510">
        <v>0</v>
      </c>
      <c r="D758" s="510">
        <v>0</v>
      </c>
      <c r="E758" s="510">
        <v>0</v>
      </c>
      <c r="F758" s="510">
        <v>0</v>
      </c>
      <c r="G758" s="510">
        <v>0</v>
      </c>
    </row>
    <row r="759" spans="1:7" x14ac:dyDescent="0.25">
      <c r="A759" s="509" t="s">
        <v>686</v>
      </c>
      <c r="B759" s="509" t="s">
        <v>1151</v>
      </c>
      <c r="C759" s="510">
        <v>550</v>
      </c>
      <c r="D759" s="510">
        <v>0</v>
      </c>
      <c r="E759" s="510">
        <v>0</v>
      </c>
      <c r="F759" s="510">
        <v>0</v>
      </c>
      <c r="G759" s="510">
        <v>0</v>
      </c>
    </row>
    <row r="760" spans="1:7" x14ac:dyDescent="0.25">
      <c r="A760" s="509" t="s">
        <v>685</v>
      </c>
      <c r="B760" s="509" t="s">
        <v>180</v>
      </c>
      <c r="C760" s="510">
        <v>240</v>
      </c>
      <c r="D760" s="510">
        <v>0</v>
      </c>
      <c r="E760" s="510">
        <v>68.8</v>
      </c>
      <c r="F760" s="510">
        <v>0</v>
      </c>
      <c r="G760" s="510">
        <v>68.8</v>
      </c>
    </row>
    <row r="761" spans="1:7" x14ac:dyDescent="0.25">
      <c r="A761" s="509" t="s">
        <v>690</v>
      </c>
      <c r="B761" s="509" t="s">
        <v>1152</v>
      </c>
      <c r="C761" s="510">
        <v>2950</v>
      </c>
      <c r="D761" s="510">
        <v>0</v>
      </c>
      <c r="E761" s="510">
        <v>454.93</v>
      </c>
      <c r="F761" s="510">
        <v>0</v>
      </c>
      <c r="G761" s="510">
        <v>454.93</v>
      </c>
    </row>
    <row r="762" spans="1:7" x14ac:dyDescent="0.25">
      <c r="A762" s="509" t="s">
        <v>720</v>
      </c>
      <c r="B762" s="509" t="s">
        <v>53</v>
      </c>
      <c r="C762" s="510">
        <v>950</v>
      </c>
      <c r="D762" s="510">
        <v>0</v>
      </c>
      <c r="E762" s="510">
        <v>74.17</v>
      </c>
      <c r="F762" s="510">
        <v>0</v>
      </c>
      <c r="G762" s="510">
        <v>74.17</v>
      </c>
    </row>
    <row r="763" spans="1:7" x14ac:dyDescent="0.25">
      <c r="A763" s="509" t="s">
        <v>716</v>
      </c>
      <c r="B763" s="509" t="s">
        <v>71</v>
      </c>
      <c r="C763" s="510">
        <v>400</v>
      </c>
      <c r="D763" s="510">
        <v>0</v>
      </c>
      <c r="E763" s="510">
        <v>102.07</v>
      </c>
      <c r="F763" s="510">
        <v>0</v>
      </c>
      <c r="G763" s="510">
        <v>102.07</v>
      </c>
    </row>
    <row r="764" spans="1:7" x14ac:dyDescent="0.25">
      <c r="A764" s="509" t="s">
        <v>705</v>
      </c>
      <c r="B764" s="509" t="s">
        <v>54</v>
      </c>
      <c r="C764" s="510">
        <v>2500</v>
      </c>
      <c r="D764" s="510">
        <v>0</v>
      </c>
      <c r="E764" s="510">
        <v>191.13</v>
      </c>
      <c r="F764" s="510">
        <v>0</v>
      </c>
      <c r="G764" s="510">
        <v>191.13</v>
      </c>
    </row>
    <row r="765" spans="1:7" x14ac:dyDescent="0.25">
      <c r="A765" s="509" t="s">
        <v>710</v>
      </c>
      <c r="B765" s="509" t="s">
        <v>170</v>
      </c>
      <c r="C765" s="510">
        <v>4480</v>
      </c>
      <c r="D765" s="510">
        <v>0</v>
      </c>
      <c r="E765" s="510">
        <v>1487.24</v>
      </c>
      <c r="F765" s="510">
        <v>0</v>
      </c>
      <c r="G765" s="510">
        <v>1487.24</v>
      </c>
    </row>
    <row r="766" spans="1:7" x14ac:dyDescent="0.25">
      <c r="A766" s="509" t="s">
        <v>677</v>
      </c>
      <c r="B766" s="509" t="s">
        <v>171</v>
      </c>
      <c r="C766" s="510">
        <v>4400</v>
      </c>
      <c r="D766" s="510">
        <v>0</v>
      </c>
      <c r="E766" s="510">
        <v>2616.4699999999998</v>
      </c>
      <c r="F766" s="510">
        <v>16.670000000000002</v>
      </c>
      <c r="G766" s="510">
        <v>2599.8000000000002</v>
      </c>
    </row>
    <row r="767" spans="1:7" x14ac:dyDescent="0.25">
      <c r="A767" s="509" t="s">
        <v>2495</v>
      </c>
      <c r="B767" s="509" t="s">
        <v>2271</v>
      </c>
      <c r="C767" s="510">
        <v>0</v>
      </c>
      <c r="D767" s="510">
        <v>0</v>
      </c>
      <c r="E767" s="510">
        <v>0</v>
      </c>
      <c r="F767" s="510">
        <v>0</v>
      </c>
      <c r="G767" s="510">
        <v>0</v>
      </c>
    </row>
    <row r="768" spans="1:7" x14ac:dyDescent="0.25">
      <c r="A768" s="509" t="s">
        <v>678</v>
      </c>
      <c r="B768" s="509" t="s">
        <v>172</v>
      </c>
      <c r="C768" s="510">
        <v>96</v>
      </c>
      <c r="D768" s="510">
        <v>0</v>
      </c>
      <c r="E768" s="510">
        <v>0</v>
      </c>
      <c r="F768" s="510">
        <v>0</v>
      </c>
      <c r="G768" s="510">
        <v>0</v>
      </c>
    </row>
    <row r="769" spans="1:7" x14ac:dyDescent="0.25">
      <c r="A769" s="509" t="s">
        <v>679</v>
      </c>
      <c r="B769" s="509" t="s">
        <v>621</v>
      </c>
      <c r="C769" s="510">
        <v>96</v>
      </c>
      <c r="D769" s="510">
        <v>0</v>
      </c>
      <c r="E769" s="510">
        <v>0</v>
      </c>
      <c r="F769" s="510">
        <v>0</v>
      </c>
      <c r="G769" s="510">
        <v>0</v>
      </c>
    </row>
    <row r="770" spans="1:7" x14ac:dyDescent="0.25">
      <c r="A770" s="509" t="s">
        <v>695</v>
      </c>
      <c r="B770" s="509" t="s">
        <v>2272</v>
      </c>
      <c r="C770" s="510">
        <v>80</v>
      </c>
      <c r="D770" s="510">
        <v>0</v>
      </c>
      <c r="E770" s="510">
        <v>9.48</v>
      </c>
      <c r="F770" s="510">
        <v>0</v>
      </c>
      <c r="G770" s="510">
        <v>9.48</v>
      </c>
    </row>
    <row r="771" spans="1:7" x14ac:dyDescent="0.25">
      <c r="A771" s="509" t="s">
        <v>671</v>
      </c>
      <c r="B771" s="509" t="s">
        <v>612</v>
      </c>
      <c r="C771" s="510">
        <v>20868</v>
      </c>
      <c r="D771" s="510">
        <v>0</v>
      </c>
      <c r="E771" s="510">
        <v>10434</v>
      </c>
      <c r="F771" s="510">
        <v>1739.04</v>
      </c>
      <c r="G771" s="510">
        <v>8694.9599999999991</v>
      </c>
    </row>
    <row r="772" spans="1:7" x14ac:dyDescent="0.25">
      <c r="A772" s="509" t="s">
        <v>2496</v>
      </c>
      <c r="B772" s="509" t="s">
        <v>2280</v>
      </c>
      <c r="C772" s="510">
        <v>0</v>
      </c>
      <c r="D772" s="510">
        <v>0</v>
      </c>
      <c r="E772" s="510">
        <v>0</v>
      </c>
      <c r="F772" s="510">
        <v>0</v>
      </c>
      <c r="G772" s="510">
        <v>0</v>
      </c>
    </row>
    <row r="773" spans="1:7" x14ac:dyDescent="0.25">
      <c r="A773" s="509" t="s">
        <v>2497</v>
      </c>
      <c r="B773" s="509" t="s">
        <v>2282</v>
      </c>
      <c r="C773" s="510">
        <v>0</v>
      </c>
      <c r="D773" s="510">
        <v>0</v>
      </c>
      <c r="E773" s="510">
        <v>0</v>
      </c>
      <c r="F773" s="510">
        <v>0</v>
      </c>
      <c r="G773" s="510">
        <v>0</v>
      </c>
    </row>
    <row r="774" spans="1:7" x14ac:dyDescent="0.25">
      <c r="A774" s="509" t="s">
        <v>670</v>
      </c>
      <c r="B774" s="509" t="s">
        <v>1075</v>
      </c>
      <c r="C774" s="510">
        <v>90544</v>
      </c>
      <c r="D774" s="510">
        <v>0</v>
      </c>
      <c r="E774" s="510">
        <v>45271.88</v>
      </c>
      <c r="F774" s="510">
        <v>7695</v>
      </c>
      <c r="G774" s="510">
        <v>37576.879999999997</v>
      </c>
    </row>
    <row r="775" spans="1:7" x14ac:dyDescent="0.25">
      <c r="A775" s="509" t="s">
        <v>698</v>
      </c>
      <c r="B775" s="509" t="s">
        <v>174</v>
      </c>
      <c r="C775" s="510">
        <v>0</v>
      </c>
      <c r="D775" s="510">
        <v>0</v>
      </c>
      <c r="E775" s="510">
        <v>0</v>
      </c>
      <c r="F775" s="510">
        <v>0</v>
      </c>
      <c r="G775" s="510">
        <v>0</v>
      </c>
    </row>
    <row r="776" spans="1:7" x14ac:dyDescent="0.25">
      <c r="A776" s="509" t="s">
        <v>697</v>
      </c>
      <c r="B776" s="509" t="s">
        <v>185</v>
      </c>
      <c r="C776" s="510">
        <v>3200</v>
      </c>
      <c r="D776" s="510">
        <v>0</v>
      </c>
      <c r="E776" s="510">
        <v>1730.9</v>
      </c>
      <c r="F776" s="510">
        <v>0</v>
      </c>
      <c r="G776" s="510">
        <v>1730.9</v>
      </c>
    </row>
    <row r="777" spans="1:7" x14ac:dyDescent="0.25">
      <c r="A777" s="509" t="s">
        <v>2498</v>
      </c>
      <c r="B777" s="509" t="s">
        <v>55</v>
      </c>
      <c r="C777" s="510">
        <v>0</v>
      </c>
      <c r="D777" s="510">
        <v>0</v>
      </c>
      <c r="E777" s="510">
        <v>0</v>
      </c>
      <c r="F777" s="510">
        <v>0</v>
      </c>
      <c r="G777" s="510">
        <v>0</v>
      </c>
    </row>
    <row r="778" spans="1:7" x14ac:dyDescent="0.25">
      <c r="A778" s="509" t="s">
        <v>1089</v>
      </c>
      <c r="B778" s="509" t="s">
        <v>1088</v>
      </c>
      <c r="C778" s="510">
        <v>0</v>
      </c>
      <c r="D778" s="510">
        <v>0</v>
      </c>
      <c r="E778" s="510">
        <v>0</v>
      </c>
      <c r="F778" s="510">
        <v>0</v>
      </c>
      <c r="G778" s="510">
        <v>0</v>
      </c>
    </row>
    <row r="779" spans="1:7" x14ac:dyDescent="0.25">
      <c r="A779" s="509" t="s">
        <v>696</v>
      </c>
      <c r="B779" s="509" t="s">
        <v>186</v>
      </c>
      <c r="C779" s="510">
        <v>1440</v>
      </c>
      <c r="D779" s="510">
        <v>0</v>
      </c>
      <c r="E779" s="510">
        <v>0</v>
      </c>
      <c r="F779" s="510">
        <v>0</v>
      </c>
      <c r="G779" s="510">
        <v>0</v>
      </c>
    </row>
    <row r="780" spans="1:7" x14ac:dyDescent="0.25">
      <c r="A780" s="509" t="s">
        <v>2499</v>
      </c>
      <c r="B780" s="509" t="s">
        <v>2287</v>
      </c>
      <c r="C780" s="510">
        <v>0</v>
      </c>
      <c r="D780" s="510">
        <v>0</v>
      </c>
      <c r="E780" s="510">
        <v>0</v>
      </c>
      <c r="F780" s="510">
        <v>0</v>
      </c>
      <c r="G780" s="510">
        <v>0</v>
      </c>
    </row>
    <row r="781" spans="1:7" x14ac:dyDescent="0.25">
      <c r="A781" s="509" t="s">
        <v>2500</v>
      </c>
      <c r="B781" s="509" t="s">
        <v>1080</v>
      </c>
      <c r="C781" s="510">
        <v>0</v>
      </c>
      <c r="D781" s="510">
        <v>0</v>
      </c>
      <c r="E781" s="510">
        <v>0</v>
      </c>
      <c r="F781" s="510">
        <v>0</v>
      </c>
      <c r="G781" s="510">
        <v>0</v>
      </c>
    </row>
    <row r="782" spans="1:7" x14ac:dyDescent="0.25">
      <c r="A782" s="509" t="s">
        <v>2501</v>
      </c>
      <c r="B782" s="509" t="s">
        <v>2290</v>
      </c>
      <c r="C782" s="510">
        <v>0</v>
      </c>
      <c r="D782" s="510">
        <v>0</v>
      </c>
      <c r="E782" s="510">
        <v>0</v>
      </c>
      <c r="F782" s="510">
        <v>0</v>
      </c>
      <c r="G782" s="510">
        <v>0</v>
      </c>
    </row>
    <row r="783" spans="1:7" x14ac:dyDescent="0.25">
      <c r="A783" s="509" t="s">
        <v>1178</v>
      </c>
      <c r="B783" s="509" t="s">
        <v>1154</v>
      </c>
      <c r="C783" s="510">
        <v>0</v>
      </c>
      <c r="D783" s="510">
        <v>0</v>
      </c>
      <c r="E783" s="510">
        <v>0</v>
      </c>
      <c r="F783" s="510">
        <v>0</v>
      </c>
      <c r="G783" s="510">
        <v>0</v>
      </c>
    </row>
    <row r="784" spans="1:7" x14ac:dyDescent="0.25">
      <c r="A784" s="509" t="s">
        <v>1179</v>
      </c>
      <c r="B784" s="509" t="s">
        <v>1156</v>
      </c>
      <c r="C784" s="510">
        <v>0</v>
      </c>
      <c r="D784" s="510">
        <v>0</v>
      </c>
      <c r="E784" s="510">
        <v>0</v>
      </c>
      <c r="F784" s="510">
        <v>0</v>
      </c>
      <c r="G784" s="510">
        <v>0</v>
      </c>
    </row>
    <row r="785" spans="1:7" x14ac:dyDescent="0.25">
      <c r="A785" s="509" t="s">
        <v>1180</v>
      </c>
      <c r="B785" s="509" t="s">
        <v>1158</v>
      </c>
      <c r="C785" s="510">
        <v>0</v>
      </c>
      <c r="D785" s="510">
        <v>0</v>
      </c>
      <c r="E785" s="510">
        <v>0</v>
      </c>
      <c r="F785" s="510">
        <v>0</v>
      </c>
      <c r="G785" s="510">
        <v>0</v>
      </c>
    </row>
    <row r="786" spans="1:7" x14ac:dyDescent="0.25">
      <c r="A786" s="509" t="s">
        <v>1181</v>
      </c>
      <c r="B786" s="509" t="s">
        <v>1160</v>
      </c>
      <c r="C786" s="510">
        <v>0</v>
      </c>
      <c r="D786" s="510">
        <v>0</v>
      </c>
      <c r="E786" s="510">
        <v>0</v>
      </c>
      <c r="F786" s="510">
        <v>0</v>
      </c>
      <c r="G786" s="510">
        <v>0</v>
      </c>
    </row>
    <row r="787" spans="1:7" x14ac:dyDescent="0.25">
      <c r="A787" s="509" t="s">
        <v>676</v>
      </c>
      <c r="B787" s="509" t="s">
        <v>178</v>
      </c>
      <c r="C787" s="510">
        <v>80</v>
      </c>
      <c r="D787" s="510">
        <v>0</v>
      </c>
      <c r="E787" s="510">
        <v>0</v>
      </c>
      <c r="F787" s="510">
        <v>0</v>
      </c>
      <c r="G787" s="510">
        <v>0</v>
      </c>
    </row>
    <row r="788" spans="1:7" x14ac:dyDescent="0.25">
      <c r="A788" s="509" t="s">
        <v>243</v>
      </c>
      <c r="B788" s="509" t="s">
        <v>76</v>
      </c>
      <c r="C788" s="510">
        <v>164344.04</v>
      </c>
      <c r="D788" s="510">
        <v>0</v>
      </c>
      <c r="E788" s="510">
        <v>71628.94</v>
      </c>
      <c r="F788" s="510">
        <v>2594.2199999999998</v>
      </c>
      <c r="G788" s="510">
        <v>69034.720000000001</v>
      </c>
    </row>
    <row r="789" spans="1:7" x14ac:dyDescent="0.25">
      <c r="A789" s="509" t="s">
        <v>1102</v>
      </c>
      <c r="B789" s="509" t="s">
        <v>667</v>
      </c>
      <c r="C789" s="510">
        <v>0</v>
      </c>
      <c r="D789" s="510">
        <v>0</v>
      </c>
      <c r="E789" s="510">
        <v>0</v>
      </c>
      <c r="F789" s="510">
        <v>0</v>
      </c>
      <c r="G789" s="510">
        <v>0</v>
      </c>
    </row>
    <row r="790" spans="1:7" x14ac:dyDescent="0.25">
      <c r="A790" s="509" t="s">
        <v>244</v>
      </c>
      <c r="B790" s="509" t="s">
        <v>37</v>
      </c>
      <c r="C790" s="510">
        <v>5159.28</v>
      </c>
      <c r="D790" s="510">
        <v>0</v>
      </c>
      <c r="E790" s="510">
        <v>190.13</v>
      </c>
      <c r="F790" s="510">
        <v>0</v>
      </c>
      <c r="G790" s="510">
        <v>190.13</v>
      </c>
    </row>
    <row r="791" spans="1:7" x14ac:dyDescent="0.25">
      <c r="A791" s="509" t="s">
        <v>245</v>
      </c>
      <c r="B791" s="509" t="s">
        <v>1076</v>
      </c>
      <c r="C791" s="510">
        <v>4076.8</v>
      </c>
      <c r="D791" s="510">
        <v>0</v>
      </c>
      <c r="E791" s="510">
        <v>3640</v>
      </c>
      <c r="F791" s="510">
        <v>280</v>
      </c>
      <c r="G791" s="510">
        <v>3360</v>
      </c>
    </row>
    <row r="792" spans="1:7" x14ac:dyDescent="0.25">
      <c r="A792" s="509" t="s">
        <v>246</v>
      </c>
      <c r="B792" s="509" t="s">
        <v>153</v>
      </c>
      <c r="C792" s="510">
        <v>10761.94</v>
      </c>
      <c r="D792" s="510">
        <v>0</v>
      </c>
      <c r="E792" s="510">
        <v>4505.7</v>
      </c>
      <c r="F792" s="510">
        <v>163.96</v>
      </c>
      <c r="G792" s="510">
        <v>4341.74</v>
      </c>
    </row>
    <row r="793" spans="1:7" x14ac:dyDescent="0.25">
      <c r="A793" s="509" t="s">
        <v>247</v>
      </c>
      <c r="B793" s="509" t="s">
        <v>154</v>
      </c>
      <c r="C793" s="510">
        <v>2516.92</v>
      </c>
      <c r="D793" s="510">
        <v>0</v>
      </c>
      <c r="E793" s="510">
        <v>1075.54</v>
      </c>
      <c r="F793" s="510">
        <v>38.33</v>
      </c>
      <c r="G793" s="510">
        <v>1037.21</v>
      </c>
    </row>
    <row r="794" spans="1:7" x14ac:dyDescent="0.25">
      <c r="A794" s="509" t="s">
        <v>248</v>
      </c>
      <c r="B794" s="509" t="s">
        <v>38</v>
      </c>
      <c r="C794" s="510">
        <v>47837.86</v>
      </c>
      <c r="D794" s="510">
        <v>0</v>
      </c>
      <c r="E794" s="510">
        <v>17953.88</v>
      </c>
      <c r="F794" s="510">
        <v>0</v>
      </c>
      <c r="G794" s="510">
        <v>17953.88</v>
      </c>
    </row>
    <row r="795" spans="1:7" x14ac:dyDescent="0.25">
      <c r="A795" s="509" t="s">
        <v>249</v>
      </c>
      <c r="B795" s="509" t="s">
        <v>77</v>
      </c>
      <c r="C795" s="510">
        <v>2734.2</v>
      </c>
      <c r="D795" s="510">
        <v>0</v>
      </c>
      <c r="E795" s="510">
        <v>1013.6</v>
      </c>
      <c r="F795" s="510">
        <v>0</v>
      </c>
      <c r="G795" s="510">
        <v>1013.6</v>
      </c>
    </row>
    <row r="796" spans="1:7" x14ac:dyDescent="0.25">
      <c r="A796" s="509" t="s">
        <v>250</v>
      </c>
      <c r="B796" s="509" t="s">
        <v>78</v>
      </c>
      <c r="C796" s="510">
        <v>482.86</v>
      </c>
      <c r="D796" s="510">
        <v>0</v>
      </c>
      <c r="E796" s="510">
        <v>204.64</v>
      </c>
      <c r="F796" s="510">
        <v>0</v>
      </c>
      <c r="G796" s="510">
        <v>204.64</v>
      </c>
    </row>
    <row r="797" spans="1:7" x14ac:dyDescent="0.25">
      <c r="A797" s="509" t="s">
        <v>2502</v>
      </c>
      <c r="B797" s="509" t="s">
        <v>2292</v>
      </c>
      <c r="C797" s="510">
        <v>0</v>
      </c>
      <c r="D797" s="510">
        <v>0</v>
      </c>
      <c r="E797" s="510">
        <v>0</v>
      </c>
      <c r="F797" s="510">
        <v>0</v>
      </c>
      <c r="G797" s="510">
        <v>0</v>
      </c>
    </row>
    <row r="798" spans="1:7" x14ac:dyDescent="0.25">
      <c r="A798" s="509" t="s">
        <v>251</v>
      </c>
      <c r="B798" s="509" t="s">
        <v>893</v>
      </c>
      <c r="C798" s="510">
        <v>6701.8</v>
      </c>
      <c r="D798" s="510">
        <v>0</v>
      </c>
      <c r="E798" s="510">
        <v>2943.39</v>
      </c>
      <c r="F798" s="510">
        <v>151.29</v>
      </c>
      <c r="G798" s="510">
        <v>2792.1</v>
      </c>
    </row>
    <row r="799" spans="1:7" x14ac:dyDescent="0.25">
      <c r="A799" s="509" t="s">
        <v>252</v>
      </c>
      <c r="B799" s="509" t="s">
        <v>2249</v>
      </c>
      <c r="C799" s="510">
        <v>650.86</v>
      </c>
      <c r="D799" s="510">
        <v>0</v>
      </c>
      <c r="E799" s="510">
        <v>248.99</v>
      </c>
      <c r="F799" s="510">
        <v>69.709999999999994</v>
      </c>
      <c r="G799" s="510">
        <v>179.28</v>
      </c>
    </row>
    <row r="800" spans="1:7" x14ac:dyDescent="0.25">
      <c r="A800" s="509" t="s">
        <v>253</v>
      </c>
      <c r="B800" s="509" t="s">
        <v>64</v>
      </c>
      <c r="C800" s="510">
        <v>952</v>
      </c>
      <c r="D800" s="510">
        <v>0</v>
      </c>
      <c r="E800" s="510">
        <v>263.43</v>
      </c>
      <c r="F800" s="510">
        <v>0</v>
      </c>
      <c r="G800" s="510">
        <v>263.43</v>
      </c>
    </row>
    <row r="801" spans="1:7" x14ac:dyDescent="0.25">
      <c r="A801" s="509" t="s">
        <v>254</v>
      </c>
      <c r="B801" s="509" t="s">
        <v>65</v>
      </c>
      <c r="C801" s="510">
        <v>476</v>
      </c>
      <c r="D801" s="510">
        <v>0</v>
      </c>
      <c r="E801" s="510">
        <v>69.680000000000007</v>
      </c>
      <c r="F801" s="510">
        <v>0</v>
      </c>
      <c r="G801" s="510">
        <v>69.680000000000007</v>
      </c>
    </row>
    <row r="802" spans="1:7" x14ac:dyDescent="0.25">
      <c r="A802" s="509" t="s">
        <v>255</v>
      </c>
      <c r="B802" s="509" t="s">
        <v>40</v>
      </c>
      <c r="C802" s="510">
        <v>736.54</v>
      </c>
      <c r="D802" s="510">
        <v>0</v>
      </c>
      <c r="E802" s="510">
        <v>1.92</v>
      </c>
      <c r="F802" s="510">
        <v>0</v>
      </c>
      <c r="G802" s="510">
        <v>1.92</v>
      </c>
    </row>
    <row r="803" spans="1:7" x14ac:dyDescent="0.25">
      <c r="A803" s="509" t="s">
        <v>256</v>
      </c>
      <c r="B803" s="509" t="s">
        <v>41</v>
      </c>
      <c r="C803" s="510">
        <v>16.38</v>
      </c>
      <c r="D803" s="510">
        <v>0</v>
      </c>
      <c r="E803" s="510">
        <v>0</v>
      </c>
      <c r="F803" s="510">
        <v>0</v>
      </c>
      <c r="G803" s="510">
        <v>0</v>
      </c>
    </row>
    <row r="804" spans="1:7" x14ac:dyDescent="0.25">
      <c r="A804" s="509" t="s">
        <v>257</v>
      </c>
      <c r="B804" s="509" t="s">
        <v>42</v>
      </c>
      <c r="C804" s="510">
        <v>511.56</v>
      </c>
      <c r="D804" s="510">
        <v>0</v>
      </c>
      <c r="E804" s="510">
        <v>132.44999999999999</v>
      </c>
      <c r="F804" s="510">
        <v>7.11</v>
      </c>
      <c r="G804" s="510">
        <v>125.34</v>
      </c>
    </row>
    <row r="805" spans="1:7" x14ac:dyDescent="0.25">
      <c r="A805" s="509" t="s">
        <v>258</v>
      </c>
      <c r="B805" s="509" t="s">
        <v>2252</v>
      </c>
      <c r="C805" s="510">
        <v>14900.76</v>
      </c>
      <c r="D805" s="510">
        <v>0</v>
      </c>
      <c r="E805" s="510">
        <v>6168.12</v>
      </c>
      <c r="F805" s="510">
        <v>203.42</v>
      </c>
      <c r="G805" s="510">
        <v>5964.7</v>
      </c>
    </row>
    <row r="806" spans="1:7" x14ac:dyDescent="0.25">
      <c r="A806" s="509" t="s">
        <v>259</v>
      </c>
      <c r="B806" s="509" t="s">
        <v>44</v>
      </c>
      <c r="C806" s="510">
        <v>12309.36</v>
      </c>
      <c r="D806" s="510">
        <v>0</v>
      </c>
      <c r="E806" s="510">
        <v>5119.8</v>
      </c>
      <c r="F806" s="510">
        <v>168.85</v>
      </c>
      <c r="G806" s="510">
        <v>4950.95</v>
      </c>
    </row>
    <row r="807" spans="1:7" x14ac:dyDescent="0.25">
      <c r="A807" s="509" t="s">
        <v>260</v>
      </c>
      <c r="B807" s="509" t="s">
        <v>183</v>
      </c>
      <c r="C807" s="510">
        <v>6300</v>
      </c>
      <c r="D807" s="510">
        <v>0</v>
      </c>
      <c r="E807" s="510">
        <v>0</v>
      </c>
      <c r="F807" s="510">
        <v>0</v>
      </c>
      <c r="G807" s="510">
        <v>0</v>
      </c>
    </row>
    <row r="808" spans="1:7" x14ac:dyDescent="0.25">
      <c r="A808" s="509" t="s">
        <v>2503</v>
      </c>
      <c r="B808" s="509" t="s">
        <v>2254</v>
      </c>
      <c r="C808" s="510">
        <v>0</v>
      </c>
      <c r="D808" s="510">
        <v>0</v>
      </c>
      <c r="E808" s="510">
        <v>0</v>
      </c>
      <c r="F808" s="510">
        <v>0</v>
      </c>
      <c r="G808" s="510">
        <v>0</v>
      </c>
    </row>
    <row r="809" spans="1:7" x14ac:dyDescent="0.25">
      <c r="A809" s="509" t="s">
        <v>2504</v>
      </c>
      <c r="B809" s="509" t="s">
        <v>2256</v>
      </c>
      <c r="C809" s="510">
        <v>0</v>
      </c>
      <c r="D809" s="510">
        <v>0</v>
      </c>
      <c r="E809" s="510">
        <v>0</v>
      </c>
      <c r="F809" s="510">
        <v>0</v>
      </c>
      <c r="G809" s="510">
        <v>0</v>
      </c>
    </row>
    <row r="810" spans="1:7" x14ac:dyDescent="0.25">
      <c r="A810" s="509" t="s">
        <v>261</v>
      </c>
      <c r="B810" s="509" t="s">
        <v>1161</v>
      </c>
      <c r="C810" s="510">
        <v>136</v>
      </c>
      <c r="D810" s="510">
        <v>0</v>
      </c>
      <c r="E810" s="510">
        <v>0</v>
      </c>
      <c r="F810" s="510">
        <v>0</v>
      </c>
      <c r="G810" s="510">
        <v>0</v>
      </c>
    </row>
    <row r="811" spans="1:7" x14ac:dyDescent="0.25">
      <c r="A811" s="509" t="s">
        <v>262</v>
      </c>
      <c r="B811" s="509" t="s">
        <v>48</v>
      </c>
      <c r="C811" s="510">
        <v>80</v>
      </c>
      <c r="D811" s="510">
        <v>0</v>
      </c>
      <c r="E811" s="510">
        <v>0</v>
      </c>
      <c r="F811" s="510">
        <v>0</v>
      </c>
      <c r="G811" s="510">
        <v>0</v>
      </c>
    </row>
    <row r="812" spans="1:7" x14ac:dyDescent="0.25">
      <c r="A812" s="509" t="s">
        <v>263</v>
      </c>
      <c r="B812" s="509" t="s">
        <v>50</v>
      </c>
      <c r="C812" s="510">
        <v>0</v>
      </c>
      <c r="D812" s="510">
        <v>0</v>
      </c>
      <c r="E812" s="510">
        <v>0</v>
      </c>
      <c r="F812" s="510">
        <v>0</v>
      </c>
      <c r="G812" s="510">
        <v>0</v>
      </c>
    </row>
    <row r="813" spans="1:7" x14ac:dyDescent="0.25">
      <c r="A813" s="509" t="s">
        <v>1182</v>
      </c>
      <c r="B813" s="509" t="s">
        <v>52</v>
      </c>
      <c r="C813" s="510">
        <v>0</v>
      </c>
      <c r="D813" s="510">
        <v>0</v>
      </c>
      <c r="E813" s="510">
        <v>0</v>
      </c>
      <c r="F813" s="510">
        <v>0</v>
      </c>
      <c r="G813" s="510">
        <v>0</v>
      </c>
    </row>
    <row r="814" spans="1:7" x14ac:dyDescent="0.25">
      <c r="A814" s="509" t="s">
        <v>2505</v>
      </c>
      <c r="B814" s="509" t="s">
        <v>2269</v>
      </c>
      <c r="C814" s="510">
        <v>0</v>
      </c>
      <c r="D814" s="510">
        <v>0</v>
      </c>
      <c r="E814" s="510">
        <v>0</v>
      </c>
      <c r="F814" s="510">
        <v>0</v>
      </c>
      <c r="G814" s="510">
        <v>0</v>
      </c>
    </row>
    <row r="815" spans="1:7" x14ac:dyDescent="0.25">
      <c r="A815" s="509" t="s">
        <v>2506</v>
      </c>
      <c r="B815" s="509" t="s">
        <v>1151</v>
      </c>
      <c r="C815" s="510">
        <v>0</v>
      </c>
      <c r="D815" s="510">
        <v>0</v>
      </c>
      <c r="E815" s="510">
        <v>0</v>
      </c>
      <c r="F815" s="510">
        <v>0</v>
      </c>
      <c r="G815" s="510">
        <v>0</v>
      </c>
    </row>
    <row r="816" spans="1:7" x14ac:dyDescent="0.25">
      <c r="A816" s="509" t="s">
        <v>264</v>
      </c>
      <c r="B816" s="509" t="s">
        <v>54</v>
      </c>
      <c r="C816" s="510">
        <v>520</v>
      </c>
      <c r="D816" s="510">
        <v>0</v>
      </c>
      <c r="E816" s="510">
        <v>468.88</v>
      </c>
      <c r="F816" s="510">
        <v>0</v>
      </c>
      <c r="G816" s="510">
        <v>468.88</v>
      </c>
    </row>
    <row r="817" spans="1:7" x14ac:dyDescent="0.25">
      <c r="A817" s="509" t="s">
        <v>2507</v>
      </c>
      <c r="B817" s="509" t="s">
        <v>1152</v>
      </c>
      <c r="C817" s="510">
        <v>0</v>
      </c>
      <c r="D817" s="510">
        <v>0</v>
      </c>
      <c r="E817" s="510">
        <v>0</v>
      </c>
      <c r="F817" s="510">
        <v>0</v>
      </c>
      <c r="G817" s="510">
        <v>0</v>
      </c>
    </row>
    <row r="818" spans="1:7" x14ac:dyDescent="0.25">
      <c r="A818" s="509" t="s">
        <v>2508</v>
      </c>
      <c r="B818" s="509" t="s">
        <v>53</v>
      </c>
      <c r="C818" s="510">
        <v>0</v>
      </c>
      <c r="D818" s="510">
        <v>0</v>
      </c>
      <c r="E818" s="510">
        <v>0</v>
      </c>
      <c r="F818" s="510">
        <v>0</v>
      </c>
      <c r="G818" s="510">
        <v>0</v>
      </c>
    </row>
    <row r="819" spans="1:7" x14ac:dyDescent="0.25">
      <c r="A819" s="509" t="s">
        <v>265</v>
      </c>
      <c r="B819" s="509" t="s">
        <v>71</v>
      </c>
      <c r="C819" s="510">
        <v>960</v>
      </c>
      <c r="D819" s="510">
        <v>0</v>
      </c>
      <c r="E819" s="510">
        <v>267.70999999999998</v>
      </c>
      <c r="F819" s="510">
        <v>0</v>
      </c>
      <c r="G819" s="510">
        <v>267.70999999999998</v>
      </c>
    </row>
    <row r="820" spans="1:7" x14ac:dyDescent="0.25">
      <c r="A820" s="509" t="s">
        <v>2509</v>
      </c>
      <c r="B820" s="509" t="s">
        <v>54</v>
      </c>
      <c r="C820" s="510">
        <v>0</v>
      </c>
      <c r="D820" s="510">
        <v>0</v>
      </c>
      <c r="E820" s="510">
        <v>0</v>
      </c>
      <c r="F820" s="510">
        <v>0</v>
      </c>
      <c r="G820" s="510">
        <v>0</v>
      </c>
    </row>
    <row r="821" spans="1:7" x14ac:dyDescent="0.25">
      <c r="A821" s="509" t="s">
        <v>2510</v>
      </c>
      <c r="B821" s="509" t="s">
        <v>2301</v>
      </c>
      <c r="C821" s="510">
        <v>0</v>
      </c>
      <c r="D821" s="510">
        <v>0</v>
      </c>
      <c r="E821" s="510">
        <v>0</v>
      </c>
      <c r="F821" s="510">
        <v>0</v>
      </c>
      <c r="G821" s="510">
        <v>0</v>
      </c>
    </row>
    <row r="822" spans="1:7" x14ac:dyDescent="0.25">
      <c r="A822" s="509" t="s">
        <v>266</v>
      </c>
      <c r="B822" s="509" t="s">
        <v>80</v>
      </c>
      <c r="C822" s="510">
        <v>400</v>
      </c>
      <c r="D822" s="510">
        <v>0</v>
      </c>
      <c r="E822" s="510">
        <v>278.36</v>
      </c>
      <c r="F822" s="510">
        <v>0</v>
      </c>
      <c r="G822" s="510">
        <v>278.36</v>
      </c>
    </row>
    <row r="823" spans="1:7" x14ac:dyDescent="0.25">
      <c r="A823" s="509" t="s">
        <v>267</v>
      </c>
      <c r="B823" s="509" t="s">
        <v>1163</v>
      </c>
      <c r="C823" s="510">
        <v>13200</v>
      </c>
      <c r="D823" s="510">
        <v>0</v>
      </c>
      <c r="E823" s="510">
        <v>2426.41</v>
      </c>
      <c r="F823" s="510">
        <v>4.32</v>
      </c>
      <c r="G823" s="510">
        <v>2422.09</v>
      </c>
    </row>
    <row r="824" spans="1:7" x14ac:dyDescent="0.25">
      <c r="A824" s="509" t="s">
        <v>268</v>
      </c>
      <c r="B824" s="509" t="s">
        <v>81</v>
      </c>
      <c r="C824" s="510">
        <v>12</v>
      </c>
      <c r="D824" s="510">
        <v>0</v>
      </c>
      <c r="E824" s="510">
        <v>0</v>
      </c>
      <c r="F824" s="510">
        <v>0</v>
      </c>
      <c r="G824" s="510">
        <v>0</v>
      </c>
    </row>
    <row r="825" spans="1:7" x14ac:dyDescent="0.25">
      <c r="A825" s="509" t="s">
        <v>269</v>
      </c>
      <c r="B825" s="509" t="s">
        <v>82</v>
      </c>
      <c r="C825" s="510">
        <v>1320</v>
      </c>
      <c r="D825" s="510">
        <v>0</v>
      </c>
      <c r="E825" s="510">
        <v>456.13</v>
      </c>
      <c r="F825" s="510">
        <v>0</v>
      </c>
      <c r="G825" s="510">
        <v>456.13</v>
      </c>
    </row>
    <row r="826" spans="1:7" x14ac:dyDescent="0.25">
      <c r="A826" s="509" t="s">
        <v>270</v>
      </c>
      <c r="B826" s="509" t="s">
        <v>221</v>
      </c>
      <c r="C826" s="510">
        <v>0</v>
      </c>
      <c r="D826" s="510">
        <v>0</v>
      </c>
      <c r="E826" s="510">
        <v>0</v>
      </c>
      <c r="F826" s="510">
        <v>0</v>
      </c>
      <c r="G826" s="510">
        <v>0</v>
      </c>
    </row>
    <row r="827" spans="1:7" x14ac:dyDescent="0.25">
      <c r="A827" s="509" t="s">
        <v>892</v>
      </c>
      <c r="B827" s="509" t="s">
        <v>83</v>
      </c>
      <c r="C827" s="510">
        <v>280</v>
      </c>
      <c r="D827" s="510">
        <v>0</v>
      </c>
      <c r="E827" s="510">
        <v>31.16</v>
      </c>
      <c r="F827" s="510">
        <v>0</v>
      </c>
      <c r="G827" s="510">
        <v>31.16</v>
      </c>
    </row>
    <row r="828" spans="1:7" x14ac:dyDescent="0.25">
      <c r="A828" s="509" t="s">
        <v>2511</v>
      </c>
      <c r="B828" s="509" t="s">
        <v>162</v>
      </c>
      <c r="C828" s="510">
        <v>0</v>
      </c>
      <c r="D828" s="510">
        <v>0</v>
      </c>
      <c r="E828" s="510">
        <v>0</v>
      </c>
      <c r="F828" s="510">
        <v>0</v>
      </c>
      <c r="G828" s="510">
        <v>0</v>
      </c>
    </row>
    <row r="829" spans="1:7" x14ac:dyDescent="0.25">
      <c r="A829" s="509" t="s">
        <v>957</v>
      </c>
      <c r="B829" s="509" t="s">
        <v>1086</v>
      </c>
      <c r="C829" s="510">
        <v>3200</v>
      </c>
      <c r="D829" s="510">
        <v>0</v>
      </c>
      <c r="E829" s="510">
        <v>303.8</v>
      </c>
      <c r="F829" s="510">
        <v>0</v>
      </c>
      <c r="G829" s="510">
        <v>303.8</v>
      </c>
    </row>
    <row r="830" spans="1:7" x14ac:dyDescent="0.25">
      <c r="A830" s="509" t="s">
        <v>271</v>
      </c>
      <c r="B830" s="509" t="s">
        <v>85</v>
      </c>
      <c r="C830" s="510">
        <v>3200</v>
      </c>
      <c r="D830" s="510">
        <v>0</v>
      </c>
      <c r="E830" s="510">
        <v>912.93</v>
      </c>
      <c r="F830" s="510">
        <v>0</v>
      </c>
      <c r="G830" s="510">
        <v>912.93</v>
      </c>
    </row>
    <row r="831" spans="1:7" x14ac:dyDescent="0.25">
      <c r="A831" s="509" t="s">
        <v>272</v>
      </c>
      <c r="B831" s="509" t="s">
        <v>1170</v>
      </c>
      <c r="C831" s="510">
        <v>3200</v>
      </c>
      <c r="D831" s="510">
        <v>0</v>
      </c>
      <c r="E831" s="510">
        <v>605.09</v>
      </c>
      <c r="F831" s="510">
        <v>0</v>
      </c>
      <c r="G831" s="510">
        <v>605.09</v>
      </c>
    </row>
    <row r="832" spans="1:7" x14ac:dyDescent="0.25">
      <c r="A832" s="509" t="s">
        <v>273</v>
      </c>
      <c r="B832" s="509" t="s">
        <v>94</v>
      </c>
      <c r="C832" s="510">
        <v>5000</v>
      </c>
      <c r="D832" s="510">
        <v>0</v>
      </c>
      <c r="E832" s="510">
        <v>0</v>
      </c>
      <c r="F832" s="510">
        <v>0</v>
      </c>
      <c r="G832" s="510">
        <v>0</v>
      </c>
    </row>
    <row r="833" spans="1:7" x14ac:dyDescent="0.25">
      <c r="A833" s="509" t="s">
        <v>274</v>
      </c>
      <c r="B833" s="509" t="s">
        <v>95</v>
      </c>
      <c r="C833" s="510">
        <v>8000</v>
      </c>
      <c r="D833" s="510">
        <v>0</v>
      </c>
      <c r="E833" s="510">
        <v>4213.05</v>
      </c>
      <c r="F833" s="510">
        <v>0</v>
      </c>
      <c r="G833" s="510">
        <v>4213.05</v>
      </c>
    </row>
    <row r="834" spans="1:7" x14ac:dyDescent="0.25">
      <c r="A834" s="509" t="s">
        <v>275</v>
      </c>
      <c r="B834" s="509" t="s">
        <v>96</v>
      </c>
      <c r="C834" s="510">
        <v>1000</v>
      </c>
      <c r="D834" s="510">
        <v>0</v>
      </c>
      <c r="E834" s="510">
        <v>0</v>
      </c>
      <c r="F834" s="510">
        <v>0</v>
      </c>
      <c r="G834" s="510">
        <v>0</v>
      </c>
    </row>
    <row r="835" spans="1:7" x14ac:dyDescent="0.25">
      <c r="A835" s="509" t="s">
        <v>276</v>
      </c>
      <c r="B835" s="509" t="s">
        <v>97</v>
      </c>
      <c r="C835" s="510">
        <v>1350</v>
      </c>
      <c r="D835" s="510">
        <v>0</v>
      </c>
      <c r="E835" s="510">
        <v>541.97</v>
      </c>
      <c r="F835" s="510">
        <v>0</v>
      </c>
      <c r="G835" s="510">
        <v>541.97</v>
      </c>
    </row>
    <row r="836" spans="1:7" x14ac:dyDescent="0.25">
      <c r="A836" s="509" t="s">
        <v>1183</v>
      </c>
      <c r="B836" s="509" t="s">
        <v>1184</v>
      </c>
      <c r="C836" s="510">
        <v>0</v>
      </c>
      <c r="D836" s="510">
        <v>0</v>
      </c>
      <c r="E836" s="510">
        <v>0</v>
      </c>
      <c r="F836" s="510">
        <v>0</v>
      </c>
      <c r="G836" s="510">
        <v>0</v>
      </c>
    </row>
    <row r="837" spans="1:7" x14ac:dyDescent="0.25">
      <c r="A837" s="509" t="s">
        <v>1185</v>
      </c>
      <c r="B837" s="509" t="s">
        <v>1186</v>
      </c>
      <c r="C837" s="510">
        <v>0</v>
      </c>
      <c r="D837" s="510">
        <v>0</v>
      </c>
      <c r="E837" s="510">
        <v>0</v>
      </c>
      <c r="F837" s="510">
        <v>0</v>
      </c>
      <c r="G837" s="510">
        <v>0</v>
      </c>
    </row>
    <row r="838" spans="1:7" x14ac:dyDescent="0.25">
      <c r="A838" s="509" t="s">
        <v>277</v>
      </c>
      <c r="B838" s="509" t="s">
        <v>98</v>
      </c>
      <c r="C838" s="510">
        <v>500</v>
      </c>
      <c r="D838" s="510">
        <v>0</v>
      </c>
      <c r="E838" s="510">
        <v>0</v>
      </c>
      <c r="F838" s="510">
        <v>0</v>
      </c>
      <c r="G838" s="510">
        <v>0</v>
      </c>
    </row>
    <row r="839" spans="1:7" x14ac:dyDescent="0.25">
      <c r="A839" s="509" t="s">
        <v>278</v>
      </c>
      <c r="B839" s="509" t="s">
        <v>99</v>
      </c>
      <c r="C839" s="510">
        <v>750</v>
      </c>
      <c r="D839" s="510">
        <v>0</v>
      </c>
      <c r="E839" s="510">
        <v>286.87</v>
      </c>
      <c r="F839" s="510">
        <v>0</v>
      </c>
      <c r="G839" s="510">
        <v>286.87</v>
      </c>
    </row>
    <row r="840" spans="1:7" x14ac:dyDescent="0.25">
      <c r="A840" s="509" t="s">
        <v>279</v>
      </c>
      <c r="B840" s="509" t="s">
        <v>100</v>
      </c>
      <c r="C840" s="510">
        <v>1000</v>
      </c>
      <c r="D840" s="510">
        <v>0</v>
      </c>
      <c r="E840" s="510">
        <v>0</v>
      </c>
      <c r="F840" s="510">
        <v>0</v>
      </c>
      <c r="G840" s="510">
        <v>0</v>
      </c>
    </row>
    <row r="841" spans="1:7" x14ac:dyDescent="0.25">
      <c r="A841" s="509" t="s">
        <v>280</v>
      </c>
      <c r="B841" s="509" t="s">
        <v>101</v>
      </c>
      <c r="C841" s="510">
        <v>550</v>
      </c>
      <c r="D841" s="510">
        <v>0</v>
      </c>
      <c r="E841" s="510">
        <v>216.82</v>
      </c>
      <c r="F841" s="510">
        <v>0</v>
      </c>
      <c r="G841" s="510">
        <v>216.82</v>
      </c>
    </row>
    <row r="842" spans="1:7" x14ac:dyDescent="0.25">
      <c r="A842" s="509" t="s">
        <v>281</v>
      </c>
      <c r="B842" s="509" t="s">
        <v>55</v>
      </c>
      <c r="C842" s="510">
        <v>4800</v>
      </c>
      <c r="D842" s="510">
        <v>0</v>
      </c>
      <c r="E842" s="510">
        <v>3678.64</v>
      </c>
      <c r="F842" s="510">
        <v>66.239999999999995</v>
      </c>
      <c r="G842" s="510">
        <v>3612.4</v>
      </c>
    </row>
    <row r="843" spans="1:7" x14ac:dyDescent="0.25">
      <c r="A843" s="509" t="s">
        <v>282</v>
      </c>
      <c r="B843" s="509" t="s">
        <v>104</v>
      </c>
      <c r="C843" s="510">
        <v>6000</v>
      </c>
      <c r="D843" s="510">
        <v>0</v>
      </c>
      <c r="E843" s="510">
        <v>0</v>
      </c>
      <c r="F843" s="510">
        <v>0</v>
      </c>
      <c r="G843" s="510">
        <v>0</v>
      </c>
    </row>
    <row r="844" spans="1:7" x14ac:dyDescent="0.25">
      <c r="A844" s="509" t="s">
        <v>2512</v>
      </c>
      <c r="B844" s="509" t="s">
        <v>1080</v>
      </c>
      <c r="C844" s="510">
        <v>0</v>
      </c>
      <c r="D844" s="510">
        <v>0</v>
      </c>
      <c r="E844" s="510">
        <v>0</v>
      </c>
      <c r="F844" s="510">
        <v>0</v>
      </c>
      <c r="G844" s="510">
        <v>0</v>
      </c>
    </row>
    <row r="845" spans="1:7" x14ac:dyDescent="0.25">
      <c r="A845" s="509" t="s">
        <v>562</v>
      </c>
      <c r="B845" s="509" t="s">
        <v>150</v>
      </c>
      <c r="C845" s="510">
        <v>49660</v>
      </c>
      <c r="D845" s="510">
        <v>0</v>
      </c>
      <c r="E845" s="510">
        <v>20056.53</v>
      </c>
      <c r="F845" s="510">
        <v>1645.6</v>
      </c>
      <c r="G845" s="510">
        <v>18410.93</v>
      </c>
    </row>
    <row r="846" spans="1:7" x14ac:dyDescent="0.25">
      <c r="A846" s="509" t="s">
        <v>563</v>
      </c>
      <c r="B846" s="509" t="s">
        <v>667</v>
      </c>
      <c r="C846" s="510">
        <v>-25433.8</v>
      </c>
      <c r="D846" s="510">
        <v>0</v>
      </c>
      <c r="E846" s="510">
        <v>0</v>
      </c>
      <c r="F846" s="510">
        <v>3686.59</v>
      </c>
      <c r="G846" s="510">
        <v>-3686.59</v>
      </c>
    </row>
    <row r="847" spans="1:7" x14ac:dyDescent="0.25">
      <c r="A847" s="509" t="s">
        <v>557</v>
      </c>
      <c r="B847" s="509" t="s">
        <v>37</v>
      </c>
      <c r="C847" s="510">
        <v>254</v>
      </c>
      <c r="D847" s="510">
        <v>0</v>
      </c>
      <c r="E847" s="510">
        <v>0</v>
      </c>
      <c r="F847" s="510">
        <v>0</v>
      </c>
      <c r="G847" s="510">
        <v>0</v>
      </c>
    </row>
    <row r="848" spans="1:7" x14ac:dyDescent="0.25">
      <c r="A848" s="509" t="s">
        <v>551</v>
      </c>
      <c r="B848" s="509" t="s">
        <v>153</v>
      </c>
      <c r="C848" s="510">
        <v>2823</v>
      </c>
      <c r="D848" s="510">
        <v>0</v>
      </c>
      <c r="E848" s="510">
        <v>1049.51</v>
      </c>
      <c r="F848" s="510">
        <v>95.87</v>
      </c>
      <c r="G848" s="510">
        <v>953.64</v>
      </c>
    </row>
    <row r="849" spans="1:7" x14ac:dyDescent="0.25">
      <c r="A849" s="509" t="s">
        <v>550</v>
      </c>
      <c r="B849" s="509" t="s">
        <v>154</v>
      </c>
      <c r="C849" s="510">
        <v>724</v>
      </c>
      <c r="D849" s="510">
        <v>0</v>
      </c>
      <c r="E849" s="510">
        <v>285.19</v>
      </c>
      <c r="F849" s="510">
        <v>22.34</v>
      </c>
      <c r="G849" s="510">
        <v>262.85000000000002</v>
      </c>
    </row>
    <row r="850" spans="1:7" x14ac:dyDescent="0.25">
      <c r="A850" s="509" t="s">
        <v>553</v>
      </c>
      <c r="B850" s="509" t="s">
        <v>38</v>
      </c>
      <c r="C850" s="510">
        <v>9632</v>
      </c>
      <c r="D850" s="510">
        <v>0</v>
      </c>
      <c r="E850" s="510">
        <v>3917.9</v>
      </c>
      <c r="F850" s="510">
        <v>0</v>
      </c>
      <c r="G850" s="510">
        <v>3917.9</v>
      </c>
    </row>
    <row r="851" spans="1:7" x14ac:dyDescent="0.25">
      <c r="A851" s="509" t="s">
        <v>545</v>
      </c>
      <c r="B851" s="509" t="s">
        <v>77</v>
      </c>
      <c r="C851" s="510">
        <v>582</v>
      </c>
      <c r="D851" s="510">
        <v>0</v>
      </c>
      <c r="E851" s="510">
        <v>230.07</v>
      </c>
      <c r="F851" s="510">
        <v>0</v>
      </c>
      <c r="G851" s="510">
        <v>230.07</v>
      </c>
    </row>
    <row r="852" spans="1:7" x14ac:dyDescent="0.25">
      <c r="A852" s="509" t="s">
        <v>561</v>
      </c>
      <c r="B852" s="509" t="s">
        <v>78</v>
      </c>
      <c r="C852" s="510">
        <v>95</v>
      </c>
      <c r="D852" s="510">
        <v>0</v>
      </c>
      <c r="E852" s="510">
        <v>43.84</v>
      </c>
      <c r="F852" s="510">
        <v>0</v>
      </c>
      <c r="G852" s="510">
        <v>43.84</v>
      </c>
    </row>
    <row r="853" spans="1:7" x14ac:dyDescent="0.25">
      <c r="A853" s="509" t="s">
        <v>2513</v>
      </c>
      <c r="B853" s="509" t="s">
        <v>2292</v>
      </c>
      <c r="C853" s="510">
        <v>0</v>
      </c>
      <c r="D853" s="510">
        <v>0</v>
      </c>
      <c r="E853" s="510">
        <v>0</v>
      </c>
      <c r="F853" s="510">
        <v>0</v>
      </c>
      <c r="G853" s="510">
        <v>0</v>
      </c>
    </row>
    <row r="854" spans="1:7" x14ac:dyDescent="0.25">
      <c r="A854" s="509" t="s">
        <v>564</v>
      </c>
      <c r="B854" s="509" t="s">
        <v>893</v>
      </c>
      <c r="C854" s="510">
        <v>497</v>
      </c>
      <c r="D854" s="510">
        <v>0</v>
      </c>
      <c r="E854" s="510">
        <v>196.25</v>
      </c>
      <c r="F854" s="510">
        <v>11.28</v>
      </c>
      <c r="G854" s="510">
        <v>184.97</v>
      </c>
    </row>
    <row r="855" spans="1:7" x14ac:dyDescent="0.25">
      <c r="A855" s="509" t="s">
        <v>552</v>
      </c>
      <c r="B855" s="509" t="s">
        <v>2249</v>
      </c>
      <c r="C855" s="510">
        <v>186</v>
      </c>
      <c r="D855" s="510">
        <v>0</v>
      </c>
      <c r="E855" s="510">
        <v>135.66</v>
      </c>
      <c r="F855" s="510">
        <v>41.45</v>
      </c>
      <c r="G855" s="510">
        <v>94.21</v>
      </c>
    </row>
    <row r="856" spans="1:7" x14ac:dyDescent="0.25">
      <c r="A856" s="509" t="s">
        <v>560</v>
      </c>
      <c r="B856" s="509" t="s">
        <v>64</v>
      </c>
      <c r="C856" s="510">
        <v>0</v>
      </c>
      <c r="D856" s="510">
        <v>0</v>
      </c>
      <c r="E856" s="510">
        <v>0</v>
      </c>
      <c r="F856" s="510">
        <v>0</v>
      </c>
      <c r="G856" s="510">
        <v>0</v>
      </c>
    </row>
    <row r="857" spans="1:7" x14ac:dyDescent="0.25">
      <c r="A857" s="509" t="s">
        <v>542</v>
      </c>
      <c r="B857" s="509" t="s">
        <v>65</v>
      </c>
      <c r="C857" s="510">
        <v>64</v>
      </c>
      <c r="D857" s="510">
        <v>0</v>
      </c>
      <c r="E857" s="510">
        <v>10.96</v>
      </c>
      <c r="F857" s="510">
        <v>0</v>
      </c>
      <c r="G857" s="510">
        <v>10.96</v>
      </c>
    </row>
    <row r="858" spans="1:7" x14ac:dyDescent="0.25">
      <c r="A858" s="509" t="s">
        <v>559</v>
      </c>
      <c r="B858" s="509" t="s">
        <v>40</v>
      </c>
      <c r="C858" s="510">
        <v>176</v>
      </c>
      <c r="D858" s="510">
        <v>0</v>
      </c>
      <c r="E858" s="510">
        <v>28.68</v>
      </c>
      <c r="F858" s="510">
        <v>1.32</v>
      </c>
      <c r="G858" s="510">
        <v>27.36</v>
      </c>
    </row>
    <row r="859" spans="1:7" x14ac:dyDescent="0.25">
      <c r="A859" s="509" t="s">
        <v>549</v>
      </c>
      <c r="B859" s="509" t="s">
        <v>41</v>
      </c>
      <c r="C859" s="510">
        <v>4</v>
      </c>
      <c r="D859" s="510">
        <v>0</v>
      </c>
      <c r="E859" s="510">
        <v>0.6</v>
      </c>
      <c r="F859" s="510">
        <v>0.04</v>
      </c>
      <c r="G859" s="510">
        <v>0.56000000000000005</v>
      </c>
    </row>
    <row r="860" spans="1:7" x14ac:dyDescent="0.25">
      <c r="A860" s="509" t="s">
        <v>546</v>
      </c>
      <c r="B860" s="509" t="s">
        <v>42</v>
      </c>
      <c r="C860" s="510">
        <v>151</v>
      </c>
      <c r="D860" s="510">
        <v>0</v>
      </c>
      <c r="E860" s="510">
        <v>74.25</v>
      </c>
      <c r="F860" s="510">
        <v>4.76</v>
      </c>
      <c r="G860" s="510">
        <v>69.489999999999995</v>
      </c>
    </row>
    <row r="861" spans="1:7" x14ac:dyDescent="0.25">
      <c r="A861" s="509" t="s">
        <v>543</v>
      </c>
      <c r="B861" s="509" t="s">
        <v>2252</v>
      </c>
      <c r="C861" s="510">
        <v>4405</v>
      </c>
      <c r="D861" s="510">
        <v>0</v>
      </c>
      <c r="E861" s="510">
        <v>1584.74</v>
      </c>
      <c r="F861" s="510">
        <v>139.91999999999999</v>
      </c>
      <c r="G861" s="510">
        <v>1444.82</v>
      </c>
    </row>
    <row r="862" spans="1:7" x14ac:dyDescent="0.25">
      <c r="A862" s="509" t="s">
        <v>544</v>
      </c>
      <c r="B862" s="509" t="s">
        <v>44</v>
      </c>
      <c r="C862" s="510">
        <v>3639</v>
      </c>
      <c r="D862" s="510">
        <v>0</v>
      </c>
      <c r="E862" s="510">
        <v>1313.9</v>
      </c>
      <c r="F862" s="510">
        <v>115.26</v>
      </c>
      <c r="G862" s="510">
        <v>1198.6400000000001</v>
      </c>
    </row>
    <row r="863" spans="1:7" x14ac:dyDescent="0.25">
      <c r="A863" s="509" t="s">
        <v>556</v>
      </c>
      <c r="B863" s="509" t="s">
        <v>183</v>
      </c>
      <c r="C863" s="510">
        <v>2168</v>
      </c>
      <c r="D863" s="510">
        <v>0</v>
      </c>
      <c r="E863" s="510">
        <v>0</v>
      </c>
      <c r="F863" s="510">
        <v>0</v>
      </c>
      <c r="G863" s="510">
        <v>0</v>
      </c>
    </row>
    <row r="864" spans="1:7" x14ac:dyDescent="0.25">
      <c r="A864" s="509" t="s">
        <v>2514</v>
      </c>
      <c r="B864" s="509" t="s">
        <v>2254</v>
      </c>
      <c r="C864" s="510">
        <v>0</v>
      </c>
      <c r="D864" s="510">
        <v>0</v>
      </c>
      <c r="E864" s="510">
        <v>94.97</v>
      </c>
      <c r="F864" s="510">
        <v>0</v>
      </c>
      <c r="G864" s="510">
        <v>94.97</v>
      </c>
    </row>
    <row r="865" spans="1:7" x14ac:dyDescent="0.25">
      <c r="A865" s="509" t="s">
        <v>2515</v>
      </c>
      <c r="B865" s="509" t="s">
        <v>2256</v>
      </c>
      <c r="C865" s="510">
        <v>0</v>
      </c>
      <c r="D865" s="510">
        <v>0</v>
      </c>
      <c r="E865" s="510">
        <v>120.8</v>
      </c>
      <c r="F865" s="510">
        <v>0</v>
      </c>
      <c r="G865" s="510">
        <v>120.8</v>
      </c>
    </row>
    <row r="866" spans="1:7" x14ac:dyDescent="0.25">
      <c r="A866" s="509" t="s">
        <v>2516</v>
      </c>
      <c r="B866" s="509" t="s">
        <v>1161</v>
      </c>
      <c r="C866" s="510">
        <v>28</v>
      </c>
      <c r="D866" s="510">
        <v>0</v>
      </c>
      <c r="E866" s="510">
        <v>0</v>
      </c>
      <c r="F866" s="510">
        <v>0</v>
      </c>
      <c r="G866" s="510">
        <v>0</v>
      </c>
    </row>
    <row r="867" spans="1:7" x14ac:dyDescent="0.25">
      <c r="A867" s="509" t="s">
        <v>558</v>
      </c>
      <c r="B867" s="509" t="s">
        <v>70</v>
      </c>
      <c r="C867" s="510">
        <v>0</v>
      </c>
      <c r="D867" s="510">
        <v>0</v>
      </c>
      <c r="E867" s="510">
        <v>0</v>
      </c>
      <c r="F867" s="510">
        <v>0</v>
      </c>
      <c r="G867" s="510">
        <v>0</v>
      </c>
    </row>
    <row r="868" spans="1:7" x14ac:dyDescent="0.25">
      <c r="A868" s="509" t="s">
        <v>2517</v>
      </c>
      <c r="B868" s="509" t="s">
        <v>47</v>
      </c>
      <c r="C868" s="510">
        <v>0</v>
      </c>
      <c r="D868" s="510">
        <v>0</v>
      </c>
      <c r="E868" s="510">
        <v>0</v>
      </c>
      <c r="F868" s="510">
        <v>0</v>
      </c>
      <c r="G868" s="510">
        <v>0</v>
      </c>
    </row>
    <row r="869" spans="1:7" x14ac:dyDescent="0.25">
      <c r="A869" s="509" t="s">
        <v>555</v>
      </c>
      <c r="B869" s="509" t="s">
        <v>48</v>
      </c>
      <c r="C869" s="510">
        <v>0</v>
      </c>
      <c r="D869" s="510">
        <v>0</v>
      </c>
      <c r="E869" s="510">
        <v>0</v>
      </c>
      <c r="F869" s="510">
        <v>0</v>
      </c>
      <c r="G869" s="510">
        <v>0</v>
      </c>
    </row>
    <row r="870" spans="1:7" x14ac:dyDescent="0.25">
      <c r="A870" s="509" t="s">
        <v>2518</v>
      </c>
      <c r="B870" s="509" t="s">
        <v>49</v>
      </c>
      <c r="C870" s="510">
        <v>0</v>
      </c>
      <c r="D870" s="510">
        <v>0</v>
      </c>
      <c r="E870" s="510">
        <v>0</v>
      </c>
      <c r="F870" s="510">
        <v>0</v>
      </c>
      <c r="G870" s="510">
        <v>0</v>
      </c>
    </row>
    <row r="871" spans="1:7" x14ac:dyDescent="0.25">
      <c r="A871" s="509" t="s">
        <v>2519</v>
      </c>
      <c r="B871" s="509" t="s">
        <v>50</v>
      </c>
      <c r="C871" s="510">
        <v>0</v>
      </c>
      <c r="D871" s="510">
        <v>0</v>
      </c>
      <c r="E871" s="510">
        <v>0</v>
      </c>
      <c r="F871" s="510">
        <v>0</v>
      </c>
      <c r="G871" s="510">
        <v>0</v>
      </c>
    </row>
    <row r="872" spans="1:7" x14ac:dyDescent="0.25">
      <c r="A872" s="509" t="s">
        <v>2520</v>
      </c>
      <c r="B872" s="509" t="s">
        <v>51</v>
      </c>
      <c r="C872" s="510">
        <v>0</v>
      </c>
      <c r="D872" s="510">
        <v>0</v>
      </c>
      <c r="E872" s="510">
        <v>0</v>
      </c>
      <c r="F872" s="510">
        <v>0</v>
      </c>
      <c r="G872" s="510">
        <v>0</v>
      </c>
    </row>
    <row r="873" spans="1:7" x14ac:dyDescent="0.25">
      <c r="A873" s="509" t="s">
        <v>2521</v>
      </c>
      <c r="B873" s="509" t="s">
        <v>1151</v>
      </c>
      <c r="C873" s="510">
        <v>0</v>
      </c>
      <c r="D873" s="510">
        <v>0</v>
      </c>
      <c r="E873" s="510">
        <v>0</v>
      </c>
      <c r="F873" s="510">
        <v>0</v>
      </c>
      <c r="G873" s="510">
        <v>0</v>
      </c>
    </row>
    <row r="874" spans="1:7" x14ac:dyDescent="0.25">
      <c r="A874" s="509" t="s">
        <v>2522</v>
      </c>
      <c r="B874" s="509" t="s">
        <v>1152</v>
      </c>
      <c r="C874" s="510">
        <v>0</v>
      </c>
      <c r="D874" s="510">
        <v>0</v>
      </c>
      <c r="E874" s="510">
        <v>0</v>
      </c>
      <c r="F874" s="510">
        <v>0</v>
      </c>
      <c r="G874" s="510">
        <v>0</v>
      </c>
    </row>
    <row r="875" spans="1:7" x14ac:dyDescent="0.25">
      <c r="A875" s="509" t="s">
        <v>2523</v>
      </c>
      <c r="B875" s="509" t="s">
        <v>53</v>
      </c>
      <c r="C875" s="510">
        <v>0</v>
      </c>
      <c r="D875" s="510">
        <v>0</v>
      </c>
      <c r="E875" s="510">
        <v>0</v>
      </c>
      <c r="F875" s="510">
        <v>0</v>
      </c>
      <c r="G875" s="510">
        <v>0</v>
      </c>
    </row>
    <row r="876" spans="1:7" x14ac:dyDescent="0.25">
      <c r="A876" s="509" t="s">
        <v>554</v>
      </c>
      <c r="B876" s="509" t="s">
        <v>54</v>
      </c>
      <c r="C876" s="510">
        <v>52.5</v>
      </c>
      <c r="D876" s="510">
        <v>0</v>
      </c>
      <c r="E876" s="510">
        <v>0</v>
      </c>
      <c r="F876" s="510">
        <v>0</v>
      </c>
      <c r="G876" s="510">
        <v>0</v>
      </c>
    </row>
    <row r="877" spans="1:7" x14ac:dyDescent="0.25">
      <c r="A877" s="509" t="s">
        <v>1187</v>
      </c>
      <c r="B877" s="509" t="s">
        <v>1176</v>
      </c>
      <c r="C877" s="510">
        <v>0</v>
      </c>
      <c r="D877" s="510">
        <v>0</v>
      </c>
      <c r="E877" s="510">
        <v>0</v>
      </c>
      <c r="F877" s="510">
        <v>0</v>
      </c>
      <c r="G877" s="510">
        <v>0</v>
      </c>
    </row>
    <row r="878" spans="1:7" x14ac:dyDescent="0.25">
      <c r="A878" s="509" t="s">
        <v>547</v>
      </c>
      <c r="B878" s="509" t="s">
        <v>152</v>
      </c>
      <c r="C878" s="510">
        <v>14000</v>
      </c>
      <c r="D878" s="510">
        <v>0</v>
      </c>
      <c r="E878" s="510">
        <v>711.67</v>
      </c>
      <c r="F878" s="510">
        <v>0</v>
      </c>
      <c r="G878" s="510">
        <v>711.67</v>
      </c>
    </row>
    <row r="879" spans="1:7" x14ac:dyDescent="0.25">
      <c r="A879" s="509" t="s">
        <v>548</v>
      </c>
      <c r="B879" s="509" t="s">
        <v>1177</v>
      </c>
      <c r="C879" s="510">
        <v>7000</v>
      </c>
      <c r="D879" s="510">
        <v>0</v>
      </c>
      <c r="E879" s="510">
        <v>0</v>
      </c>
      <c r="F879" s="510">
        <v>0</v>
      </c>
      <c r="G879" s="510">
        <v>0</v>
      </c>
    </row>
    <row r="880" spans="1:7" x14ac:dyDescent="0.25">
      <c r="A880" s="509" t="s">
        <v>2524</v>
      </c>
      <c r="B880" s="509" t="s">
        <v>55</v>
      </c>
      <c r="C880" s="510">
        <v>0</v>
      </c>
      <c r="D880" s="510">
        <v>0</v>
      </c>
      <c r="E880" s="510">
        <v>0</v>
      </c>
      <c r="F880" s="510">
        <v>0</v>
      </c>
      <c r="G880" s="510">
        <v>0</v>
      </c>
    </row>
    <row r="881" spans="1:7" x14ac:dyDescent="0.25">
      <c r="A881" s="509" t="s">
        <v>2525</v>
      </c>
      <c r="B881" s="509" t="s">
        <v>1080</v>
      </c>
      <c r="C881" s="510">
        <v>0</v>
      </c>
      <c r="D881" s="510">
        <v>0</v>
      </c>
      <c r="E881" s="510">
        <v>0</v>
      </c>
      <c r="F881" s="510">
        <v>0</v>
      </c>
      <c r="G881" s="510">
        <v>0</v>
      </c>
    </row>
    <row r="882" spans="1:7" x14ac:dyDescent="0.25">
      <c r="A882" s="509" t="s">
        <v>2526</v>
      </c>
      <c r="B882" s="509" t="s">
        <v>1933</v>
      </c>
      <c r="C882" s="510">
        <v>0</v>
      </c>
      <c r="D882" s="510">
        <v>121015.67</v>
      </c>
      <c r="E882" s="510">
        <v>0</v>
      </c>
      <c r="F882" s="510">
        <v>121015.67</v>
      </c>
      <c r="G882" s="510">
        <v>0</v>
      </c>
    </row>
    <row r="883" spans="1:7" x14ac:dyDescent="0.25">
      <c r="A883" s="509" t="s">
        <v>2527</v>
      </c>
      <c r="B883" s="509" t="s">
        <v>1935</v>
      </c>
      <c r="C883" s="510">
        <v>0</v>
      </c>
      <c r="D883" s="510">
        <v>0</v>
      </c>
      <c r="E883" s="510">
        <v>0</v>
      </c>
      <c r="F883" s="510">
        <v>0</v>
      </c>
      <c r="G883" s="510">
        <v>0</v>
      </c>
    </row>
    <row r="884" spans="1:7" x14ac:dyDescent="0.25">
      <c r="A884" s="509" t="s">
        <v>2528</v>
      </c>
      <c r="B884" s="509" t="s">
        <v>1937</v>
      </c>
      <c r="C884" s="510">
        <v>0</v>
      </c>
      <c r="D884" s="510">
        <v>0</v>
      </c>
      <c r="E884" s="510">
        <v>0</v>
      </c>
      <c r="F884" s="510">
        <v>0</v>
      </c>
      <c r="G884" s="510">
        <v>0</v>
      </c>
    </row>
    <row r="885" spans="1:7" x14ac:dyDescent="0.25">
      <c r="A885" s="509" t="s">
        <v>2529</v>
      </c>
      <c r="B885" s="509" t="s">
        <v>1939</v>
      </c>
      <c r="C885" s="510">
        <v>0</v>
      </c>
      <c r="D885" s="510">
        <v>0</v>
      </c>
      <c r="E885" s="510">
        <v>0</v>
      </c>
      <c r="F885" s="510">
        <v>0</v>
      </c>
      <c r="G885" s="510">
        <v>0</v>
      </c>
    </row>
    <row r="886" spans="1:7" x14ac:dyDescent="0.25">
      <c r="A886" s="509" t="s">
        <v>2530</v>
      </c>
      <c r="B886" s="509" t="s">
        <v>1941</v>
      </c>
      <c r="C886" s="510">
        <v>0</v>
      </c>
      <c r="D886" s="510">
        <v>0</v>
      </c>
      <c r="E886" s="510">
        <v>0</v>
      </c>
      <c r="F886" s="510">
        <v>0</v>
      </c>
      <c r="G886" s="510">
        <v>0</v>
      </c>
    </row>
    <row r="887" spans="1:7" x14ac:dyDescent="0.25">
      <c r="A887" s="509" t="s">
        <v>2531</v>
      </c>
      <c r="B887" s="509" t="s">
        <v>1943</v>
      </c>
      <c r="C887" s="510">
        <v>0</v>
      </c>
      <c r="D887" s="510">
        <v>0</v>
      </c>
      <c r="E887" s="510">
        <v>0</v>
      </c>
      <c r="F887" s="510">
        <v>0</v>
      </c>
      <c r="G887" s="510">
        <v>0</v>
      </c>
    </row>
    <row r="888" spans="1:7" x14ac:dyDescent="0.25">
      <c r="A888" s="509" t="s">
        <v>2532</v>
      </c>
      <c r="B888" s="509" t="s">
        <v>1945</v>
      </c>
      <c r="C888" s="510">
        <v>0</v>
      </c>
      <c r="D888" s="510">
        <v>-86511554.620000005</v>
      </c>
      <c r="E888" s="510">
        <v>0</v>
      </c>
      <c r="F888" s="510">
        <v>0</v>
      </c>
      <c r="G888" s="510">
        <v>-86511554.620000005</v>
      </c>
    </row>
    <row r="889" spans="1:7" x14ac:dyDescent="0.25">
      <c r="A889" s="509" t="s">
        <v>2533</v>
      </c>
      <c r="B889" s="509" t="s">
        <v>1947</v>
      </c>
      <c r="C889" s="510">
        <v>0</v>
      </c>
      <c r="D889" s="510">
        <v>-813976.2</v>
      </c>
      <c r="E889" s="510">
        <v>0</v>
      </c>
      <c r="F889" s="510">
        <v>0</v>
      </c>
      <c r="G889" s="510">
        <v>-813976.2</v>
      </c>
    </row>
    <row r="890" spans="1:7" x14ac:dyDescent="0.25">
      <c r="A890" s="509" t="s">
        <v>2534</v>
      </c>
      <c r="B890" s="509" t="s">
        <v>1949</v>
      </c>
      <c r="C890" s="510">
        <v>0</v>
      </c>
      <c r="D890" s="510">
        <v>949557.42</v>
      </c>
      <c r="E890" s="510">
        <v>0</v>
      </c>
      <c r="F890" s="510">
        <v>0</v>
      </c>
      <c r="G890" s="510">
        <v>949557.42</v>
      </c>
    </row>
    <row r="891" spans="1:7" x14ac:dyDescent="0.25">
      <c r="A891" s="509" t="s">
        <v>2535</v>
      </c>
      <c r="B891" s="509" t="s">
        <v>1951</v>
      </c>
      <c r="C891" s="510">
        <v>0</v>
      </c>
      <c r="D891" s="510">
        <v>0</v>
      </c>
      <c r="E891" s="510">
        <v>0</v>
      </c>
      <c r="F891" s="510">
        <v>0</v>
      </c>
      <c r="G891" s="510">
        <v>0</v>
      </c>
    </row>
    <row r="892" spans="1:7" x14ac:dyDescent="0.25">
      <c r="A892" s="509" t="s">
        <v>2536</v>
      </c>
      <c r="B892" s="509" t="s">
        <v>2282</v>
      </c>
      <c r="C892" s="510">
        <v>0</v>
      </c>
      <c r="D892" s="510">
        <v>0</v>
      </c>
      <c r="E892" s="510">
        <v>0</v>
      </c>
      <c r="F892" s="510">
        <v>0</v>
      </c>
      <c r="G892" s="510">
        <v>0</v>
      </c>
    </row>
    <row r="893" spans="1:7" x14ac:dyDescent="0.25">
      <c r="A893" s="509" t="s">
        <v>2537</v>
      </c>
      <c r="B893" s="509" t="s">
        <v>1953</v>
      </c>
      <c r="C893" s="510">
        <v>0</v>
      </c>
      <c r="D893" s="510">
        <v>5169.24</v>
      </c>
      <c r="E893" s="510">
        <v>3620015.13</v>
      </c>
      <c r="F893" s="510">
        <v>2838826.59</v>
      </c>
      <c r="G893" s="510">
        <v>786357.78</v>
      </c>
    </row>
    <row r="894" spans="1:7" x14ac:dyDescent="0.25">
      <c r="A894" s="509" t="s">
        <v>2538</v>
      </c>
      <c r="B894" s="509" t="s">
        <v>1955</v>
      </c>
      <c r="C894" s="510">
        <v>0</v>
      </c>
      <c r="D894" s="510">
        <v>0</v>
      </c>
      <c r="E894" s="510">
        <v>0</v>
      </c>
      <c r="F894" s="510">
        <v>0</v>
      </c>
      <c r="G894" s="510">
        <v>0</v>
      </c>
    </row>
    <row r="895" spans="1:7" x14ac:dyDescent="0.25">
      <c r="A895" s="509" t="s">
        <v>2539</v>
      </c>
      <c r="B895" s="509" t="s">
        <v>2540</v>
      </c>
      <c r="C895" s="510">
        <v>0</v>
      </c>
      <c r="D895" s="510">
        <v>296227.09999999998</v>
      </c>
      <c r="E895" s="510">
        <v>38069.660000000003</v>
      </c>
      <c r="F895" s="510">
        <v>292.39</v>
      </c>
      <c r="G895" s="510">
        <v>334004.37</v>
      </c>
    </row>
    <row r="896" spans="1:7" x14ac:dyDescent="0.25">
      <c r="A896" s="509" t="s">
        <v>2541</v>
      </c>
      <c r="B896" s="509" t="s">
        <v>1961</v>
      </c>
      <c r="C896" s="510">
        <v>0</v>
      </c>
      <c r="D896" s="510">
        <v>203716.36</v>
      </c>
      <c r="E896" s="510">
        <v>0</v>
      </c>
      <c r="F896" s="510">
        <v>0</v>
      </c>
      <c r="G896" s="510">
        <v>203716.36</v>
      </c>
    </row>
    <row r="897" spans="1:7" x14ac:dyDescent="0.25">
      <c r="A897" s="509" t="s">
        <v>2542</v>
      </c>
      <c r="B897" s="509" t="s">
        <v>2543</v>
      </c>
      <c r="C897" s="510">
        <v>0</v>
      </c>
      <c r="D897" s="510">
        <v>438746.85</v>
      </c>
      <c r="E897" s="510">
        <v>84890.92</v>
      </c>
      <c r="F897" s="510">
        <v>197.85</v>
      </c>
      <c r="G897" s="510">
        <v>523439.92</v>
      </c>
    </row>
    <row r="898" spans="1:7" x14ac:dyDescent="0.25">
      <c r="A898" s="509" t="s">
        <v>2544</v>
      </c>
      <c r="B898" s="509" t="s">
        <v>2545</v>
      </c>
      <c r="C898" s="510">
        <v>0</v>
      </c>
      <c r="D898" s="510">
        <v>0</v>
      </c>
      <c r="E898" s="510">
        <v>0</v>
      </c>
      <c r="F898" s="510">
        <v>0</v>
      </c>
      <c r="G898" s="510">
        <v>0</v>
      </c>
    </row>
    <row r="899" spans="1:7" x14ac:dyDescent="0.25">
      <c r="A899" s="509" t="s">
        <v>2546</v>
      </c>
      <c r="B899" s="509" t="s">
        <v>1963</v>
      </c>
      <c r="C899" s="510">
        <v>0</v>
      </c>
      <c r="D899" s="510">
        <v>0</v>
      </c>
      <c r="E899" s="510">
        <v>0</v>
      </c>
      <c r="F899" s="510">
        <v>0</v>
      </c>
      <c r="G899" s="510">
        <v>0</v>
      </c>
    </row>
    <row r="900" spans="1:7" x14ac:dyDescent="0.25">
      <c r="A900" s="509" t="s">
        <v>2547</v>
      </c>
      <c r="B900" s="509" t="s">
        <v>1965</v>
      </c>
      <c r="C900" s="510">
        <v>0</v>
      </c>
      <c r="D900" s="510">
        <v>0</v>
      </c>
      <c r="E900" s="510">
        <v>0</v>
      </c>
      <c r="F900" s="510">
        <v>0</v>
      </c>
      <c r="G900" s="510">
        <v>0</v>
      </c>
    </row>
    <row r="901" spans="1:7" x14ac:dyDescent="0.25">
      <c r="A901" s="509" t="s">
        <v>2548</v>
      </c>
      <c r="B901" s="509" t="s">
        <v>1967</v>
      </c>
      <c r="C901" s="510">
        <v>0</v>
      </c>
      <c r="D901" s="510">
        <v>0</v>
      </c>
      <c r="E901" s="510">
        <v>0</v>
      </c>
      <c r="F901" s="510">
        <v>0</v>
      </c>
      <c r="G901" s="510">
        <v>0</v>
      </c>
    </row>
    <row r="902" spans="1:7" x14ac:dyDescent="0.25">
      <c r="A902" s="509" t="s">
        <v>2549</v>
      </c>
      <c r="B902" s="509" t="s">
        <v>1969</v>
      </c>
      <c r="C902" s="510">
        <v>0</v>
      </c>
      <c r="D902" s="510">
        <v>0</v>
      </c>
      <c r="E902" s="510">
        <v>0</v>
      </c>
      <c r="F902" s="510">
        <v>0</v>
      </c>
      <c r="G902" s="510">
        <v>0</v>
      </c>
    </row>
    <row r="903" spans="1:7" x14ac:dyDescent="0.25">
      <c r="A903" s="509" t="s">
        <v>2550</v>
      </c>
      <c r="B903" s="509" t="s">
        <v>1971</v>
      </c>
      <c r="C903" s="510">
        <v>0</v>
      </c>
      <c r="D903" s="510">
        <v>1695985.6</v>
      </c>
      <c r="E903" s="510">
        <v>3519.63</v>
      </c>
      <c r="F903" s="510">
        <v>0</v>
      </c>
      <c r="G903" s="510">
        <v>1699505.23</v>
      </c>
    </row>
    <row r="904" spans="1:7" x14ac:dyDescent="0.25">
      <c r="A904" s="509" t="s">
        <v>2551</v>
      </c>
      <c r="B904" s="509" t="s">
        <v>1973</v>
      </c>
      <c r="C904" s="510">
        <v>0</v>
      </c>
      <c r="D904" s="510">
        <v>100242.81</v>
      </c>
      <c r="E904" s="510">
        <v>25.27</v>
      </c>
      <c r="F904" s="510">
        <v>0</v>
      </c>
      <c r="G904" s="510">
        <v>100268.08</v>
      </c>
    </row>
    <row r="905" spans="1:7" x14ac:dyDescent="0.25">
      <c r="A905" s="509" t="s">
        <v>2552</v>
      </c>
      <c r="B905" s="509" t="s">
        <v>1975</v>
      </c>
      <c r="C905" s="510">
        <v>0</v>
      </c>
      <c r="D905" s="510">
        <v>0</v>
      </c>
      <c r="E905" s="510">
        <v>0</v>
      </c>
      <c r="F905" s="510">
        <v>0</v>
      </c>
      <c r="G905" s="510">
        <v>0</v>
      </c>
    </row>
    <row r="906" spans="1:7" x14ac:dyDescent="0.25">
      <c r="A906" s="509" t="s">
        <v>2553</v>
      </c>
      <c r="B906" s="509" t="s">
        <v>1977</v>
      </c>
      <c r="C906" s="510">
        <v>0</v>
      </c>
      <c r="D906" s="510">
        <v>0</v>
      </c>
      <c r="E906" s="510">
        <v>0</v>
      </c>
      <c r="F906" s="510">
        <v>0</v>
      </c>
      <c r="G906" s="510">
        <v>0</v>
      </c>
    </row>
    <row r="907" spans="1:7" x14ac:dyDescent="0.25">
      <c r="A907" s="509" t="s">
        <v>2554</v>
      </c>
      <c r="B907" s="509" t="s">
        <v>1979</v>
      </c>
      <c r="C907" s="510">
        <v>0</v>
      </c>
      <c r="D907" s="510">
        <v>1664919.06</v>
      </c>
      <c r="E907" s="510">
        <v>40776.870000000003</v>
      </c>
      <c r="F907" s="510">
        <v>40776.980000000003</v>
      </c>
      <c r="G907" s="510">
        <v>1664918.95</v>
      </c>
    </row>
    <row r="908" spans="1:7" x14ac:dyDescent="0.25">
      <c r="A908" s="509" t="s">
        <v>2555</v>
      </c>
      <c r="B908" s="509" t="s">
        <v>1981</v>
      </c>
      <c r="C908" s="510">
        <v>0</v>
      </c>
      <c r="D908" s="510">
        <v>0</v>
      </c>
      <c r="E908" s="510">
        <v>0</v>
      </c>
      <c r="F908" s="510">
        <v>0</v>
      </c>
      <c r="G908" s="510">
        <v>0</v>
      </c>
    </row>
    <row r="909" spans="1:7" x14ac:dyDescent="0.25">
      <c r="A909" s="509" t="s">
        <v>2556</v>
      </c>
      <c r="B909" s="509" t="s">
        <v>1983</v>
      </c>
      <c r="C909" s="510">
        <v>0</v>
      </c>
      <c r="D909" s="510">
        <v>0</v>
      </c>
      <c r="E909" s="510">
        <v>0</v>
      </c>
      <c r="F909" s="510">
        <v>0</v>
      </c>
      <c r="G909" s="510">
        <v>0</v>
      </c>
    </row>
    <row r="910" spans="1:7" x14ac:dyDescent="0.25">
      <c r="A910" s="509" t="s">
        <v>2557</v>
      </c>
      <c r="B910" s="509" t="s">
        <v>1985</v>
      </c>
      <c r="C910" s="510">
        <v>0</v>
      </c>
      <c r="D910" s="510">
        <v>0</v>
      </c>
      <c r="E910" s="510">
        <v>445228.27</v>
      </c>
      <c r="F910" s="510">
        <v>445228.27</v>
      </c>
      <c r="G910" s="510">
        <v>0</v>
      </c>
    </row>
    <row r="911" spans="1:7" x14ac:dyDescent="0.25">
      <c r="A911" s="509" t="s">
        <v>2558</v>
      </c>
      <c r="B911" s="509" t="s">
        <v>1987</v>
      </c>
      <c r="C911" s="510">
        <v>0</v>
      </c>
      <c r="D911" s="510">
        <v>0</v>
      </c>
      <c r="E911" s="510">
        <v>0</v>
      </c>
      <c r="F911" s="510">
        <v>0</v>
      </c>
      <c r="G911" s="510">
        <v>0</v>
      </c>
    </row>
    <row r="912" spans="1:7" x14ac:dyDescent="0.25">
      <c r="A912" s="509" t="s">
        <v>2559</v>
      </c>
      <c r="B912" s="509" t="s">
        <v>1989</v>
      </c>
      <c r="C912" s="510">
        <v>0</v>
      </c>
      <c r="D912" s="510">
        <v>0</v>
      </c>
      <c r="E912" s="510">
        <v>0</v>
      </c>
      <c r="F912" s="510">
        <v>0</v>
      </c>
      <c r="G912" s="510">
        <v>0</v>
      </c>
    </row>
    <row r="913" spans="1:7" x14ac:dyDescent="0.25">
      <c r="A913" s="509" t="s">
        <v>2560</v>
      </c>
      <c r="B913" s="509" t="s">
        <v>1991</v>
      </c>
      <c r="C913" s="510">
        <v>0</v>
      </c>
      <c r="D913" s="510">
        <v>0</v>
      </c>
      <c r="E913" s="510">
        <v>0</v>
      </c>
      <c r="F913" s="510">
        <v>0</v>
      </c>
      <c r="G913" s="510">
        <v>0</v>
      </c>
    </row>
    <row r="914" spans="1:7" x14ac:dyDescent="0.25">
      <c r="A914" s="509" t="s">
        <v>2561</v>
      </c>
      <c r="B914" s="509" t="s">
        <v>1993</v>
      </c>
      <c r="C914" s="510">
        <v>0</v>
      </c>
      <c r="D914" s="510">
        <v>1.1399999999999999</v>
      </c>
      <c r="E914" s="510">
        <v>65211.8</v>
      </c>
      <c r="F914" s="510">
        <v>65212.5</v>
      </c>
      <c r="G914" s="510">
        <v>0.44</v>
      </c>
    </row>
    <row r="915" spans="1:7" x14ac:dyDescent="0.25">
      <c r="A915" s="509" t="s">
        <v>2562</v>
      </c>
      <c r="B915" s="509" t="s">
        <v>1995</v>
      </c>
      <c r="C915" s="510">
        <v>0</v>
      </c>
      <c r="D915" s="510">
        <v>424757.05</v>
      </c>
      <c r="E915" s="510">
        <v>30.35</v>
      </c>
      <c r="F915" s="510">
        <v>21.04</v>
      </c>
      <c r="G915" s="510">
        <v>424766.36</v>
      </c>
    </row>
    <row r="916" spans="1:7" x14ac:dyDescent="0.25">
      <c r="A916" s="509" t="s">
        <v>2563</v>
      </c>
      <c r="B916" s="509" t="s">
        <v>1997</v>
      </c>
      <c r="C916" s="510">
        <v>0</v>
      </c>
      <c r="D916" s="510">
        <v>0</v>
      </c>
      <c r="E916" s="510">
        <v>0</v>
      </c>
      <c r="F916" s="510">
        <v>0</v>
      </c>
      <c r="G916" s="510">
        <v>0</v>
      </c>
    </row>
    <row r="917" spans="1:7" x14ac:dyDescent="0.25">
      <c r="A917" s="509" t="s">
        <v>2564</v>
      </c>
      <c r="B917" s="509" t="s">
        <v>1999</v>
      </c>
      <c r="C917" s="510">
        <v>0</v>
      </c>
      <c r="D917" s="510">
        <v>0</v>
      </c>
      <c r="E917" s="510">
        <v>0</v>
      </c>
      <c r="F917" s="510">
        <v>0</v>
      </c>
      <c r="G917" s="510">
        <v>0</v>
      </c>
    </row>
    <row r="918" spans="1:7" x14ac:dyDescent="0.25">
      <c r="A918" s="509" t="s">
        <v>2565</v>
      </c>
      <c r="B918" s="509" t="s">
        <v>2371</v>
      </c>
      <c r="C918" s="510">
        <v>0</v>
      </c>
      <c r="D918" s="510">
        <v>0</v>
      </c>
      <c r="E918" s="510">
        <v>0</v>
      </c>
      <c r="F918" s="510">
        <v>0</v>
      </c>
      <c r="G918" s="510">
        <v>0</v>
      </c>
    </row>
    <row r="919" spans="1:7" x14ac:dyDescent="0.25">
      <c r="A919" s="509" t="s">
        <v>2566</v>
      </c>
      <c r="B919" s="509" t="s">
        <v>2003</v>
      </c>
      <c r="C919" s="510">
        <v>0</v>
      </c>
      <c r="D919" s="510">
        <v>0</v>
      </c>
      <c r="E919" s="510">
        <v>0</v>
      </c>
      <c r="F919" s="510">
        <v>0</v>
      </c>
      <c r="G919" s="510">
        <v>0</v>
      </c>
    </row>
    <row r="920" spans="1:7" x14ac:dyDescent="0.25">
      <c r="A920" s="509" t="s">
        <v>1823</v>
      </c>
      <c r="B920" s="509" t="s">
        <v>2004</v>
      </c>
      <c r="C920" s="510">
        <v>0</v>
      </c>
      <c r="D920" s="510">
        <v>143951.67000000001</v>
      </c>
      <c r="E920" s="510">
        <v>123.35</v>
      </c>
      <c r="F920" s="510">
        <v>112153.53</v>
      </c>
      <c r="G920" s="510">
        <v>31921.49</v>
      </c>
    </row>
    <row r="921" spans="1:7" x14ac:dyDescent="0.25">
      <c r="A921" s="509" t="s">
        <v>1825</v>
      </c>
      <c r="B921" s="509" t="s">
        <v>2005</v>
      </c>
      <c r="C921" s="510">
        <v>0</v>
      </c>
      <c r="D921" s="510">
        <v>1273436.98</v>
      </c>
      <c r="E921" s="510">
        <v>113676.04</v>
      </c>
      <c r="F921" s="510">
        <v>0</v>
      </c>
      <c r="G921" s="510">
        <v>1387113.02</v>
      </c>
    </row>
    <row r="922" spans="1:7" x14ac:dyDescent="0.25">
      <c r="A922" s="509" t="s">
        <v>1827</v>
      </c>
      <c r="B922" s="509" t="s">
        <v>2006</v>
      </c>
      <c r="C922" s="510">
        <v>0</v>
      </c>
      <c r="D922" s="510">
        <v>1420274.51</v>
      </c>
      <c r="E922" s="510">
        <v>1649.2</v>
      </c>
      <c r="F922" s="510">
        <v>0</v>
      </c>
      <c r="G922" s="510">
        <v>1421923.71</v>
      </c>
    </row>
    <row r="923" spans="1:7" x14ac:dyDescent="0.25">
      <c r="A923" s="509" t="s">
        <v>2567</v>
      </c>
      <c r="B923" s="509" t="s">
        <v>2008</v>
      </c>
      <c r="C923" s="510">
        <v>0</v>
      </c>
      <c r="D923" s="510">
        <v>1522723.12</v>
      </c>
      <c r="E923" s="510">
        <v>0</v>
      </c>
      <c r="F923" s="510">
        <v>0</v>
      </c>
      <c r="G923" s="510">
        <v>1522723.12</v>
      </c>
    </row>
    <row r="924" spans="1:7" x14ac:dyDescent="0.25">
      <c r="A924" s="509" t="s">
        <v>2568</v>
      </c>
      <c r="B924" s="509" t="s">
        <v>2010</v>
      </c>
      <c r="C924" s="510">
        <v>0</v>
      </c>
      <c r="D924" s="510">
        <v>0</v>
      </c>
      <c r="E924" s="510">
        <v>0</v>
      </c>
      <c r="F924" s="510">
        <v>0</v>
      </c>
      <c r="G924" s="510">
        <v>0</v>
      </c>
    </row>
    <row r="925" spans="1:7" x14ac:dyDescent="0.25">
      <c r="A925" s="509" t="s">
        <v>2569</v>
      </c>
      <c r="B925" s="509" t="s">
        <v>2012</v>
      </c>
      <c r="C925" s="510">
        <v>0</v>
      </c>
      <c r="D925" s="510">
        <v>10839.9</v>
      </c>
      <c r="E925" s="510">
        <v>1198.08</v>
      </c>
      <c r="F925" s="510">
        <v>0</v>
      </c>
      <c r="G925" s="510">
        <v>12037.98</v>
      </c>
    </row>
    <row r="926" spans="1:7" x14ac:dyDescent="0.25">
      <c r="A926" s="509" t="s">
        <v>2570</v>
      </c>
      <c r="B926" s="509" t="s">
        <v>2016</v>
      </c>
      <c r="C926" s="510">
        <v>0</v>
      </c>
      <c r="D926" s="510">
        <v>75477.350000000006</v>
      </c>
      <c r="E926" s="510">
        <v>0</v>
      </c>
      <c r="F926" s="510">
        <v>0</v>
      </c>
      <c r="G926" s="510">
        <v>75477.350000000006</v>
      </c>
    </row>
    <row r="927" spans="1:7" x14ac:dyDescent="0.25">
      <c r="A927" s="509" t="s">
        <v>2571</v>
      </c>
      <c r="B927" s="509" t="s">
        <v>2018</v>
      </c>
      <c r="C927" s="510">
        <v>0</v>
      </c>
      <c r="D927" s="510">
        <v>8476.09</v>
      </c>
      <c r="E927" s="510">
        <v>3550.32</v>
      </c>
      <c r="F927" s="510">
        <v>10206.06</v>
      </c>
      <c r="G927" s="510">
        <v>1820.35</v>
      </c>
    </row>
    <row r="928" spans="1:7" x14ac:dyDescent="0.25">
      <c r="A928" s="509" t="s">
        <v>2572</v>
      </c>
      <c r="B928" s="509" t="s">
        <v>2020</v>
      </c>
      <c r="C928" s="510">
        <v>0</v>
      </c>
      <c r="D928" s="510">
        <v>0</v>
      </c>
      <c r="E928" s="510">
        <v>0</v>
      </c>
      <c r="F928" s="510">
        <v>0</v>
      </c>
      <c r="G928" s="510">
        <v>0</v>
      </c>
    </row>
    <row r="929" spans="1:7" x14ac:dyDescent="0.25">
      <c r="A929" s="509" t="s">
        <v>2573</v>
      </c>
      <c r="B929" s="509" t="s">
        <v>2022</v>
      </c>
      <c r="C929" s="510">
        <v>0</v>
      </c>
      <c r="D929" s="510">
        <v>12897.6</v>
      </c>
      <c r="E929" s="510">
        <v>50980.800000000003</v>
      </c>
      <c r="F929" s="510">
        <v>25642.799999999999</v>
      </c>
      <c r="G929" s="510">
        <v>38235.599999999999</v>
      </c>
    </row>
    <row r="930" spans="1:7" x14ac:dyDescent="0.25">
      <c r="A930" s="509" t="s">
        <v>2574</v>
      </c>
      <c r="B930" s="509" t="s">
        <v>2024</v>
      </c>
      <c r="C930" s="510">
        <v>0</v>
      </c>
      <c r="D930" s="510">
        <v>11995.41</v>
      </c>
      <c r="E930" s="510">
        <v>0</v>
      </c>
      <c r="F930" s="510">
        <v>7996.98</v>
      </c>
      <c r="G930" s="510">
        <v>3998.43</v>
      </c>
    </row>
    <row r="931" spans="1:7" x14ac:dyDescent="0.25">
      <c r="A931" s="509" t="s">
        <v>2575</v>
      </c>
      <c r="B931" s="509" t="s">
        <v>2026</v>
      </c>
      <c r="C931" s="510">
        <v>0</v>
      </c>
      <c r="D931" s="510">
        <v>2174.2600000000002</v>
      </c>
      <c r="E931" s="510">
        <v>0</v>
      </c>
      <c r="F931" s="510">
        <v>1449.48</v>
      </c>
      <c r="G931" s="510">
        <v>724.78</v>
      </c>
    </row>
    <row r="932" spans="1:7" x14ac:dyDescent="0.25">
      <c r="A932" s="509" t="s">
        <v>2576</v>
      </c>
      <c r="B932" s="509" t="s">
        <v>2028</v>
      </c>
      <c r="C932" s="510">
        <v>0</v>
      </c>
      <c r="D932" s="510">
        <v>0</v>
      </c>
      <c r="E932" s="510">
        <v>0</v>
      </c>
      <c r="F932" s="510">
        <v>0</v>
      </c>
      <c r="G932" s="510">
        <v>0</v>
      </c>
    </row>
    <row r="933" spans="1:7" x14ac:dyDescent="0.25">
      <c r="A933" s="509" t="s">
        <v>2577</v>
      </c>
      <c r="B933" s="509" t="s">
        <v>2030</v>
      </c>
      <c r="C933" s="510">
        <v>0</v>
      </c>
      <c r="D933" s="510">
        <v>0</v>
      </c>
      <c r="E933" s="510">
        <v>0</v>
      </c>
      <c r="F933" s="510">
        <v>0</v>
      </c>
      <c r="G933" s="510">
        <v>0</v>
      </c>
    </row>
    <row r="934" spans="1:7" x14ac:dyDescent="0.25">
      <c r="A934" s="509" t="s">
        <v>2578</v>
      </c>
      <c r="B934" s="509" t="s">
        <v>2032</v>
      </c>
      <c r="C934" s="510">
        <v>0</v>
      </c>
      <c r="D934" s="510">
        <v>17098.32</v>
      </c>
      <c r="E934" s="510">
        <v>10316.219999999999</v>
      </c>
      <c r="F934" s="510">
        <v>22256.400000000001</v>
      </c>
      <c r="G934" s="510">
        <v>5158.1400000000003</v>
      </c>
    </row>
    <row r="935" spans="1:7" x14ac:dyDescent="0.25">
      <c r="A935" s="509" t="s">
        <v>2579</v>
      </c>
      <c r="B935" s="509" t="s">
        <v>2034</v>
      </c>
      <c r="C935" s="510">
        <v>0</v>
      </c>
      <c r="D935" s="510">
        <v>612893.06999999995</v>
      </c>
      <c r="E935" s="510">
        <v>2430236.16</v>
      </c>
      <c r="F935" s="510">
        <v>2455824.67</v>
      </c>
      <c r="G935" s="510">
        <v>587304.56000000006</v>
      </c>
    </row>
    <row r="936" spans="1:7" x14ac:dyDescent="0.25">
      <c r="A936" s="509" t="s">
        <v>2580</v>
      </c>
      <c r="B936" s="509" t="s">
        <v>2036</v>
      </c>
      <c r="C936" s="510">
        <v>0</v>
      </c>
      <c r="D936" s="510">
        <v>-78969.25</v>
      </c>
      <c r="E936" s="510">
        <v>0</v>
      </c>
      <c r="F936" s="510">
        <v>0</v>
      </c>
      <c r="G936" s="510">
        <v>-78969.25</v>
      </c>
    </row>
    <row r="937" spans="1:7" x14ac:dyDescent="0.25">
      <c r="A937" s="509" t="s">
        <v>2581</v>
      </c>
      <c r="B937" s="509" t="s">
        <v>2038</v>
      </c>
      <c r="C937" s="510">
        <v>0</v>
      </c>
      <c r="D937" s="510">
        <v>0</v>
      </c>
      <c r="E937" s="510">
        <v>0</v>
      </c>
      <c r="F937" s="510">
        <v>0</v>
      </c>
      <c r="G937" s="510">
        <v>0</v>
      </c>
    </row>
    <row r="938" spans="1:7" x14ac:dyDescent="0.25">
      <c r="A938" s="509" t="s">
        <v>2582</v>
      </c>
      <c r="B938" s="509" t="s">
        <v>2040</v>
      </c>
      <c r="C938" s="510">
        <v>0</v>
      </c>
      <c r="D938" s="510">
        <v>99160.97</v>
      </c>
      <c r="E938" s="510">
        <v>319622.15999999997</v>
      </c>
      <c r="F938" s="510">
        <v>1095854.94</v>
      </c>
      <c r="G938" s="510">
        <v>-677071.81</v>
      </c>
    </row>
    <row r="939" spans="1:7" x14ac:dyDescent="0.25">
      <c r="A939" s="509" t="s">
        <v>2583</v>
      </c>
      <c r="B939" s="509" t="s">
        <v>2042</v>
      </c>
      <c r="C939" s="510">
        <v>0</v>
      </c>
      <c r="D939" s="510">
        <v>0</v>
      </c>
      <c r="E939" s="510">
        <v>0</v>
      </c>
      <c r="F939" s="510">
        <v>0</v>
      </c>
      <c r="G939" s="510">
        <v>0</v>
      </c>
    </row>
    <row r="940" spans="1:7" x14ac:dyDescent="0.25">
      <c r="A940" s="509" t="s">
        <v>2584</v>
      </c>
      <c r="B940" s="509" t="s">
        <v>2048</v>
      </c>
      <c r="C940" s="510">
        <v>0</v>
      </c>
      <c r="D940" s="510">
        <v>0</v>
      </c>
      <c r="E940" s="510">
        <v>0</v>
      </c>
      <c r="F940" s="510">
        <v>0</v>
      </c>
      <c r="G940" s="510">
        <v>0</v>
      </c>
    </row>
    <row r="941" spans="1:7" x14ac:dyDescent="0.25">
      <c r="A941" s="509" t="s">
        <v>2585</v>
      </c>
      <c r="B941" s="509" t="s">
        <v>2050</v>
      </c>
      <c r="C941" s="510">
        <v>0</v>
      </c>
      <c r="D941" s="510">
        <v>0</v>
      </c>
      <c r="E941" s="510">
        <v>0</v>
      </c>
      <c r="F941" s="510">
        <v>0</v>
      </c>
      <c r="G941" s="510">
        <v>0</v>
      </c>
    </row>
    <row r="942" spans="1:7" x14ac:dyDescent="0.25">
      <c r="A942" s="509" t="s">
        <v>1614</v>
      </c>
      <c r="B942" s="509" t="s">
        <v>1468</v>
      </c>
      <c r="C942" s="510">
        <v>0</v>
      </c>
      <c r="D942" s="510">
        <v>0</v>
      </c>
      <c r="E942" s="510">
        <v>0</v>
      </c>
      <c r="F942" s="510">
        <v>0</v>
      </c>
      <c r="G942" s="510">
        <v>0</v>
      </c>
    </row>
    <row r="943" spans="1:7" x14ac:dyDescent="0.25">
      <c r="A943" s="509" t="s">
        <v>1615</v>
      </c>
      <c r="B943" s="509" t="s">
        <v>1470</v>
      </c>
      <c r="C943" s="510">
        <v>0</v>
      </c>
      <c r="D943" s="510">
        <v>561541.1</v>
      </c>
      <c r="E943" s="510">
        <v>0</v>
      </c>
      <c r="F943" s="510">
        <v>0</v>
      </c>
      <c r="G943" s="510">
        <v>561541.1</v>
      </c>
    </row>
    <row r="944" spans="1:7" x14ac:dyDescent="0.25">
      <c r="A944" s="509" t="s">
        <v>1616</v>
      </c>
      <c r="B944" s="509" t="s">
        <v>1472</v>
      </c>
      <c r="C944" s="510">
        <v>0</v>
      </c>
      <c r="D944" s="510">
        <v>107383.8</v>
      </c>
      <c r="E944" s="510">
        <v>0</v>
      </c>
      <c r="F944" s="510">
        <v>0</v>
      </c>
      <c r="G944" s="510">
        <v>107383.8</v>
      </c>
    </row>
    <row r="945" spans="1:7" x14ac:dyDescent="0.25">
      <c r="A945" s="509" t="s">
        <v>1617</v>
      </c>
      <c r="B945" s="509" t="s">
        <v>1474</v>
      </c>
      <c r="C945" s="510">
        <v>0</v>
      </c>
      <c r="D945" s="510">
        <v>57450000</v>
      </c>
      <c r="E945" s="510">
        <v>0</v>
      </c>
      <c r="F945" s="510">
        <v>0</v>
      </c>
      <c r="G945" s="510">
        <v>57450000</v>
      </c>
    </row>
    <row r="946" spans="1:7" x14ac:dyDescent="0.25">
      <c r="A946" s="509" t="s">
        <v>1618</v>
      </c>
      <c r="B946" s="509" t="s">
        <v>1476</v>
      </c>
      <c r="C946" s="510">
        <v>0</v>
      </c>
      <c r="D946" s="510">
        <v>14100000</v>
      </c>
      <c r="E946" s="510">
        <v>0</v>
      </c>
      <c r="F946" s="510">
        <v>0</v>
      </c>
      <c r="G946" s="510">
        <v>14100000</v>
      </c>
    </row>
    <row r="947" spans="1:7" x14ac:dyDescent="0.25">
      <c r="A947" s="509" t="s">
        <v>1619</v>
      </c>
      <c r="B947" s="509" t="s">
        <v>1478</v>
      </c>
      <c r="C947" s="510">
        <v>0</v>
      </c>
      <c r="D947" s="510">
        <v>3675893</v>
      </c>
      <c r="E947" s="510">
        <v>0</v>
      </c>
      <c r="F947" s="510">
        <v>0</v>
      </c>
      <c r="G947" s="510">
        <v>3675893</v>
      </c>
    </row>
    <row r="948" spans="1:7" x14ac:dyDescent="0.25">
      <c r="A948" s="509" t="s">
        <v>1620</v>
      </c>
      <c r="B948" s="509" t="s">
        <v>1482</v>
      </c>
      <c r="C948" s="510">
        <v>0</v>
      </c>
      <c r="D948" s="510">
        <v>0</v>
      </c>
      <c r="E948" s="510">
        <v>0</v>
      </c>
      <c r="F948" s="510">
        <v>0</v>
      </c>
      <c r="G948" s="510">
        <v>0</v>
      </c>
    </row>
    <row r="949" spans="1:7" x14ac:dyDescent="0.25">
      <c r="A949" s="509" t="s">
        <v>1621</v>
      </c>
      <c r="B949" s="509" t="s">
        <v>1484</v>
      </c>
      <c r="C949" s="510">
        <v>0</v>
      </c>
      <c r="D949" s="510">
        <v>28155.51</v>
      </c>
      <c r="E949" s="510">
        <v>0</v>
      </c>
      <c r="F949" s="510">
        <v>0</v>
      </c>
      <c r="G949" s="510">
        <v>28155.51</v>
      </c>
    </row>
    <row r="950" spans="1:7" x14ac:dyDescent="0.25">
      <c r="A950" s="509" t="s">
        <v>2586</v>
      </c>
      <c r="B950" s="509" t="s">
        <v>2052</v>
      </c>
      <c r="C950" s="510">
        <v>0</v>
      </c>
      <c r="D950" s="510">
        <v>0</v>
      </c>
      <c r="E950" s="510">
        <v>0</v>
      </c>
      <c r="F950" s="510">
        <v>0</v>
      </c>
      <c r="G950" s="510">
        <v>0</v>
      </c>
    </row>
    <row r="951" spans="1:7" x14ac:dyDescent="0.25">
      <c r="A951" s="509" t="s">
        <v>1622</v>
      </c>
      <c r="B951" s="509" t="s">
        <v>1486</v>
      </c>
      <c r="C951" s="510">
        <v>0</v>
      </c>
      <c r="D951" s="510">
        <v>101865.04</v>
      </c>
      <c r="E951" s="510">
        <v>5372.31</v>
      </c>
      <c r="F951" s="510">
        <v>0</v>
      </c>
      <c r="G951" s="510">
        <v>107237.35</v>
      </c>
    </row>
    <row r="952" spans="1:7" x14ac:dyDescent="0.25">
      <c r="A952" s="509" t="s">
        <v>1623</v>
      </c>
      <c r="B952" s="509" t="s">
        <v>1488</v>
      </c>
      <c r="C952" s="510">
        <v>0</v>
      </c>
      <c r="D952" s="510">
        <v>7974.62</v>
      </c>
      <c r="E952" s="510">
        <v>0</v>
      </c>
      <c r="F952" s="510">
        <v>0</v>
      </c>
      <c r="G952" s="510">
        <v>7974.62</v>
      </c>
    </row>
    <row r="953" spans="1:7" x14ac:dyDescent="0.25">
      <c r="A953" s="509" t="s">
        <v>1624</v>
      </c>
      <c r="B953" s="509" t="s">
        <v>1625</v>
      </c>
      <c r="C953" s="510">
        <v>0</v>
      </c>
      <c r="D953" s="510">
        <v>13599.52</v>
      </c>
      <c r="E953" s="510">
        <v>0</v>
      </c>
      <c r="F953" s="510">
        <v>0</v>
      </c>
      <c r="G953" s="510">
        <v>13599.52</v>
      </c>
    </row>
    <row r="954" spans="1:7" x14ac:dyDescent="0.25">
      <c r="A954" s="509" t="s">
        <v>1626</v>
      </c>
      <c r="B954" s="509" t="s">
        <v>84</v>
      </c>
      <c r="C954" s="510">
        <v>0</v>
      </c>
      <c r="D954" s="510">
        <v>253761.74</v>
      </c>
      <c r="E954" s="510">
        <v>0</v>
      </c>
      <c r="F954" s="510">
        <v>0</v>
      </c>
      <c r="G954" s="510">
        <v>253761.74</v>
      </c>
    </row>
    <row r="955" spans="1:7" x14ac:dyDescent="0.25">
      <c r="A955" s="509" t="s">
        <v>1627</v>
      </c>
      <c r="B955" s="509" t="s">
        <v>1491</v>
      </c>
      <c r="C955" s="510">
        <v>0</v>
      </c>
      <c r="D955" s="510">
        <v>1669865.01</v>
      </c>
      <c r="E955" s="510">
        <v>0</v>
      </c>
      <c r="F955" s="510">
        <v>0</v>
      </c>
      <c r="G955" s="510">
        <v>1669865.01</v>
      </c>
    </row>
    <row r="956" spans="1:7" x14ac:dyDescent="0.25">
      <c r="A956" s="509" t="s">
        <v>1628</v>
      </c>
      <c r="B956" s="509" t="s">
        <v>1493</v>
      </c>
      <c r="C956" s="510">
        <v>0</v>
      </c>
      <c r="D956" s="510">
        <v>232986.95</v>
      </c>
      <c r="E956" s="510">
        <v>10606.91</v>
      </c>
      <c r="F956" s="510">
        <v>0</v>
      </c>
      <c r="G956" s="510">
        <v>243593.86</v>
      </c>
    </row>
    <row r="957" spans="1:7" x14ac:dyDescent="0.25">
      <c r="A957" s="509" t="s">
        <v>1629</v>
      </c>
      <c r="B957" s="509" t="s">
        <v>1495</v>
      </c>
      <c r="C957" s="510">
        <v>0</v>
      </c>
      <c r="D957" s="510">
        <v>0</v>
      </c>
      <c r="E957" s="510">
        <v>0</v>
      </c>
      <c r="F957" s="510">
        <v>0</v>
      </c>
      <c r="G957" s="510">
        <v>0</v>
      </c>
    </row>
    <row r="958" spans="1:7" x14ac:dyDescent="0.25">
      <c r="A958" s="509" t="s">
        <v>1630</v>
      </c>
      <c r="B958" s="509" t="s">
        <v>1497</v>
      </c>
      <c r="C958" s="510">
        <v>0</v>
      </c>
      <c r="D958" s="510">
        <v>135321.18</v>
      </c>
      <c r="E958" s="510">
        <v>0</v>
      </c>
      <c r="F958" s="510">
        <v>0</v>
      </c>
      <c r="G958" s="510">
        <v>135321.18</v>
      </c>
    </row>
    <row r="959" spans="1:7" x14ac:dyDescent="0.25">
      <c r="A959" s="509" t="s">
        <v>1631</v>
      </c>
      <c r="B959" s="509" t="s">
        <v>1499</v>
      </c>
      <c r="C959" s="510">
        <v>0</v>
      </c>
      <c r="D959" s="510">
        <v>8798157.1699999999</v>
      </c>
      <c r="E959" s="510">
        <v>0</v>
      </c>
      <c r="F959" s="510">
        <v>0</v>
      </c>
      <c r="G959" s="510">
        <v>8798157.1699999999</v>
      </c>
    </row>
    <row r="960" spans="1:7" x14ac:dyDescent="0.25">
      <c r="A960" s="509" t="s">
        <v>2587</v>
      </c>
      <c r="B960" s="509" t="s">
        <v>2054</v>
      </c>
      <c r="C960" s="510">
        <v>0</v>
      </c>
      <c r="D960" s="510">
        <v>0</v>
      </c>
      <c r="E960" s="510">
        <v>0</v>
      </c>
      <c r="F960" s="510">
        <v>0</v>
      </c>
      <c r="G960" s="510">
        <v>0</v>
      </c>
    </row>
    <row r="961" spans="1:7" x14ac:dyDescent="0.25">
      <c r="A961" s="509" t="s">
        <v>2588</v>
      </c>
      <c r="B961" s="509" t="s">
        <v>846</v>
      </c>
      <c r="C961" s="510">
        <v>0</v>
      </c>
      <c r="D961" s="510">
        <v>0</v>
      </c>
      <c r="E961" s="510">
        <v>0</v>
      </c>
      <c r="F961" s="510">
        <v>0</v>
      </c>
      <c r="G961" s="510">
        <v>0</v>
      </c>
    </row>
    <row r="962" spans="1:7" x14ac:dyDescent="0.25">
      <c r="A962" s="509" t="s">
        <v>2589</v>
      </c>
      <c r="B962" s="509" t="s">
        <v>2057</v>
      </c>
      <c r="C962" s="510">
        <v>0</v>
      </c>
      <c r="D962" s="510">
        <v>0</v>
      </c>
      <c r="E962" s="510">
        <v>0</v>
      </c>
      <c r="F962" s="510">
        <v>0</v>
      </c>
      <c r="G962" s="510">
        <v>0</v>
      </c>
    </row>
    <row r="963" spans="1:7" x14ac:dyDescent="0.25">
      <c r="A963" s="509" t="s">
        <v>1632</v>
      </c>
      <c r="B963" s="509" t="s">
        <v>1521</v>
      </c>
      <c r="C963" s="510">
        <v>0</v>
      </c>
      <c r="D963" s="510">
        <v>0</v>
      </c>
      <c r="E963" s="510">
        <v>0</v>
      </c>
      <c r="F963" s="510">
        <v>0</v>
      </c>
      <c r="G963" s="510">
        <v>0</v>
      </c>
    </row>
    <row r="964" spans="1:7" x14ac:dyDescent="0.25">
      <c r="A964" s="509" t="s">
        <v>1633</v>
      </c>
      <c r="B964" s="509" t="s">
        <v>1634</v>
      </c>
      <c r="C964" s="510">
        <v>0</v>
      </c>
      <c r="D964" s="510">
        <v>551703.42000000004</v>
      </c>
      <c r="E964" s="510">
        <v>0</v>
      </c>
      <c r="F964" s="510">
        <v>0</v>
      </c>
      <c r="G964" s="510">
        <v>551703.42000000004</v>
      </c>
    </row>
    <row r="965" spans="1:7" x14ac:dyDescent="0.25">
      <c r="A965" s="509" t="s">
        <v>1635</v>
      </c>
      <c r="B965" s="509" t="s">
        <v>1523</v>
      </c>
      <c r="C965" s="510">
        <v>0</v>
      </c>
      <c r="D965" s="510">
        <v>37542.269999999997</v>
      </c>
      <c r="E965" s="510">
        <v>0</v>
      </c>
      <c r="F965" s="510">
        <v>0</v>
      </c>
      <c r="G965" s="510">
        <v>37542.269999999997</v>
      </c>
    </row>
    <row r="966" spans="1:7" x14ac:dyDescent="0.25">
      <c r="A966" s="509" t="s">
        <v>1636</v>
      </c>
      <c r="B966" s="509" t="s">
        <v>1637</v>
      </c>
      <c r="C966" s="510">
        <v>0</v>
      </c>
      <c r="D966" s="510">
        <v>0</v>
      </c>
      <c r="E966" s="510">
        <v>0</v>
      </c>
      <c r="F966" s="510">
        <v>0</v>
      </c>
      <c r="G966" s="510">
        <v>0</v>
      </c>
    </row>
    <row r="967" spans="1:7" x14ac:dyDescent="0.25">
      <c r="A967" s="509" t="s">
        <v>1638</v>
      </c>
      <c r="B967" s="509" t="s">
        <v>1639</v>
      </c>
      <c r="C967" s="510">
        <v>0</v>
      </c>
      <c r="D967" s="510">
        <v>216830.94</v>
      </c>
      <c r="E967" s="510">
        <v>0</v>
      </c>
      <c r="F967" s="510">
        <v>0</v>
      </c>
      <c r="G967" s="510">
        <v>216830.94</v>
      </c>
    </row>
    <row r="968" spans="1:7" x14ac:dyDescent="0.25">
      <c r="A968" s="509" t="s">
        <v>1640</v>
      </c>
      <c r="B968" s="509" t="s">
        <v>1641</v>
      </c>
      <c r="C968" s="510">
        <v>0</v>
      </c>
      <c r="D968" s="510">
        <v>713498.5</v>
      </c>
      <c r="E968" s="510">
        <v>0</v>
      </c>
      <c r="F968" s="510">
        <v>0</v>
      </c>
      <c r="G968" s="510">
        <v>713498.5</v>
      </c>
    </row>
    <row r="969" spans="1:7" x14ac:dyDescent="0.25">
      <c r="A969" s="509" t="s">
        <v>1642</v>
      </c>
      <c r="B969" s="509" t="s">
        <v>1643</v>
      </c>
      <c r="C969" s="510">
        <v>0</v>
      </c>
      <c r="D969" s="510">
        <v>574119</v>
      </c>
      <c r="E969" s="510">
        <v>0</v>
      </c>
      <c r="F969" s="510">
        <v>0</v>
      </c>
      <c r="G969" s="510">
        <v>574119</v>
      </c>
    </row>
    <row r="970" spans="1:7" x14ac:dyDescent="0.25">
      <c r="A970" s="509" t="s">
        <v>1644</v>
      </c>
      <c r="B970" s="509" t="s">
        <v>1645</v>
      </c>
      <c r="C970" s="510">
        <v>0</v>
      </c>
      <c r="D970" s="510">
        <v>0</v>
      </c>
      <c r="E970" s="510">
        <v>959975.36</v>
      </c>
      <c r="F970" s="510">
        <v>0</v>
      </c>
      <c r="G970" s="510">
        <v>959975.36</v>
      </c>
    </row>
    <row r="971" spans="1:7" x14ac:dyDescent="0.25">
      <c r="A971" s="509" t="s">
        <v>1646</v>
      </c>
      <c r="B971" s="509" t="s">
        <v>1647</v>
      </c>
      <c r="C971" s="510">
        <v>0</v>
      </c>
      <c r="D971" s="510">
        <v>8010</v>
      </c>
      <c r="E971" s="510">
        <v>0</v>
      </c>
      <c r="F971" s="510">
        <v>0</v>
      </c>
      <c r="G971" s="510">
        <v>8010</v>
      </c>
    </row>
    <row r="972" spans="1:7" x14ac:dyDescent="0.25">
      <c r="A972" s="509" t="s">
        <v>1648</v>
      </c>
      <c r="B972" s="509" t="s">
        <v>1649</v>
      </c>
      <c r="C972" s="510">
        <v>0</v>
      </c>
      <c r="D972" s="510">
        <v>959294.61</v>
      </c>
      <c r="E972" s="510">
        <v>0</v>
      </c>
      <c r="F972" s="510">
        <v>0</v>
      </c>
      <c r="G972" s="510">
        <v>959294.61</v>
      </c>
    </row>
    <row r="973" spans="1:7" x14ac:dyDescent="0.25">
      <c r="A973" s="509" t="s">
        <v>1650</v>
      </c>
      <c r="B973" s="509" t="s">
        <v>1651</v>
      </c>
      <c r="C973" s="510">
        <v>0</v>
      </c>
      <c r="D973" s="510">
        <v>2017087.27</v>
      </c>
      <c r="E973" s="510">
        <v>0</v>
      </c>
      <c r="F973" s="510">
        <v>0</v>
      </c>
      <c r="G973" s="510">
        <v>2017087.27</v>
      </c>
    </row>
    <row r="974" spans="1:7" x14ac:dyDescent="0.25">
      <c r="A974" s="509" t="s">
        <v>1652</v>
      </c>
      <c r="B974" s="509" t="s">
        <v>1525</v>
      </c>
      <c r="C974" s="510">
        <v>0</v>
      </c>
      <c r="D974" s="510">
        <v>0</v>
      </c>
      <c r="E974" s="510">
        <v>0</v>
      </c>
      <c r="F974" s="510">
        <v>0</v>
      </c>
      <c r="G974" s="510">
        <v>0</v>
      </c>
    </row>
    <row r="975" spans="1:7" x14ac:dyDescent="0.25">
      <c r="A975" s="509" t="s">
        <v>1653</v>
      </c>
      <c r="B975" s="509" t="s">
        <v>1654</v>
      </c>
      <c r="C975" s="510">
        <v>0</v>
      </c>
      <c r="D975" s="510">
        <v>3829220.11</v>
      </c>
      <c r="E975" s="510">
        <v>0</v>
      </c>
      <c r="F975" s="510">
        <v>0</v>
      </c>
      <c r="G975" s="510">
        <v>3829220.11</v>
      </c>
    </row>
    <row r="976" spans="1:7" x14ac:dyDescent="0.25">
      <c r="A976" s="509" t="s">
        <v>1655</v>
      </c>
      <c r="B976" s="509" t="s">
        <v>1527</v>
      </c>
      <c r="C976" s="510">
        <v>0</v>
      </c>
      <c r="D976" s="510">
        <v>0</v>
      </c>
      <c r="E976" s="510">
        <v>9264.02</v>
      </c>
      <c r="F976" s="510">
        <v>0</v>
      </c>
      <c r="G976" s="510">
        <v>9264.02</v>
      </c>
    </row>
    <row r="977" spans="1:7" x14ac:dyDescent="0.25">
      <c r="A977" s="509" t="s">
        <v>1656</v>
      </c>
      <c r="B977" s="509" t="s">
        <v>1657</v>
      </c>
      <c r="C977" s="510">
        <v>0</v>
      </c>
      <c r="D977" s="510">
        <v>8052102.5499999998</v>
      </c>
      <c r="E977" s="510">
        <v>0</v>
      </c>
      <c r="F977" s="510">
        <v>0</v>
      </c>
      <c r="G977" s="510">
        <v>8052102.5499999998</v>
      </c>
    </row>
    <row r="978" spans="1:7" x14ac:dyDescent="0.25">
      <c r="A978" s="509" t="s">
        <v>1658</v>
      </c>
      <c r="B978" s="509" t="s">
        <v>1659</v>
      </c>
      <c r="C978" s="510">
        <v>0</v>
      </c>
      <c r="D978" s="510">
        <v>0</v>
      </c>
      <c r="E978" s="510">
        <v>0</v>
      </c>
      <c r="F978" s="510">
        <v>0</v>
      </c>
      <c r="G978" s="510">
        <v>0</v>
      </c>
    </row>
    <row r="979" spans="1:7" x14ac:dyDescent="0.25">
      <c r="A979" s="509" t="s">
        <v>1660</v>
      </c>
      <c r="B979" s="509" t="s">
        <v>1661</v>
      </c>
      <c r="C979" s="510">
        <v>0</v>
      </c>
      <c r="D979" s="510">
        <v>0</v>
      </c>
      <c r="E979" s="510">
        <v>0</v>
      </c>
      <c r="F979" s="510">
        <v>0</v>
      </c>
      <c r="G979" s="510">
        <v>0</v>
      </c>
    </row>
    <row r="980" spans="1:7" x14ac:dyDescent="0.25">
      <c r="A980" s="509" t="s">
        <v>1662</v>
      </c>
      <c r="B980" s="509" t="s">
        <v>1663</v>
      </c>
      <c r="C980" s="510">
        <v>0</v>
      </c>
      <c r="D980" s="510">
        <v>0</v>
      </c>
      <c r="E980" s="510">
        <v>0</v>
      </c>
      <c r="F980" s="510">
        <v>0</v>
      </c>
      <c r="G980" s="510">
        <v>0</v>
      </c>
    </row>
    <row r="981" spans="1:7" x14ac:dyDescent="0.25">
      <c r="A981" s="509" t="s">
        <v>1664</v>
      </c>
      <c r="B981" s="509" t="s">
        <v>1665</v>
      </c>
      <c r="C981" s="510">
        <v>0</v>
      </c>
      <c r="D981" s="510">
        <v>0</v>
      </c>
      <c r="E981" s="510">
        <v>0</v>
      </c>
      <c r="F981" s="510">
        <v>0</v>
      </c>
      <c r="G981" s="510">
        <v>0</v>
      </c>
    </row>
    <row r="982" spans="1:7" x14ac:dyDescent="0.25">
      <c r="A982" s="509" t="s">
        <v>1666</v>
      </c>
      <c r="B982" s="509" t="s">
        <v>1667</v>
      </c>
      <c r="C982" s="510">
        <v>0</v>
      </c>
      <c r="D982" s="510">
        <v>0</v>
      </c>
      <c r="E982" s="510">
        <v>0</v>
      </c>
      <c r="F982" s="510">
        <v>0</v>
      </c>
      <c r="G982" s="510">
        <v>0</v>
      </c>
    </row>
    <row r="983" spans="1:7" x14ac:dyDescent="0.25">
      <c r="A983" s="509" t="s">
        <v>1668</v>
      </c>
      <c r="B983" s="509" t="s">
        <v>1669</v>
      </c>
      <c r="C983" s="510">
        <v>0</v>
      </c>
      <c r="D983" s="510">
        <v>116135.29</v>
      </c>
      <c r="E983" s="510">
        <v>0</v>
      </c>
      <c r="F983" s="510">
        <v>0</v>
      </c>
      <c r="G983" s="510">
        <v>116135.29</v>
      </c>
    </row>
    <row r="984" spans="1:7" x14ac:dyDescent="0.25">
      <c r="A984" s="509" t="s">
        <v>3456</v>
      </c>
      <c r="B984" s="509" t="s">
        <v>3457</v>
      </c>
      <c r="C984" s="510">
        <v>0</v>
      </c>
      <c r="D984" s="510">
        <v>0</v>
      </c>
      <c r="E984" s="510">
        <v>0</v>
      </c>
      <c r="F984" s="510">
        <v>0</v>
      </c>
      <c r="G984" s="510">
        <v>0</v>
      </c>
    </row>
    <row r="985" spans="1:7" x14ac:dyDescent="0.25">
      <c r="A985" s="509" t="s">
        <v>1670</v>
      </c>
      <c r="B985" s="509" t="s">
        <v>1671</v>
      </c>
      <c r="C985" s="510">
        <v>0</v>
      </c>
      <c r="D985" s="510">
        <v>327542.82</v>
      </c>
      <c r="E985" s="510">
        <v>0</v>
      </c>
      <c r="F985" s="510">
        <v>0</v>
      </c>
      <c r="G985" s="510">
        <v>327542.82</v>
      </c>
    </row>
    <row r="986" spans="1:7" x14ac:dyDescent="0.25">
      <c r="A986" s="509" t="s">
        <v>1672</v>
      </c>
      <c r="B986" s="509" t="s">
        <v>1673</v>
      </c>
      <c r="C986" s="510">
        <v>0</v>
      </c>
      <c r="D986" s="510">
        <v>28149.45</v>
      </c>
      <c r="E986" s="510">
        <v>0</v>
      </c>
      <c r="F986" s="510">
        <v>0</v>
      </c>
      <c r="G986" s="510">
        <v>28149.45</v>
      </c>
    </row>
    <row r="987" spans="1:7" x14ac:dyDescent="0.25">
      <c r="A987" s="509" t="s">
        <v>1674</v>
      </c>
      <c r="B987" s="509" t="s">
        <v>1675</v>
      </c>
      <c r="C987" s="510">
        <v>0</v>
      </c>
      <c r="D987" s="510">
        <v>0</v>
      </c>
      <c r="E987" s="510">
        <v>0</v>
      </c>
      <c r="F987" s="510">
        <v>0</v>
      </c>
      <c r="G987" s="510">
        <v>0</v>
      </c>
    </row>
    <row r="988" spans="1:7" x14ac:dyDescent="0.25">
      <c r="A988" s="509" t="s">
        <v>2590</v>
      </c>
      <c r="B988" s="509" t="s">
        <v>2591</v>
      </c>
      <c r="C988" s="510">
        <v>0</v>
      </c>
      <c r="D988" s="510">
        <v>0</v>
      </c>
      <c r="E988" s="510">
        <v>1391.2</v>
      </c>
      <c r="F988" s="510">
        <v>0</v>
      </c>
      <c r="G988" s="510">
        <v>1391.2</v>
      </c>
    </row>
    <row r="989" spans="1:7" x14ac:dyDescent="0.25">
      <c r="A989" s="509" t="s">
        <v>1676</v>
      </c>
      <c r="B989" s="509" t="s">
        <v>1677</v>
      </c>
      <c r="C989" s="510">
        <v>0</v>
      </c>
      <c r="D989" s="510">
        <v>0</v>
      </c>
      <c r="E989" s="510">
        <v>0</v>
      </c>
      <c r="F989" s="510">
        <v>0</v>
      </c>
      <c r="G989" s="510">
        <v>0</v>
      </c>
    </row>
    <row r="990" spans="1:7" x14ac:dyDescent="0.25">
      <c r="A990" s="509" t="s">
        <v>1678</v>
      </c>
      <c r="B990" s="509" t="s">
        <v>1531</v>
      </c>
      <c r="C990" s="510">
        <v>0</v>
      </c>
      <c r="D990" s="510">
        <v>5942.96</v>
      </c>
      <c r="E990" s="510">
        <v>0</v>
      </c>
      <c r="F990" s="510">
        <v>0</v>
      </c>
      <c r="G990" s="510">
        <v>5942.96</v>
      </c>
    </row>
    <row r="991" spans="1:7" x14ac:dyDescent="0.25">
      <c r="A991" s="509" t="s">
        <v>1679</v>
      </c>
      <c r="B991" s="509" t="s">
        <v>1680</v>
      </c>
      <c r="C991" s="510">
        <v>0</v>
      </c>
      <c r="D991" s="510">
        <v>298962.46999999997</v>
      </c>
      <c r="E991" s="510">
        <v>0</v>
      </c>
      <c r="F991" s="510">
        <v>0</v>
      </c>
      <c r="G991" s="510">
        <v>298962.46999999997</v>
      </c>
    </row>
    <row r="992" spans="1:7" x14ac:dyDescent="0.25">
      <c r="A992" s="509" t="s">
        <v>1681</v>
      </c>
      <c r="B992" s="509" t="s">
        <v>1535</v>
      </c>
      <c r="C992" s="510">
        <v>0</v>
      </c>
      <c r="D992" s="510">
        <v>0</v>
      </c>
      <c r="E992" s="510">
        <v>0</v>
      </c>
      <c r="F992" s="510">
        <v>0</v>
      </c>
      <c r="G992" s="510">
        <v>0</v>
      </c>
    </row>
    <row r="993" spans="1:7" x14ac:dyDescent="0.25">
      <c r="A993" s="509" t="s">
        <v>1682</v>
      </c>
      <c r="B993" s="509" t="s">
        <v>1537</v>
      </c>
      <c r="C993" s="510">
        <v>0</v>
      </c>
      <c r="D993" s="510">
        <v>108039.84</v>
      </c>
      <c r="E993" s="510">
        <v>0</v>
      </c>
      <c r="F993" s="510">
        <v>0</v>
      </c>
      <c r="G993" s="510">
        <v>108039.84</v>
      </c>
    </row>
    <row r="994" spans="1:7" x14ac:dyDescent="0.25">
      <c r="A994" s="509" t="s">
        <v>1683</v>
      </c>
      <c r="B994" s="509" t="s">
        <v>1539</v>
      </c>
      <c r="C994" s="510">
        <v>0</v>
      </c>
      <c r="D994" s="510">
        <v>0</v>
      </c>
      <c r="E994" s="510">
        <v>0</v>
      </c>
      <c r="F994" s="510">
        <v>0</v>
      </c>
      <c r="G994" s="510">
        <v>0</v>
      </c>
    </row>
    <row r="995" spans="1:7" x14ac:dyDescent="0.25">
      <c r="A995" s="509" t="s">
        <v>3452</v>
      </c>
      <c r="B995" s="509" t="s">
        <v>3455</v>
      </c>
      <c r="C995" s="510">
        <v>0</v>
      </c>
      <c r="D995" s="510">
        <v>0</v>
      </c>
      <c r="E995" s="510">
        <v>0</v>
      </c>
      <c r="F995" s="510">
        <v>0</v>
      </c>
      <c r="G995" s="510">
        <v>0</v>
      </c>
    </row>
    <row r="996" spans="1:7" x14ac:dyDescent="0.25">
      <c r="A996" s="509" t="s">
        <v>1684</v>
      </c>
      <c r="B996" s="509" t="s">
        <v>1685</v>
      </c>
      <c r="C996" s="510">
        <v>0</v>
      </c>
      <c r="D996" s="510">
        <v>950779.59</v>
      </c>
      <c r="E996" s="510">
        <v>0</v>
      </c>
      <c r="F996" s="510">
        <v>0</v>
      </c>
      <c r="G996" s="510">
        <v>950779.59</v>
      </c>
    </row>
    <row r="997" spans="1:7" x14ac:dyDescent="0.25">
      <c r="A997" s="509" t="s">
        <v>1686</v>
      </c>
      <c r="B997" s="509" t="s">
        <v>1543</v>
      </c>
      <c r="C997" s="510">
        <v>0</v>
      </c>
      <c r="D997" s="510">
        <v>0</v>
      </c>
      <c r="E997" s="510">
        <v>0</v>
      </c>
      <c r="F997" s="510">
        <v>0</v>
      </c>
      <c r="G997" s="510">
        <v>0</v>
      </c>
    </row>
    <row r="998" spans="1:7" x14ac:dyDescent="0.25">
      <c r="A998" s="509" t="s">
        <v>1687</v>
      </c>
      <c r="B998" s="509" t="s">
        <v>1545</v>
      </c>
      <c r="C998" s="510">
        <v>0</v>
      </c>
      <c r="D998" s="510">
        <v>101201.87</v>
      </c>
      <c r="E998" s="510">
        <v>0</v>
      </c>
      <c r="F998" s="510">
        <v>0</v>
      </c>
      <c r="G998" s="510">
        <v>101201.87</v>
      </c>
    </row>
    <row r="999" spans="1:7" x14ac:dyDescent="0.25">
      <c r="A999" s="509" t="s">
        <v>1688</v>
      </c>
      <c r="B999" s="509" t="s">
        <v>1547</v>
      </c>
      <c r="C999" s="510">
        <v>0</v>
      </c>
      <c r="D999" s="510">
        <v>1779033.64</v>
      </c>
      <c r="E999" s="510">
        <v>2250.25</v>
      </c>
      <c r="F999" s="510">
        <v>2250.25</v>
      </c>
      <c r="G999" s="510">
        <v>1779033.64</v>
      </c>
    </row>
    <row r="1000" spans="1:7" x14ac:dyDescent="0.25">
      <c r="A1000" s="509" t="s">
        <v>1689</v>
      </c>
      <c r="B1000" s="509" t="s">
        <v>2060</v>
      </c>
      <c r="C1000" s="510">
        <v>0</v>
      </c>
      <c r="D1000" s="510">
        <v>0</v>
      </c>
      <c r="E1000" s="510">
        <v>27756.36</v>
      </c>
      <c r="F1000" s="510">
        <v>0</v>
      </c>
      <c r="G1000" s="510">
        <v>27756.36</v>
      </c>
    </row>
    <row r="1001" spans="1:7" x14ac:dyDescent="0.25">
      <c r="A1001" s="509" t="s">
        <v>1690</v>
      </c>
      <c r="B1001" s="509" t="s">
        <v>1550</v>
      </c>
      <c r="C1001" s="510">
        <v>0</v>
      </c>
      <c r="D1001" s="510">
        <v>0</v>
      </c>
      <c r="E1001" s="510">
        <v>0</v>
      </c>
      <c r="F1001" s="510">
        <v>0</v>
      </c>
      <c r="G1001" s="510">
        <v>0</v>
      </c>
    </row>
    <row r="1002" spans="1:7" x14ac:dyDescent="0.25">
      <c r="A1002" s="509" t="s">
        <v>1691</v>
      </c>
      <c r="B1002" s="509" t="s">
        <v>1552</v>
      </c>
      <c r="C1002" s="510">
        <v>0</v>
      </c>
      <c r="D1002" s="510">
        <v>0</v>
      </c>
      <c r="E1002" s="510">
        <v>0</v>
      </c>
      <c r="F1002" s="510">
        <v>0</v>
      </c>
      <c r="G1002" s="510">
        <v>0</v>
      </c>
    </row>
    <row r="1003" spans="1:7" x14ac:dyDescent="0.25">
      <c r="A1003" s="509" t="s">
        <v>1692</v>
      </c>
      <c r="B1003" s="509" t="s">
        <v>1556</v>
      </c>
      <c r="C1003" s="510">
        <v>0</v>
      </c>
      <c r="D1003" s="510">
        <v>0</v>
      </c>
      <c r="E1003" s="510">
        <v>0</v>
      </c>
      <c r="F1003" s="510">
        <v>0</v>
      </c>
      <c r="G1003" s="510">
        <v>0</v>
      </c>
    </row>
    <row r="1004" spans="1:7" x14ac:dyDescent="0.25">
      <c r="A1004" s="509" t="s">
        <v>1693</v>
      </c>
      <c r="B1004" s="509" t="s">
        <v>1694</v>
      </c>
      <c r="C1004" s="510">
        <v>0</v>
      </c>
      <c r="D1004" s="510">
        <v>0</v>
      </c>
      <c r="E1004" s="510">
        <v>0</v>
      </c>
      <c r="F1004" s="510">
        <v>0</v>
      </c>
      <c r="G1004" s="510">
        <v>0</v>
      </c>
    </row>
    <row r="1005" spans="1:7" x14ac:dyDescent="0.25">
      <c r="A1005" s="509" t="s">
        <v>1695</v>
      </c>
      <c r="B1005" s="509" t="s">
        <v>1558</v>
      </c>
      <c r="C1005" s="510">
        <v>0</v>
      </c>
      <c r="D1005" s="510">
        <v>0</v>
      </c>
      <c r="E1005" s="510">
        <v>0</v>
      </c>
      <c r="F1005" s="510">
        <v>0</v>
      </c>
      <c r="G1005" s="510">
        <v>0</v>
      </c>
    </row>
    <row r="1006" spans="1:7" x14ac:dyDescent="0.25">
      <c r="A1006" s="509" t="s">
        <v>2592</v>
      </c>
      <c r="B1006" s="509" t="s">
        <v>2066</v>
      </c>
      <c r="C1006" s="510">
        <v>0</v>
      </c>
      <c r="D1006" s="510">
        <v>0</v>
      </c>
      <c r="E1006" s="510">
        <v>0</v>
      </c>
      <c r="F1006" s="510">
        <v>0</v>
      </c>
      <c r="G1006" s="510">
        <v>0</v>
      </c>
    </row>
    <row r="1007" spans="1:7" x14ac:dyDescent="0.25">
      <c r="A1007" s="509" t="s">
        <v>2593</v>
      </c>
      <c r="B1007" s="509" t="s">
        <v>2068</v>
      </c>
      <c r="C1007" s="510">
        <v>0</v>
      </c>
      <c r="D1007" s="510">
        <v>0</v>
      </c>
      <c r="E1007" s="510">
        <v>0</v>
      </c>
      <c r="F1007" s="510">
        <v>0</v>
      </c>
      <c r="G1007" s="510">
        <v>0</v>
      </c>
    </row>
    <row r="1008" spans="1:7" x14ac:dyDescent="0.25">
      <c r="A1008" s="509" t="s">
        <v>2594</v>
      </c>
      <c r="B1008" s="509" t="s">
        <v>2070</v>
      </c>
      <c r="C1008" s="510">
        <v>0</v>
      </c>
      <c r="D1008" s="510">
        <v>112334.82</v>
      </c>
      <c r="E1008" s="510">
        <v>0</v>
      </c>
      <c r="F1008" s="510">
        <v>0</v>
      </c>
      <c r="G1008" s="510">
        <v>112334.82</v>
      </c>
    </row>
    <row r="1009" spans="1:7" x14ac:dyDescent="0.25">
      <c r="A1009" s="509" t="s">
        <v>2595</v>
      </c>
      <c r="B1009" s="509" t="s">
        <v>2072</v>
      </c>
      <c r="C1009" s="510">
        <v>0</v>
      </c>
      <c r="D1009" s="510">
        <v>-112334.82</v>
      </c>
      <c r="E1009" s="510">
        <v>0</v>
      </c>
      <c r="F1009" s="510">
        <v>0</v>
      </c>
      <c r="G1009" s="510">
        <v>-112334.82</v>
      </c>
    </row>
    <row r="1010" spans="1:7" x14ac:dyDescent="0.25">
      <c r="A1010" s="509" t="s">
        <v>2596</v>
      </c>
      <c r="B1010" s="509" t="s">
        <v>2074</v>
      </c>
      <c r="C1010" s="510">
        <v>0</v>
      </c>
      <c r="D1010" s="510">
        <v>0</v>
      </c>
      <c r="E1010" s="510">
        <v>0</v>
      </c>
      <c r="F1010" s="510">
        <v>0</v>
      </c>
      <c r="G1010" s="510">
        <v>0</v>
      </c>
    </row>
    <row r="1011" spans="1:7" x14ac:dyDescent="0.25">
      <c r="A1011" s="509" t="s">
        <v>1696</v>
      </c>
      <c r="B1011" s="509" t="s">
        <v>1560</v>
      </c>
      <c r="C1011" s="510">
        <v>0</v>
      </c>
      <c r="D1011" s="510">
        <v>277479.65000000002</v>
      </c>
      <c r="E1011" s="510">
        <v>0</v>
      </c>
      <c r="F1011" s="510">
        <v>0</v>
      </c>
      <c r="G1011" s="510">
        <v>277479.65000000002</v>
      </c>
    </row>
    <row r="1012" spans="1:7" x14ac:dyDescent="0.25">
      <c r="A1012" s="509" t="s">
        <v>1697</v>
      </c>
      <c r="B1012" s="509" t="s">
        <v>104</v>
      </c>
      <c r="C1012" s="510">
        <v>0</v>
      </c>
      <c r="D1012" s="510">
        <v>0</v>
      </c>
      <c r="E1012" s="510">
        <v>0</v>
      </c>
      <c r="F1012" s="510">
        <v>0</v>
      </c>
      <c r="G1012" s="510">
        <v>0</v>
      </c>
    </row>
    <row r="1013" spans="1:7" x14ac:dyDescent="0.25">
      <c r="A1013" s="509" t="s">
        <v>2597</v>
      </c>
      <c r="B1013" s="509" t="s">
        <v>2080</v>
      </c>
      <c r="C1013" s="510">
        <v>0</v>
      </c>
      <c r="D1013" s="510">
        <v>-8879982.1600000001</v>
      </c>
      <c r="E1013" s="510">
        <v>0</v>
      </c>
      <c r="F1013" s="510">
        <v>0</v>
      </c>
      <c r="G1013" s="510">
        <v>-8879982.1600000001</v>
      </c>
    </row>
    <row r="1014" spans="1:7" x14ac:dyDescent="0.25">
      <c r="A1014" s="509" t="s">
        <v>2598</v>
      </c>
      <c r="B1014" s="509" t="s">
        <v>2082</v>
      </c>
      <c r="C1014" s="510">
        <v>0</v>
      </c>
      <c r="D1014" s="510">
        <v>-231057.93</v>
      </c>
      <c r="E1014" s="510">
        <v>1766446.89</v>
      </c>
      <c r="F1014" s="510">
        <v>1708121.62</v>
      </c>
      <c r="G1014" s="510">
        <v>-172732.66</v>
      </c>
    </row>
    <row r="1015" spans="1:7" x14ac:dyDescent="0.25">
      <c r="A1015" s="509" t="s">
        <v>2599</v>
      </c>
      <c r="B1015" s="509" t="s">
        <v>2084</v>
      </c>
      <c r="C1015" s="510">
        <v>0</v>
      </c>
      <c r="D1015" s="510">
        <v>0</v>
      </c>
      <c r="E1015" s="510">
        <v>0</v>
      </c>
      <c r="F1015" s="510">
        <v>2623.13</v>
      </c>
      <c r="G1015" s="510">
        <v>-2623.13</v>
      </c>
    </row>
    <row r="1016" spans="1:7" x14ac:dyDescent="0.25">
      <c r="A1016" s="509" t="s">
        <v>2600</v>
      </c>
      <c r="B1016" s="509" t="s">
        <v>2090</v>
      </c>
      <c r="C1016" s="510">
        <v>0</v>
      </c>
      <c r="D1016" s="510">
        <v>0</v>
      </c>
      <c r="E1016" s="510">
        <v>0</v>
      </c>
      <c r="F1016" s="510">
        <v>0</v>
      </c>
      <c r="G1016" s="510">
        <v>0</v>
      </c>
    </row>
    <row r="1017" spans="1:7" x14ac:dyDescent="0.25">
      <c r="A1017" s="509" t="s">
        <v>2601</v>
      </c>
      <c r="B1017" s="509" t="s">
        <v>2092</v>
      </c>
      <c r="C1017" s="510">
        <v>0</v>
      </c>
      <c r="D1017" s="510">
        <v>0</v>
      </c>
      <c r="E1017" s="510">
        <v>0</v>
      </c>
      <c r="F1017" s="510">
        <v>0</v>
      </c>
      <c r="G1017" s="510">
        <v>0</v>
      </c>
    </row>
    <row r="1018" spans="1:7" x14ac:dyDescent="0.25">
      <c r="A1018" s="509" t="s">
        <v>2602</v>
      </c>
      <c r="B1018" s="509" t="s">
        <v>2094</v>
      </c>
      <c r="C1018" s="510">
        <v>0</v>
      </c>
      <c r="D1018" s="510">
        <v>0</v>
      </c>
      <c r="E1018" s="510">
        <v>0</v>
      </c>
      <c r="F1018" s="510">
        <v>0</v>
      </c>
      <c r="G1018" s="510">
        <v>0</v>
      </c>
    </row>
    <row r="1019" spans="1:7" x14ac:dyDescent="0.25">
      <c r="A1019" s="509" t="s">
        <v>2603</v>
      </c>
      <c r="B1019" s="509" t="s">
        <v>2096</v>
      </c>
      <c r="C1019" s="510">
        <v>0</v>
      </c>
      <c r="D1019" s="510">
        <v>-18822.02</v>
      </c>
      <c r="E1019" s="510">
        <v>22069.119999999999</v>
      </c>
      <c r="F1019" s="510">
        <v>21784.45</v>
      </c>
      <c r="G1019" s="510">
        <v>-18537.349999999999</v>
      </c>
    </row>
    <row r="1020" spans="1:7" x14ac:dyDescent="0.25">
      <c r="A1020" s="509" t="s">
        <v>2604</v>
      </c>
      <c r="B1020" s="509" t="s">
        <v>2098</v>
      </c>
      <c r="C1020" s="510">
        <v>0</v>
      </c>
      <c r="D1020" s="510">
        <v>0</v>
      </c>
      <c r="E1020" s="510">
        <v>0</v>
      </c>
      <c r="F1020" s="510">
        <v>0</v>
      </c>
      <c r="G1020" s="510">
        <v>0</v>
      </c>
    </row>
    <row r="1021" spans="1:7" x14ac:dyDescent="0.25">
      <c r="A1021" s="509" t="s">
        <v>2605</v>
      </c>
      <c r="B1021" s="509" t="s">
        <v>2606</v>
      </c>
      <c r="C1021" s="510">
        <v>0</v>
      </c>
      <c r="D1021" s="510">
        <v>0</v>
      </c>
      <c r="E1021" s="510">
        <v>0</v>
      </c>
      <c r="F1021" s="510">
        <v>0</v>
      </c>
      <c r="G1021" s="510">
        <v>0</v>
      </c>
    </row>
    <row r="1022" spans="1:7" x14ac:dyDescent="0.25">
      <c r="A1022" s="509" t="s">
        <v>2607</v>
      </c>
      <c r="B1022" s="509" t="s">
        <v>2106</v>
      </c>
      <c r="C1022" s="510">
        <v>0</v>
      </c>
      <c r="D1022" s="510">
        <v>0</v>
      </c>
      <c r="E1022" s="510">
        <v>0</v>
      </c>
      <c r="F1022" s="510">
        <v>0</v>
      </c>
      <c r="G1022" s="510">
        <v>0</v>
      </c>
    </row>
    <row r="1023" spans="1:7" x14ac:dyDescent="0.25">
      <c r="A1023" s="509" t="s">
        <v>2608</v>
      </c>
      <c r="B1023" s="509" t="s">
        <v>2108</v>
      </c>
      <c r="C1023" s="510">
        <v>0</v>
      </c>
      <c r="D1023" s="510">
        <v>-75255</v>
      </c>
      <c r="E1023" s="510">
        <v>75255</v>
      </c>
      <c r="F1023" s="510">
        <v>0</v>
      </c>
      <c r="G1023" s="510">
        <v>0</v>
      </c>
    </row>
    <row r="1024" spans="1:7" x14ac:dyDescent="0.25">
      <c r="A1024" s="509" t="s">
        <v>2609</v>
      </c>
      <c r="B1024" s="509" t="s">
        <v>2110</v>
      </c>
      <c r="C1024" s="510">
        <v>0</v>
      </c>
      <c r="D1024" s="510">
        <v>-10869</v>
      </c>
      <c r="E1024" s="510">
        <v>10869</v>
      </c>
      <c r="F1024" s="510">
        <v>0</v>
      </c>
      <c r="G1024" s="510">
        <v>0</v>
      </c>
    </row>
    <row r="1025" spans="1:7" x14ac:dyDescent="0.25">
      <c r="A1025" s="509" t="s">
        <v>2610</v>
      </c>
      <c r="B1025" s="509" t="s">
        <v>2112</v>
      </c>
      <c r="C1025" s="510">
        <v>0</v>
      </c>
      <c r="D1025" s="510">
        <v>0</v>
      </c>
      <c r="E1025" s="510">
        <v>0</v>
      </c>
      <c r="F1025" s="510">
        <v>0</v>
      </c>
      <c r="G1025" s="510">
        <v>0</v>
      </c>
    </row>
    <row r="1026" spans="1:7" x14ac:dyDescent="0.25">
      <c r="A1026" s="509" t="s">
        <v>2611</v>
      </c>
      <c r="B1026" s="509" t="s">
        <v>2114</v>
      </c>
      <c r="C1026" s="510">
        <v>0</v>
      </c>
      <c r="D1026" s="510">
        <v>0</v>
      </c>
      <c r="E1026" s="510">
        <v>0</v>
      </c>
      <c r="F1026" s="510">
        <v>0</v>
      </c>
      <c r="G1026" s="510">
        <v>0</v>
      </c>
    </row>
    <row r="1027" spans="1:7" x14ac:dyDescent="0.25">
      <c r="A1027" s="509" t="s">
        <v>2612</v>
      </c>
      <c r="B1027" s="509" t="s">
        <v>2116</v>
      </c>
      <c r="C1027" s="510">
        <v>0</v>
      </c>
      <c r="D1027" s="510">
        <v>-26600.53</v>
      </c>
      <c r="E1027" s="510">
        <v>26600.53</v>
      </c>
      <c r="F1027" s="510">
        <v>0</v>
      </c>
      <c r="G1027" s="510">
        <v>0</v>
      </c>
    </row>
    <row r="1028" spans="1:7" x14ac:dyDescent="0.25">
      <c r="A1028" s="509" t="s">
        <v>2613</v>
      </c>
      <c r="B1028" s="509" t="s">
        <v>2118</v>
      </c>
      <c r="C1028" s="510">
        <v>0</v>
      </c>
      <c r="D1028" s="510">
        <v>0</v>
      </c>
      <c r="E1028" s="510">
        <v>0</v>
      </c>
      <c r="F1028" s="510">
        <v>0</v>
      </c>
      <c r="G1028" s="510">
        <v>0</v>
      </c>
    </row>
    <row r="1029" spans="1:7" x14ac:dyDescent="0.25">
      <c r="A1029" s="509" t="s">
        <v>2614</v>
      </c>
      <c r="B1029" s="509" t="s">
        <v>2615</v>
      </c>
      <c r="C1029" s="510">
        <v>0</v>
      </c>
      <c r="D1029" s="510">
        <v>0</v>
      </c>
      <c r="E1029" s="510">
        <v>0</v>
      </c>
      <c r="F1029" s="510">
        <v>0</v>
      </c>
      <c r="G1029" s="510">
        <v>0</v>
      </c>
    </row>
    <row r="1030" spans="1:7" x14ac:dyDescent="0.25">
      <c r="A1030" s="509" t="s">
        <v>2616</v>
      </c>
      <c r="B1030" s="509" t="s">
        <v>2617</v>
      </c>
      <c r="C1030" s="510">
        <v>0</v>
      </c>
      <c r="D1030" s="510">
        <v>0</v>
      </c>
      <c r="E1030" s="510">
        <v>0</v>
      </c>
      <c r="F1030" s="510">
        <v>0</v>
      </c>
      <c r="G1030" s="510">
        <v>0</v>
      </c>
    </row>
    <row r="1031" spans="1:7" x14ac:dyDescent="0.25">
      <c r="A1031" s="509" t="s">
        <v>2618</v>
      </c>
      <c r="B1031" s="509" t="s">
        <v>2619</v>
      </c>
      <c r="C1031" s="510">
        <v>0</v>
      </c>
      <c r="D1031" s="510">
        <v>0</v>
      </c>
      <c r="E1031" s="510">
        <v>0</v>
      </c>
      <c r="F1031" s="510">
        <v>0</v>
      </c>
      <c r="G1031" s="510">
        <v>0</v>
      </c>
    </row>
    <row r="1032" spans="1:7" x14ac:dyDescent="0.25">
      <c r="A1032" s="509" t="s">
        <v>2620</v>
      </c>
      <c r="B1032" s="509" t="s">
        <v>2621</v>
      </c>
      <c r="C1032" s="510">
        <v>0</v>
      </c>
      <c r="D1032" s="510">
        <v>0</v>
      </c>
      <c r="E1032" s="510">
        <v>0</v>
      </c>
      <c r="F1032" s="510">
        <v>0</v>
      </c>
      <c r="G1032" s="510">
        <v>0</v>
      </c>
    </row>
    <row r="1033" spans="1:7" x14ac:dyDescent="0.25">
      <c r="A1033" s="509" t="s">
        <v>2622</v>
      </c>
      <c r="B1033" s="509" t="s">
        <v>2623</v>
      </c>
      <c r="C1033" s="510">
        <v>0</v>
      </c>
      <c r="D1033" s="510">
        <v>0</v>
      </c>
      <c r="E1033" s="510">
        <v>0</v>
      </c>
      <c r="F1033" s="510">
        <v>0</v>
      </c>
      <c r="G1033" s="510">
        <v>0</v>
      </c>
    </row>
    <row r="1034" spans="1:7" x14ac:dyDescent="0.25">
      <c r="A1034" s="509" t="s">
        <v>2624</v>
      </c>
      <c r="B1034" s="509" t="s">
        <v>2625</v>
      </c>
      <c r="C1034" s="510">
        <v>0</v>
      </c>
      <c r="D1034" s="510">
        <v>0</v>
      </c>
      <c r="E1034" s="510">
        <v>0</v>
      </c>
      <c r="F1034" s="510">
        <v>0</v>
      </c>
      <c r="G1034" s="510">
        <v>0</v>
      </c>
    </row>
    <row r="1035" spans="1:7" x14ac:dyDescent="0.25">
      <c r="A1035" s="509" t="s">
        <v>2626</v>
      </c>
      <c r="B1035" s="509" t="s">
        <v>2627</v>
      </c>
      <c r="C1035" s="510">
        <v>0</v>
      </c>
      <c r="D1035" s="510">
        <v>0</v>
      </c>
      <c r="E1035" s="510">
        <v>0</v>
      </c>
      <c r="F1035" s="510">
        <v>0</v>
      </c>
      <c r="G1035" s="510">
        <v>0</v>
      </c>
    </row>
    <row r="1036" spans="1:7" x14ac:dyDescent="0.25">
      <c r="A1036" s="509" t="s">
        <v>2628</v>
      </c>
      <c r="B1036" s="509" t="s">
        <v>2629</v>
      </c>
      <c r="C1036" s="510">
        <v>0</v>
      </c>
      <c r="D1036" s="510">
        <v>0</v>
      </c>
      <c r="E1036" s="510">
        <v>0</v>
      </c>
      <c r="F1036" s="510">
        <v>0</v>
      </c>
      <c r="G1036" s="510">
        <v>0</v>
      </c>
    </row>
    <row r="1037" spans="1:7" x14ac:dyDescent="0.25">
      <c r="A1037" s="509" t="s">
        <v>2630</v>
      </c>
      <c r="B1037" s="509" t="s">
        <v>2631</v>
      </c>
      <c r="C1037" s="510">
        <v>0</v>
      </c>
      <c r="D1037" s="510">
        <v>0</v>
      </c>
      <c r="E1037" s="510">
        <v>0</v>
      </c>
      <c r="F1037" s="510">
        <v>0</v>
      </c>
      <c r="G1037" s="510">
        <v>0</v>
      </c>
    </row>
    <row r="1038" spans="1:7" x14ac:dyDescent="0.25">
      <c r="A1038" s="509" t="s">
        <v>2632</v>
      </c>
      <c r="B1038" s="509" t="s">
        <v>2633</v>
      </c>
      <c r="C1038" s="510">
        <v>0</v>
      </c>
      <c r="D1038" s="510">
        <v>0</v>
      </c>
      <c r="E1038" s="510">
        <v>0</v>
      </c>
      <c r="F1038" s="510">
        <v>0</v>
      </c>
      <c r="G1038" s="510">
        <v>0</v>
      </c>
    </row>
    <row r="1039" spans="1:7" x14ac:dyDescent="0.25">
      <c r="A1039" s="509" t="s">
        <v>2634</v>
      </c>
      <c r="B1039" s="509" t="s">
        <v>2635</v>
      </c>
      <c r="C1039" s="510">
        <v>0</v>
      </c>
      <c r="D1039" s="510">
        <v>0</v>
      </c>
      <c r="E1039" s="510">
        <v>0</v>
      </c>
      <c r="F1039" s="510">
        <v>0</v>
      </c>
      <c r="G1039" s="510">
        <v>0</v>
      </c>
    </row>
    <row r="1040" spans="1:7" x14ac:dyDescent="0.25">
      <c r="A1040" s="509" t="s">
        <v>2636</v>
      </c>
      <c r="B1040" s="509" t="s">
        <v>2003</v>
      </c>
      <c r="C1040" s="510">
        <v>0</v>
      </c>
      <c r="D1040" s="510">
        <v>0</v>
      </c>
      <c r="E1040" s="510">
        <v>12000</v>
      </c>
      <c r="F1040" s="510">
        <v>24000</v>
      </c>
      <c r="G1040" s="510">
        <v>-12000</v>
      </c>
    </row>
    <row r="1041" spans="1:7" x14ac:dyDescent="0.25">
      <c r="A1041" s="509" t="s">
        <v>2637</v>
      </c>
      <c r="B1041" s="509" t="s">
        <v>2123</v>
      </c>
      <c r="C1041" s="510">
        <v>0</v>
      </c>
      <c r="D1041" s="510">
        <v>0</v>
      </c>
      <c r="E1041" s="510">
        <v>0</v>
      </c>
      <c r="F1041" s="510">
        <v>0</v>
      </c>
      <c r="G1041" s="510">
        <v>0</v>
      </c>
    </row>
    <row r="1042" spans="1:7" x14ac:dyDescent="0.25">
      <c r="A1042" s="509" t="s">
        <v>2638</v>
      </c>
      <c r="B1042" s="509" t="s">
        <v>2639</v>
      </c>
      <c r="C1042" s="510">
        <v>0</v>
      </c>
      <c r="D1042" s="510">
        <v>0</v>
      </c>
      <c r="E1042" s="510">
        <v>0</v>
      </c>
      <c r="F1042" s="510">
        <v>0</v>
      </c>
      <c r="G1042" s="510">
        <v>0</v>
      </c>
    </row>
    <row r="1043" spans="1:7" x14ac:dyDescent="0.25">
      <c r="A1043" s="509" t="s">
        <v>2640</v>
      </c>
      <c r="B1043" s="509" t="s">
        <v>2125</v>
      </c>
      <c r="C1043" s="510">
        <v>0</v>
      </c>
      <c r="D1043" s="510">
        <v>0</v>
      </c>
      <c r="E1043" s="510">
        <v>0</v>
      </c>
      <c r="F1043" s="510">
        <v>0</v>
      </c>
      <c r="G1043" s="510">
        <v>0</v>
      </c>
    </row>
    <row r="1044" spans="1:7" x14ac:dyDescent="0.25">
      <c r="A1044" s="509" t="s">
        <v>2641</v>
      </c>
      <c r="B1044" s="509" t="s">
        <v>2127</v>
      </c>
      <c r="C1044" s="510">
        <v>0</v>
      </c>
      <c r="D1044" s="510">
        <v>-2472500</v>
      </c>
      <c r="E1044" s="510">
        <v>0</v>
      </c>
      <c r="F1044" s="510">
        <v>362500</v>
      </c>
      <c r="G1044" s="510">
        <v>-2835000</v>
      </c>
    </row>
    <row r="1045" spans="1:7" x14ac:dyDescent="0.25">
      <c r="A1045" s="509" t="s">
        <v>2642</v>
      </c>
      <c r="B1045" s="509" t="s">
        <v>2129</v>
      </c>
      <c r="C1045" s="510">
        <v>0</v>
      </c>
      <c r="D1045" s="510">
        <v>-33913.160000000003</v>
      </c>
      <c r="E1045" s="510">
        <v>0</v>
      </c>
      <c r="F1045" s="510">
        <v>0</v>
      </c>
      <c r="G1045" s="510">
        <v>-33913.160000000003</v>
      </c>
    </row>
    <row r="1046" spans="1:7" x14ac:dyDescent="0.25">
      <c r="A1046" s="509" t="s">
        <v>2643</v>
      </c>
      <c r="B1046" s="509" t="s">
        <v>2131</v>
      </c>
      <c r="C1046" s="510">
        <v>0</v>
      </c>
      <c r="D1046" s="510">
        <v>0</v>
      </c>
      <c r="E1046" s="510">
        <v>0</v>
      </c>
      <c r="F1046" s="510">
        <v>0</v>
      </c>
      <c r="G1046" s="510">
        <v>0</v>
      </c>
    </row>
    <row r="1047" spans="1:7" x14ac:dyDescent="0.25">
      <c r="A1047" s="509" t="s">
        <v>2644</v>
      </c>
      <c r="B1047" s="509" t="s">
        <v>2133</v>
      </c>
      <c r="C1047" s="510">
        <v>0</v>
      </c>
      <c r="D1047" s="510">
        <v>-1120275.93</v>
      </c>
      <c r="E1047" s="510">
        <v>0</v>
      </c>
      <c r="F1047" s="510">
        <v>0</v>
      </c>
      <c r="G1047" s="510">
        <v>-1120275.93</v>
      </c>
    </row>
    <row r="1048" spans="1:7" x14ac:dyDescent="0.25">
      <c r="A1048" s="509" t="s">
        <v>2645</v>
      </c>
      <c r="B1048" s="509" t="s">
        <v>2135</v>
      </c>
      <c r="C1048" s="510">
        <v>0</v>
      </c>
      <c r="D1048" s="510">
        <v>0</v>
      </c>
      <c r="E1048" s="510">
        <v>0</v>
      </c>
      <c r="F1048" s="510">
        <v>0</v>
      </c>
      <c r="G1048" s="510">
        <v>0</v>
      </c>
    </row>
    <row r="1049" spans="1:7" x14ac:dyDescent="0.25">
      <c r="A1049" s="509" t="s">
        <v>2646</v>
      </c>
      <c r="B1049" s="509" t="s">
        <v>2137</v>
      </c>
      <c r="C1049" s="510">
        <v>0</v>
      </c>
      <c r="D1049" s="510">
        <v>-17001048.5</v>
      </c>
      <c r="E1049" s="510">
        <v>0</v>
      </c>
      <c r="F1049" s="510">
        <v>505000</v>
      </c>
      <c r="G1049" s="510">
        <v>-17506048.5</v>
      </c>
    </row>
    <row r="1050" spans="1:7" x14ac:dyDescent="0.25">
      <c r="A1050" s="509" t="s">
        <v>2647</v>
      </c>
      <c r="B1050" s="509" t="s">
        <v>2139</v>
      </c>
      <c r="C1050" s="510">
        <v>0</v>
      </c>
      <c r="D1050" s="510">
        <v>-440713.54</v>
      </c>
      <c r="E1050" s="510">
        <v>0</v>
      </c>
      <c r="F1050" s="510">
        <v>0</v>
      </c>
      <c r="G1050" s="510">
        <v>-440713.54</v>
      </c>
    </row>
    <row r="1051" spans="1:7" x14ac:dyDescent="0.25">
      <c r="A1051" s="509" t="s">
        <v>2648</v>
      </c>
      <c r="B1051" s="509" t="s">
        <v>2141</v>
      </c>
      <c r="C1051" s="510">
        <v>0</v>
      </c>
      <c r="D1051" s="510">
        <v>0</v>
      </c>
      <c r="E1051" s="510">
        <v>0</v>
      </c>
      <c r="F1051" s="510">
        <v>0</v>
      </c>
      <c r="G1051" s="510">
        <v>0</v>
      </c>
    </row>
    <row r="1052" spans="1:7" x14ac:dyDescent="0.25">
      <c r="A1052" s="509" t="s">
        <v>2649</v>
      </c>
      <c r="B1052" s="509" t="s">
        <v>2143</v>
      </c>
      <c r="C1052" s="510">
        <v>0</v>
      </c>
      <c r="D1052" s="510">
        <v>0</v>
      </c>
      <c r="E1052" s="510">
        <v>0</v>
      </c>
      <c r="F1052" s="510">
        <v>0</v>
      </c>
      <c r="G1052" s="510">
        <v>0</v>
      </c>
    </row>
    <row r="1053" spans="1:7" x14ac:dyDescent="0.25">
      <c r="A1053" s="509" t="s">
        <v>2650</v>
      </c>
      <c r="B1053" s="509" t="s">
        <v>2651</v>
      </c>
      <c r="C1053" s="510">
        <v>0</v>
      </c>
      <c r="D1053" s="510">
        <v>0</v>
      </c>
      <c r="E1053" s="510">
        <v>0</v>
      </c>
      <c r="F1053" s="510">
        <v>0</v>
      </c>
      <c r="G1053" s="510">
        <v>0</v>
      </c>
    </row>
    <row r="1054" spans="1:7" x14ac:dyDescent="0.25">
      <c r="A1054" s="509" t="s">
        <v>2652</v>
      </c>
      <c r="B1054" s="509" t="s">
        <v>2147</v>
      </c>
      <c r="C1054" s="510">
        <v>0</v>
      </c>
      <c r="D1054" s="510">
        <v>0</v>
      </c>
      <c r="E1054" s="510">
        <v>0</v>
      </c>
      <c r="F1054" s="510">
        <v>0</v>
      </c>
      <c r="G1054" s="510">
        <v>0</v>
      </c>
    </row>
    <row r="1055" spans="1:7" x14ac:dyDescent="0.25">
      <c r="A1055" s="509" t="s">
        <v>2653</v>
      </c>
      <c r="B1055" s="509" t="s">
        <v>2654</v>
      </c>
      <c r="C1055" s="510">
        <v>0</v>
      </c>
      <c r="D1055" s="510">
        <v>-23957.200000000001</v>
      </c>
      <c r="E1055" s="510">
        <v>23957.200000000001</v>
      </c>
      <c r="F1055" s="510">
        <v>0</v>
      </c>
      <c r="G1055" s="510">
        <v>0</v>
      </c>
    </row>
    <row r="1056" spans="1:7" x14ac:dyDescent="0.25">
      <c r="A1056" s="509" t="s">
        <v>2655</v>
      </c>
      <c r="B1056" s="509" t="s">
        <v>2149</v>
      </c>
      <c r="C1056" s="510">
        <v>0</v>
      </c>
      <c r="D1056" s="510">
        <v>0</v>
      </c>
      <c r="E1056" s="510">
        <v>0</v>
      </c>
      <c r="F1056" s="510">
        <v>0</v>
      </c>
      <c r="G1056" s="510">
        <v>0</v>
      </c>
    </row>
    <row r="1057" spans="1:7" x14ac:dyDescent="0.25">
      <c r="A1057" s="509" t="s">
        <v>2656</v>
      </c>
      <c r="B1057" s="509" t="s">
        <v>2151</v>
      </c>
      <c r="C1057" s="510">
        <v>0</v>
      </c>
      <c r="D1057" s="510">
        <v>0</v>
      </c>
      <c r="E1057" s="510">
        <v>0</v>
      </c>
      <c r="F1057" s="510">
        <v>0</v>
      </c>
      <c r="G1057" s="510">
        <v>0</v>
      </c>
    </row>
    <row r="1058" spans="1:7" x14ac:dyDescent="0.25">
      <c r="A1058" s="509" t="s">
        <v>2657</v>
      </c>
      <c r="B1058" s="509" t="s">
        <v>2153</v>
      </c>
      <c r="C1058" s="510">
        <v>0</v>
      </c>
      <c r="D1058" s="510">
        <v>0</v>
      </c>
      <c r="E1058" s="510">
        <v>0</v>
      </c>
      <c r="F1058" s="510">
        <v>0</v>
      </c>
      <c r="G1058" s="510">
        <v>0</v>
      </c>
    </row>
    <row r="1059" spans="1:7" x14ac:dyDescent="0.25">
      <c r="A1059" s="509" t="s">
        <v>2658</v>
      </c>
      <c r="B1059" s="509" t="s">
        <v>2155</v>
      </c>
      <c r="C1059" s="510">
        <v>0</v>
      </c>
      <c r="D1059" s="510">
        <v>0</v>
      </c>
      <c r="E1059" s="510">
        <v>0</v>
      </c>
      <c r="F1059" s="510">
        <v>0</v>
      </c>
      <c r="G1059" s="510">
        <v>0</v>
      </c>
    </row>
    <row r="1060" spans="1:7" x14ac:dyDescent="0.25">
      <c r="A1060" s="509" t="s">
        <v>2659</v>
      </c>
      <c r="B1060" s="509" t="s">
        <v>2157</v>
      </c>
      <c r="C1060" s="510">
        <v>0</v>
      </c>
      <c r="D1060" s="510">
        <v>0</v>
      </c>
      <c r="E1060" s="510">
        <v>0</v>
      </c>
      <c r="F1060" s="510">
        <v>0</v>
      </c>
      <c r="G1060" s="510">
        <v>0</v>
      </c>
    </row>
    <row r="1061" spans="1:7" x14ac:dyDescent="0.25">
      <c r="A1061" s="509" t="s">
        <v>2660</v>
      </c>
      <c r="B1061" s="509" t="s">
        <v>2159</v>
      </c>
      <c r="C1061" s="510">
        <v>0</v>
      </c>
      <c r="D1061" s="510">
        <v>-867500</v>
      </c>
      <c r="E1061" s="510">
        <v>867500</v>
      </c>
      <c r="F1061" s="510">
        <v>0</v>
      </c>
      <c r="G1061" s="510">
        <v>0</v>
      </c>
    </row>
    <row r="1062" spans="1:7" x14ac:dyDescent="0.25">
      <c r="A1062" s="509" t="s">
        <v>2661</v>
      </c>
      <c r="B1062" s="509" t="s">
        <v>2163</v>
      </c>
      <c r="C1062" s="510">
        <v>0</v>
      </c>
      <c r="D1062" s="510">
        <v>0</v>
      </c>
      <c r="E1062" s="510">
        <v>0</v>
      </c>
      <c r="F1062" s="510">
        <v>0</v>
      </c>
      <c r="G1062" s="510">
        <v>0</v>
      </c>
    </row>
    <row r="1063" spans="1:7" x14ac:dyDescent="0.25">
      <c r="A1063" s="509" t="s">
        <v>2662</v>
      </c>
      <c r="B1063" s="509" t="s">
        <v>2165</v>
      </c>
      <c r="C1063" s="510">
        <v>0</v>
      </c>
      <c r="D1063" s="510">
        <v>0</v>
      </c>
      <c r="E1063" s="510">
        <v>0</v>
      </c>
      <c r="F1063" s="510">
        <v>0</v>
      </c>
      <c r="G1063" s="510">
        <v>0</v>
      </c>
    </row>
    <row r="1064" spans="1:7" x14ac:dyDescent="0.25">
      <c r="A1064" s="509" t="s">
        <v>2663</v>
      </c>
      <c r="B1064" s="509" t="s">
        <v>2167</v>
      </c>
      <c r="C1064" s="510">
        <v>0</v>
      </c>
      <c r="D1064" s="510">
        <v>0</v>
      </c>
      <c r="E1064" s="510">
        <v>0</v>
      </c>
      <c r="F1064" s="510">
        <v>0</v>
      </c>
      <c r="G1064" s="510">
        <v>0</v>
      </c>
    </row>
    <row r="1065" spans="1:7" x14ac:dyDescent="0.25">
      <c r="A1065" s="509" t="s">
        <v>2664</v>
      </c>
      <c r="B1065" s="509" t="s">
        <v>2169</v>
      </c>
      <c r="C1065" s="510">
        <v>0</v>
      </c>
      <c r="D1065" s="510">
        <v>-142250</v>
      </c>
      <c r="E1065" s="510">
        <v>0</v>
      </c>
      <c r="F1065" s="510">
        <v>0</v>
      </c>
      <c r="G1065" s="510">
        <v>-142250</v>
      </c>
    </row>
    <row r="1066" spans="1:7" x14ac:dyDescent="0.25">
      <c r="A1066" s="509" t="s">
        <v>2665</v>
      </c>
      <c r="B1066" s="509" t="s">
        <v>2171</v>
      </c>
      <c r="C1066" s="510">
        <v>0</v>
      </c>
      <c r="D1066" s="510">
        <v>0</v>
      </c>
      <c r="E1066" s="510">
        <v>0</v>
      </c>
      <c r="F1066" s="510">
        <v>0</v>
      </c>
      <c r="G1066" s="510">
        <v>0</v>
      </c>
    </row>
    <row r="1067" spans="1:7" x14ac:dyDescent="0.25">
      <c r="A1067" s="509" t="s">
        <v>2666</v>
      </c>
      <c r="B1067" s="509" t="s">
        <v>2173</v>
      </c>
      <c r="C1067" s="510">
        <v>0</v>
      </c>
      <c r="D1067" s="510">
        <v>0</v>
      </c>
      <c r="E1067" s="510">
        <v>0</v>
      </c>
      <c r="F1067" s="510">
        <v>0</v>
      </c>
      <c r="G1067" s="510">
        <v>0</v>
      </c>
    </row>
    <row r="1068" spans="1:7" x14ac:dyDescent="0.25">
      <c r="A1068" s="509" t="s">
        <v>2667</v>
      </c>
      <c r="B1068" s="509" t="s">
        <v>2175</v>
      </c>
      <c r="C1068" s="510">
        <v>0</v>
      </c>
      <c r="D1068" s="510">
        <v>0</v>
      </c>
      <c r="E1068" s="510">
        <v>0</v>
      </c>
      <c r="F1068" s="510">
        <v>0</v>
      </c>
      <c r="G1068" s="510">
        <v>0</v>
      </c>
    </row>
    <row r="1069" spans="1:7" x14ac:dyDescent="0.25">
      <c r="A1069" s="509" t="s">
        <v>2668</v>
      </c>
      <c r="B1069" s="509" t="s">
        <v>2177</v>
      </c>
      <c r="C1069" s="510">
        <v>0</v>
      </c>
      <c r="D1069" s="510">
        <v>0</v>
      </c>
      <c r="E1069" s="510">
        <v>0</v>
      </c>
      <c r="F1069" s="510">
        <v>0</v>
      </c>
      <c r="G1069" s="510">
        <v>0</v>
      </c>
    </row>
    <row r="1070" spans="1:7" x14ac:dyDescent="0.25">
      <c r="A1070" s="509" t="s">
        <v>2669</v>
      </c>
      <c r="B1070" s="509" t="s">
        <v>2179</v>
      </c>
      <c r="C1070" s="510">
        <v>0</v>
      </c>
      <c r="D1070" s="510">
        <v>0</v>
      </c>
      <c r="E1070" s="510">
        <v>0</v>
      </c>
      <c r="F1070" s="510">
        <v>0</v>
      </c>
      <c r="G1070" s="510">
        <v>0</v>
      </c>
    </row>
    <row r="1071" spans="1:7" x14ac:dyDescent="0.25">
      <c r="A1071" s="509" t="s">
        <v>2670</v>
      </c>
      <c r="B1071" s="509" t="s">
        <v>2181</v>
      </c>
      <c r="C1071" s="510">
        <v>0</v>
      </c>
      <c r="D1071" s="510">
        <v>0</v>
      </c>
      <c r="E1071" s="510">
        <v>0</v>
      </c>
      <c r="F1071" s="510">
        <v>0</v>
      </c>
      <c r="G1071" s="510">
        <v>0</v>
      </c>
    </row>
    <row r="1072" spans="1:7" x14ac:dyDescent="0.25">
      <c r="A1072" s="509" t="s">
        <v>2671</v>
      </c>
      <c r="B1072" s="509" t="s">
        <v>2183</v>
      </c>
      <c r="C1072" s="510">
        <v>0</v>
      </c>
      <c r="D1072" s="510">
        <v>0</v>
      </c>
      <c r="E1072" s="510">
        <v>0</v>
      </c>
      <c r="F1072" s="510">
        <v>0</v>
      </c>
      <c r="G1072" s="510">
        <v>0</v>
      </c>
    </row>
    <row r="1073" spans="1:7" x14ac:dyDescent="0.25">
      <c r="A1073" s="509" t="s">
        <v>2672</v>
      </c>
      <c r="B1073" s="509" t="s">
        <v>2185</v>
      </c>
      <c r="C1073" s="510">
        <v>0</v>
      </c>
      <c r="D1073" s="510">
        <v>0</v>
      </c>
      <c r="E1073" s="510">
        <v>0</v>
      </c>
      <c r="F1073" s="510">
        <v>0</v>
      </c>
      <c r="G1073" s="510">
        <v>0</v>
      </c>
    </row>
    <row r="1074" spans="1:7" x14ac:dyDescent="0.25">
      <c r="A1074" s="509" t="s">
        <v>2673</v>
      </c>
      <c r="B1074" s="509" t="s">
        <v>2187</v>
      </c>
      <c r="C1074" s="510">
        <v>0</v>
      </c>
      <c r="D1074" s="510">
        <v>0</v>
      </c>
      <c r="E1074" s="510">
        <v>0</v>
      </c>
      <c r="F1074" s="510">
        <v>0</v>
      </c>
      <c r="G1074" s="510">
        <v>0</v>
      </c>
    </row>
    <row r="1075" spans="1:7" x14ac:dyDescent="0.25">
      <c r="A1075" s="509" t="s">
        <v>2674</v>
      </c>
      <c r="B1075" s="509" t="s">
        <v>2189</v>
      </c>
      <c r="C1075" s="510">
        <v>0</v>
      </c>
      <c r="D1075" s="510">
        <v>0</v>
      </c>
      <c r="E1075" s="510">
        <v>0</v>
      </c>
      <c r="F1075" s="510">
        <v>0</v>
      </c>
      <c r="G1075" s="510">
        <v>0</v>
      </c>
    </row>
    <row r="1076" spans="1:7" x14ac:dyDescent="0.25">
      <c r="A1076" s="509" t="s">
        <v>2675</v>
      </c>
      <c r="B1076" s="509" t="s">
        <v>2191</v>
      </c>
      <c r="C1076" s="510">
        <v>0</v>
      </c>
      <c r="D1076" s="510">
        <v>0</v>
      </c>
      <c r="E1076" s="510">
        <v>0</v>
      </c>
      <c r="F1076" s="510">
        <v>0</v>
      </c>
      <c r="G1076" s="510">
        <v>0</v>
      </c>
    </row>
    <row r="1077" spans="1:7" x14ac:dyDescent="0.25">
      <c r="A1077" s="509" t="s">
        <v>2676</v>
      </c>
      <c r="B1077" s="509" t="s">
        <v>2171</v>
      </c>
      <c r="C1077" s="510">
        <v>0</v>
      </c>
      <c r="D1077" s="510">
        <v>0</v>
      </c>
      <c r="E1077" s="510">
        <v>0</v>
      </c>
      <c r="F1077" s="510">
        <v>0</v>
      </c>
      <c r="G1077" s="510">
        <v>0</v>
      </c>
    </row>
    <row r="1078" spans="1:7" x14ac:dyDescent="0.25">
      <c r="A1078" s="509" t="s">
        <v>2677</v>
      </c>
      <c r="B1078" s="509" t="s">
        <v>2194</v>
      </c>
      <c r="C1078" s="510">
        <v>0</v>
      </c>
      <c r="D1078" s="510">
        <v>0</v>
      </c>
      <c r="E1078" s="510">
        <v>0</v>
      </c>
      <c r="F1078" s="510">
        <v>0</v>
      </c>
      <c r="G1078" s="510">
        <v>0</v>
      </c>
    </row>
    <row r="1079" spans="1:7" x14ac:dyDescent="0.25">
      <c r="A1079" s="509" t="s">
        <v>2678</v>
      </c>
      <c r="B1079" s="509" t="s">
        <v>2196</v>
      </c>
      <c r="C1079" s="510">
        <v>0</v>
      </c>
      <c r="D1079" s="510">
        <v>0</v>
      </c>
      <c r="E1079" s="510">
        <v>0</v>
      </c>
      <c r="F1079" s="510">
        <v>0</v>
      </c>
      <c r="G1079" s="510">
        <v>0</v>
      </c>
    </row>
    <row r="1080" spans="1:7" x14ac:dyDescent="0.25">
      <c r="A1080" s="509" t="s">
        <v>2679</v>
      </c>
      <c r="B1080" s="509" t="s">
        <v>2198</v>
      </c>
      <c r="C1080" s="510">
        <v>0</v>
      </c>
      <c r="D1080" s="510">
        <v>0</v>
      </c>
      <c r="E1080" s="510">
        <v>0</v>
      </c>
      <c r="F1080" s="510">
        <v>0</v>
      </c>
      <c r="G1080" s="510">
        <v>0</v>
      </c>
    </row>
    <row r="1081" spans="1:7" x14ac:dyDescent="0.25">
      <c r="A1081" s="509" t="s">
        <v>2680</v>
      </c>
      <c r="B1081" s="509" t="s">
        <v>2200</v>
      </c>
      <c r="C1081" s="510">
        <v>0</v>
      </c>
      <c r="D1081" s="510">
        <v>0</v>
      </c>
      <c r="E1081" s="510">
        <v>0</v>
      </c>
      <c r="F1081" s="510">
        <v>0</v>
      </c>
      <c r="G1081" s="510">
        <v>0</v>
      </c>
    </row>
    <row r="1082" spans="1:7" x14ac:dyDescent="0.25">
      <c r="A1082" s="509" t="s">
        <v>2681</v>
      </c>
      <c r="B1082" s="509" t="s">
        <v>2202</v>
      </c>
      <c r="C1082" s="510">
        <v>0</v>
      </c>
      <c r="D1082" s="510">
        <v>0</v>
      </c>
      <c r="E1082" s="510">
        <v>0</v>
      </c>
      <c r="F1082" s="510">
        <v>0</v>
      </c>
      <c r="G1082" s="510">
        <v>0</v>
      </c>
    </row>
    <row r="1083" spans="1:7" x14ac:dyDescent="0.25">
      <c r="A1083" s="509" t="s">
        <v>2682</v>
      </c>
      <c r="B1083" s="509" t="s">
        <v>2204</v>
      </c>
      <c r="C1083" s="510">
        <v>0</v>
      </c>
      <c r="D1083" s="510">
        <v>0</v>
      </c>
      <c r="E1083" s="510">
        <v>0</v>
      </c>
      <c r="F1083" s="510">
        <v>0</v>
      </c>
      <c r="G1083" s="510">
        <v>0</v>
      </c>
    </row>
    <row r="1084" spans="1:7" x14ac:dyDescent="0.25">
      <c r="A1084" s="509" t="s">
        <v>2683</v>
      </c>
      <c r="B1084" s="509" t="s">
        <v>2206</v>
      </c>
      <c r="C1084" s="510">
        <v>0</v>
      </c>
      <c r="D1084" s="510">
        <v>-2555</v>
      </c>
      <c r="E1084" s="510">
        <v>2555</v>
      </c>
      <c r="F1084" s="510">
        <v>0</v>
      </c>
      <c r="G1084" s="510">
        <v>0</v>
      </c>
    </row>
    <row r="1085" spans="1:7" x14ac:dyDescent="0.25">
      <c r="A1085" s="509" t="s">
        <v>2684</v>
      </c>
      <c r="B1085" s="509" t="s">
        <v>2208</v>
      </c>
      <c r="C1085" s="510">
        <v>0</v>
      </c>
      <c r="D1085" s="510">
        <v>0</v>
      </c>
      <c r="E1085" s="510">
        <v>0</v>
      </c>
      <c r="F1085" s="510">
        <v>0</v>
      </c>
      <c r="G1085" s="510">
        <v>0</v>
      </c>
    </row>
    <row r="1086" spans="1:7" x14ac:dyDescent="0.25">
      <c r="A1086" s="509" t="s">
        <v>2685</v>
      </c>
      <c r="B1086" s="509" t="s">
        <v>2210</v>
      </c>
      <c r="C1086" s="510">
        <v>0</v>
      </c>
      <c r="D1086" s="510">
        <v>0</v>
      </c>
      <c r="E1086" s="510">
        <v>0</v>
      </c>
      <c r="F1086" s="510">
        <v>0</v>
      </c>
      <c r="G1086" s="510">
        <v>0</v>
      </c>
    </row>
    <row r="1087" spans="1:7" x14ac:dyDescent="0.25">
      <c r="A1087" s="509" t="s">
        <v>2686</v>
      </c>
      <c r="B1087" s="509" t="s">
        <v>2212</v>
      </c>
      <c r="C1087" s="510">
        <v>0</v>
      </c>
      <c r="D1087" s="510">
        <v>0</v>
      </c>
      <c r="E1087" s="510">
        <v>0</v>
      </c>
      <c r="F1087" s="510">
        <v>0</v>
      </c>
      <c r="G1087" s="510">
        <v>0</v>
      </c>
    </row>
    <row r="1088" spans="1:7" x14ac:dyDescent="0.25">
      <c r="A1088" s="509" t="s">
        <v>2687</v>
      </c>
      <c r="B1088" s="509" t="s">
        <v>2214</v>
      </c>
      <c r="C1088" s="510">
        <v>0</v>
      </c>
      <c r="D1088" s="510">
        <v>0</v>
      </c>
      <c r="E1088" s="510">
        <v>0</v>
      </c>
      <c r="F1088" s="510">
        <v>0</v>
      </c>
      <c r="G1088" s="510">
        <v>0</v>
      </c>
    </row>
    <row r="1089" spans="1:7" x14ac:dyDescent="0.25">
      <c r="A1089" s="509" t="s">
        <v>2688</v>
      </c>
      <c r="B1089" s="509" t="s">
        <v>2216</v>
      </c>
      <c r="C1089" s="510">
        <v>0</v>
      </c>
      <c r="D1089" s="510">
        <v>0</v>
      </c>
      <c r="E1089" s="510">
        <v>0</v>
      </c>
      <c r="F1089" s="510">
        <v>0</v>
      </c>
      <c r="G1089" s="510">
        <v>0</v>
      </c>
    </row>
    <row r="1090" spans="1:7" x14ac:dyDescent="0.25">
      <c r="A1090" s="509" t="s">
        <v>2689</v>
      </c>
      <c r="B1090" s="509" t="s">
        <v>2218</v>
      </c>
      <c r="C1090" s="510">
        <v>0</v>
      </c>
      <c r="D1090" s="510">
        <v>-284003.34999999998</v>
      </c>
      <c r="E1090" s="510">
        <v>0</v>
      </c>
      <c r="F1090" s="510">
        <v>0</v>
      </c>
      <c r="G1090" s="510">
        <v>-284003.34999999998</v>
      </c>
    </row>
    <row r="1091" spans="1:7" x14ac:dyDescent="0.25">
      <c r="A1091" s="509" t="s">
        <v>2690</v>
      </c>
      <c r="B1091" s="509" t="s">
        <v>2222</v>
      </c>
      <c r="C1091" s="510">
        <v>0</v>
      </c>
      <c r="D1091" s="510">
        <v>0</v>
      </c>
      <c r="E1091" s="510">
        <v>0</v>
      </c>
      <c r="F1091" s="510">
        <v>0</v>
      </c>
      <c r="G1091" s="510">
        <v>0</v>
      </c>
    </row>
    <row r="1092" spans="1:7" x14ac:dyDescent="0.25">
      <c r="A1092" s="509" t="s">
        <v>2691</v>
      </c>
      <c r="B1092" s="509" t="s">
        <v>2224</v>
      </c>
      <c r="C1092" s="510">
        <v>0</v>
      </c>
      <c r="D1092" s="510">
        <v>0</v>
      </c>
      <c r="E1092" s="510">
        <v>0</v>
      </c>
      <c r="F1092" s="510">
        <v>0</v>
      </c>
      <c r="G1092" s="510">
        <v>0</v>
      </c>
    </row>
    <row r="1093" spans="1:7" x14ac:dyDescent="0.25">
      <c r="A1093" s="509" t="s">
        <v>2692</v>
      </c>
      <c r="B1093" s="509" t="s">
        <v>2228</v>
      </c>
      <c r="C1093" s="510">
        <v>0</v>
      </c>
      <c r="D1093" s="510">
        <v>-165115.04999999999</v>
      </c>
      <c r="E1093" s="510">
        <v>44859.6</v>
      </c>
      <c r="F1093" s="510">
        <v>0</v>
      </c>
      <c r="G1093" s="510">
        <v>-120255.45</v>
      </c>
    </row>
    <row r="1094" spans="1:7" x14ac:dyDescent="0.25">
      <c r="A1094" s="509" t="s">
        <v>901</v>
      </c>
      <c r="B1094" s="509" t="s">
        <v>24</v>
      </c>
      <c r="C1094" s="510">
        <v>4238977</v>
      </c>
      <c r="D1094" s="510">
        <v>0</v>
      </c>
      <c r="E1094" s="510">
        <v>3854.81</v>
      </c>
      <c r="F1094" s="510">
        <v>1731864</v>
      </c>
      <c r="G1094" s="510">
        <v>-1728009.19</v>
      </c>
    </row>
    <row r="1095" spans="1:7" x14ac:dyDescent="0.25">
      <c r="A1095" s="509" t="s">
        <v>894</v>
      </c>
      <c r="B1095" s="509" t="s">
        <v>1121</v>
      </c>
      <c r="C1095" s="510">
        <v>0</v>
      </c>
      <c r="D1095" s="510">
        <v>0</v>
      </c>
      <c r="E1095" s="510">
        <v>0</v>
      </c>
      <c r="F1095" s="510">
        <v>0</v>
      </c>
      <c r="G1095" s="510">
        <v>0</v>
      </c>
    </row>
    <row r="1096" spans="1:7" x14ac:dyDescent="0.25">
      <c r="A1096" s="509" t="s">
        <v>895</v>
      </c>
      <c r="B1096" s="509" t="s">
        <v>1122</v>
      </c>
      <c r="C1096" s="510">
        <v>0</v>
      </c>
      <c r="D1096" s="510">
        <v>0</v>
      </c>
      <c r="E1096" s="510">
        <v>0</v>
      </c>
      <c r="F1096" s="510">
        <v>0</v>
      </c>
      <c r="G1096" s="510">
        <v>0</v>
      </c>
    </row>
    <row r="1097" spans="1:7" x14ac:dyDescent="0.25">
      <c r="A1097" s="509" t="s">
        <v>896</v>
      </c>
      <c r="B1097" s="509" t="s">
        <v>1123</v>
      </c>
      <c r="C1097" s="510">
        <v>0</v>
      </c>
      <c r="D1097" s="510">
        <v>0</v>
      </c>
      <c r="E1097" s="510">
        <v>0</v>
      </c>
      <c r="F1097" s="510">
        <v>0</v>
      </c>
      <c r="G1097" s="510">
        <v>0</v>
      </c>
    </row>
    <row r="1098" spans="1:7" x14ac:dyDescent="0.25">
      <c r="A1098" s="509" t="s">
        <v>897</v>
      </c>
      <c r="B1098" s="509" t="s">
        <v>1124</v>
      </c>
      <c r="C1098" s="510">
        <v>0</v>
      </c>
      <c r="D1098" s="510">
        <v>0</v>
      </c>
      <c r="E1098" s="510">
        <v>0</v>
      </c>
      <c r="F1098" s="510">
        <v>0</v>
      </c>
      <c r="G1098" s="510">
        <v>0</v>
      </c>
    </row>
    <row r="1099" spans="1:7" x14ac:dyDescent="0.25">
      <c r="A1099" s="509" t="s">
        <v>898</v>
      </c>
      <c r="B1099" s="509" t="s">
        <v>1125</v>
      </c>
      <c r="C1099" s="510">
        <v>0</v>
      </c>
      <c r="D1099" s="510">
        <v>0</v>
      </c>
      <c r="E1099" s="510">
        <v>0</v>
      </c>
      <c r="F1099" s="510">
        <v>0</v>
      </c>
      <c r="G1099" s="510">
        <v>0</v>
      </c>
    </row>
    <row r="1100" spans="1:7" x14ac:dyDescent="0.25">
      <c r="A1100" s="509" t="s">
        <v>899</v>
      </c>
      <c r="B1100" s="509" t="s">
        <v>6</v>
      </c>
      <c r="C1100" s="510">
        <v>141964</v>
      </c>
      <c r="D1100" s="510">
        <v>0</v>
      </c>
      <c r="E1100" s="510">
        <v>0</v>
      </c>
      <c r="F1100" s="510">
        <v>58139.81</v>
      </c>
      <c r="G1100" s="510">
        <v>-58139.81</v>
      </c>
    </row>
    <row r="1101" spans="1:7" x14ac:dyDescent="0.25">
      <c r="A1101" s="509" t="s">
        <v>1136</v>
      </c>
      <c r="B1101" s="509" t="s">
        <v>855</v>
      </c>
      <c r="C1101" s="510">
        <v>0</v>
      </c>
      <c r="D1101" s="510">
        <v>0</v>
      </c>
      <c r="E1101" s="510">
        <v>0</v>
      </c>
      <c r="F1101" s="510">
        <v>0</v>
      </c>
      <c r="G1101" s="510">
        <v>0</v>
      </c>
    </row>
    <row r="1102" spans="1:7" x14ac:dyDescent="0.25">
      <c r="A1102" s="509" t="s">
        <v>2693</v>
      </c>
      <c r="B1102" s="509" t="s">
        <v>2694</v>
      </c>
      <c r="C1102" s="510">
        <v>0</v>
      </c>
      <c r="D1102" s="510">
        <v>0</v>
      </c>
      <c r="E1102" s="510">
        <v>0</v>
      </c>
      <c r="F1102" s="510">
        <v>0</v>
      </c>
      <c r="G1102" s="510">
        <v>0</v>
      </c>
    </row>
    <row r="1103" spans="1:7" x14ac:dyDescent="0.25">
      <c r="A1103" s="509" t="s">
        <v>907</v>
      </c>
      <c r="B1103" s="509" t="s">
        <v>1126</v>
      </c>
      <c r="C1103" s="510">
        <v>17370</v>
      </c>
      <c r="D1103" s="510">
        <v>0</v>
      </c>
      <c r="E1103" s="510">
        <v>888.25</v>
      </c>
      <c r="F1103" s="510">
        <v>24927.91</v>
      </c>
      <c r="G1103" s="510">
        <v>-24039.66</v>
      </c>
    </row>
    <row r="1104" spans="1:7" x14ac:dyDescent="0.25">
      <c r="A1104" s="509" t="s">
        <v>902</v>
      </c>
      <c r="B1104" s="509" t="s">
        <v>8</v>
      </c>
      <c r="C1104" s="510">
        <v>12300</v>
      </c>
      <c r="D1104" s="510">
        <v>0</v>
      </c>
      <c r="E1104" s="510">
        <v>0</v>
      </c>
      <c r="F1104" s="510">
        <v>1605</v>
      </c>
      <c r="G1104" s="510">
        <v>-1605</v>
      </c>
    </row>
    <row r="1105" spans="1:7" x14ac:dyDescent="0.25">
      <c r="A1105" s="509" t="s">
        <v>903</v>
      </c>
      <c r="B1105" s="509" t="s">
        <v>188</v>
      </c>
      <c r="C1105" s="510">
        <v>1006500</v>
      </c>
      <c r="D1105" s="510">
        <v>0</v>
      </c>
      <c r="E1105" s="510">
        <v>0</v>
      </c>
      <c r="F1105" s="510">
        <v>959975.36</v>
      </c>
      <c r="G1105" s="510">
        <v>-959975.36</v>
      </c>
    </row>
    <row r="1106" spans="1:7" x14ac:dyDescent="0.25">
      <c r="A1106" s="509" t="s">
        <v>2695</v>
      </c>
      <c r="B1106" s="509" t="s">
        <v>2696</v>
      </c>
      <c r="C1106" s="510">
        <v>0</v>
      </c>
      <c r="D1106" s="510">
        <v>0</v>
      </c>
      <c r="E1106" s="510">
        <v>0</v>
      </c>
      <c r="F1106" s="510">
        <v>0</v>
      </c>
      <c r="G1106" s="510">
        <v>0</v>
      </c>
    </row>
    <row r="1107" spans="1:7" x14ac:dyDescent="0.25">
      <c r="A1107" s="509" t="s">
        <v>2697</v>
      </c>
      <c r="B1107" s="509" t="s">
        <v>2698</v>
      </c>
      <c r="C1107" s="510">
        <v>0</v>
      </c>
      <c r="D1107" s="510">
        <v>0</v>
      </c>
      <c r="E1107" s="510">
        <v>0</v>
      </c>
      <c r="F1107" s="510">
        <v>0</v>
      </c>
      <c r="G1107" s="510">
        <v>0</v>
      </c>
    </row>
    <row r="1108" spans="1:7" x14ac:dyDescent="0.25">
      <c r="A1108" s="509" t="s">
        <v>904</v>
      </c>
      <c r="B1108" s="509" t="s">
        <v>9</v>
      </c>
      <c r="C1108" s="510">
        <v>967270</v>
      </c>
      <c r="D1108" s="510">
        <v>0</v>
      </c>
      <c r="E1108" s="510">
        <v>0</v>
      </c>
      <c r="F1108" s="510">
        <v>485566.75</v>
      </c>
      <c r="G1108" s="510">
        <v>-485566.75</v>
      </c>
    </row>
    <row r="1109" spans="1:7" x14ac:dyDescent="0.25">
      <c r="A1109" s="509" t="s">
        <v>2699</v>
      </c>
      <c r="B1109" s="509" t="s">
        <v>2700</v>
      </c>
      <c r="C1109" s="510">
        <v>0</v>
      </c>
      <c r="D1109" s="510">
        <v>0</v>
      </c>
      <c r="E1109" s="510">
        <v>0</v>
      </c>
      <c r="F1109" s="510">
        <v>0</v>
      </c>
      <c r="G1109" s="510">
        <v>0</v>
      </c>
    </row>
    <row r="1110" spans="1:7" x14ac:dyDescent="0.25">
      <c r="A1110" s="509" t="s">
        <v>900</v>
      </c>
      <c r="B1110" s="509" t="s">
        <v>10</v>
      </c>
      <c r="C1110" s="510">
        <v>0</v>
      </c>
      <c r="D1110" s="510">
        <v>0</v>
      </c>
      <c r="E1110" s="510">
        <v>0</v>
      </c>
      <c r="F1110" s="510">
        <v>0</v>
      </c>
      <c r="G1110" s="510">
        <v>0</v>
      </c>
    </row>
    <row r="1111" spans="1:7" x14ac:dyDescent="0.25">
      <c r="A1111" s="509" t="s">
        <v>2701</v>
      </c>
      <c r="B1111" s="509" t="s">
        <v>2702</v>
      </c>
      <c r="C1111" s="510">
        <v>0</v>
      </c>
      <c r="D1111" s="510">
        <v>0</v>
      </c>
      <c r="E1111" s="510">
        <v>0</v>
      </c>
      <c r="F1111" s="510">
        <v>0</v>
      </c>
      <c r="G1111" s="510">
        <v>0</v>
      </c>
    </row>
    <row r="1112" spans="1:7" x14ac:dyDescent="0.25">
      <c r="A1112" s="509" t="s">
        <v>2703</v>
      </c>
      <c r="B1112" s="509" t="s">
        <v>2704</v>
      </c>
      <c r="C1112" s="510">
        <v>0</v>
      </c>
      <c r="D1112" s="510">
        <v>0</v>
      </c>
      <c r="E1112" s="510">
        <v>0</v>
      </c>
      <c r="F1112" s="510">
        <v>0</v>
      </c>
      <c r="G1112" s="510">
        <v>0</v>
      </c>
    </row>
    <row r="1113" spans="1:7" x14ac:dyDescent="0.25">
      <c r="A1113" s="509" t="s">
        <v>2705</v>
      </c>
      <c r="B1113" s="509" t="s">
        <v>2706</v>
      </c>
      <c r="C1113" s="510">
        <v>0</v>
      </c>
      <c r="D1113" s="510">
        <v>0</v>
      </c>
      <c r="E1113" s="510">
        <v>0</v>
      </c>
      <c r="F1113" s="510">
        <v>0</v>
      </c>
      <c r="G1113" s="510">
        <v>0</v>
      </c>
    </row>
    <row r="1114" spans="1:7" x14ac:dyDescent="0.25">
      <c r="A1114" s="509" t="s">
        <v>2707</v>
      </c>
      <c r="B1114" s="509" t="s">
        <v>2708</v>
      </c>
      <c r="C1114" s="510">
        <v>0</v>
      </c>
      <c r="D1114" s="510">
        <v>0</v>
      </c>
      <c r="E1114" s="510">
        <v>0</v>
      </c>
      <c r="F1114" s="510">
        <v>0</v>
      </c>
      <c r="G1114" s="510">
        <v>0</v>
      </c>
    </row>
    <row r="1115" spans="1:7" x14ac:dyDescent="0.25">
      <c r="A1115" s="509" t="s">
        <v>2709</v>
      </c>
      <c r="B1115" s="509" t="s">
        <v>2710</v>
      </c>
      <c r="C1115" s="510">
        <v>0</v>
      </c>
      <c r="D1115" s="510">
        <v>0</v>
      </c>
      <c r="E1115" s="510">
        <v>0</v>
      </c>
      <c r="F1115" s="510">
        <v>0</v>
      </c>
      <c r="G1115" s="510">
        <v>0</v>
      </c>
    </row>
    <row r="1116" spans="1:7" x14ac:dyDescent="0.25">
      <c r="A1116" s="509" t="s">
        <v>905</v>
      </c>
      <c r="B1116" s="509" t="s">
        <v>11</v>
      </c>
      <c r="C1116" s="510">
        <v>110000</v>
      </c>
      <c r="D1116" s="510">
        <v>0</v>
      </c>
      <c r="E1116" s="510">
        <v>0</v>
      </c>
      <c r="F1116" s="510">
        <v>78963.53</v>
      </c>
      <c r="G1116" s="510">
        <v>-78963.53</v>
      </c>
    </row>
    <row r="1117" spans="1:7" x14ac:dyDescent="0.25">
      <c r="A1117" s="509" t="s">
        <v>906</v>
      </c>
      <c r="B1117" s="509" t="s">
        <v>12</v>
      </c>
      <c r="C1117" s="510">
        <v>1922400</v>
      </c>
      <c r="D1117" s="510">
        <v>0</v>
      </c>
      <c r="E1117" s="510">
        <v>0</v>
      </c>
      <c r="F1117" s="510">
        <v>111287</v>
      </c>
      <c r="G1117" s="510">
        <v>-111287</v>
      </c>
    </row>
    <row r="1118" spans="1:7" x14ac:dyDescent="0.25">
      <c r="A1118" s="509" t="s">
        <v>916</v>
      </c>
      <c r="B1118" s="509" t="s">
        <v>13</v>
      </c>
      <c r="C1118" s="510">
        <v>14250</v>
      </c>
      <c r="D1118" s="510">
        <v>0</v>
      </c>
      <c r="E1118" s="510">
        <v>0</v>
      </c>
      <c r="F1118" s="510">
        <v>7095.22</v>
      </c>
      <c r="G1118" s="510">
        <v>-7095.22</v>
      </c>
    </row>
    <row r="1119" spans="1:7" x14ac:dyDescent="0.25">
      <c r="A1119" s="509" t="s">
        <v>2711</v>
      </c>
      <c r="B1119" s="509" t="s">
        <v>2230</v>
      </c>
      <c r="C1119" s="510">
        <v>0</v>
      </c>
      <c r="D1119" s="510">
        <v>0</v>
      </c>
      <c r="E1119" s="510">
        <v>0</v>
      </c>
      <c r="F1119" s="510">
        <v>0</v>
      </c>
      <c r="G1119" s="510">
        <v>0</v>
      </c>
    </row>
    <row r="1120" spans="1:7" x14ac:dyDescent="0.25">
      <c r="A1120" s="509" t="s">
        <v>917</v>
      </c>
      <c r="B1120" s="509" t="s">
        <v>15</v>
      </c>
      <c r="C1120" s="510">
        <v>68000</v>
      </c>
      <c r="D1120" s="510">
        <v>0</v>
      </c>
      <c r="E1120" s="510">
        <v>6911</v>
      </c>
      <c r="F1120" s="510">
        <v>40776.870000000003</v>
      </c>
      <c r="G1120" s="510">
        <v>-33865.870000000003</v>
      </c>
    </row>
    <row r="1121" spans="1:7" x14ac:dyDescent="0.25">
      <c r="A1121" s="509" t="s">
        <v>946</v>
      </c>
      <c r="B1121" s="509" t="s">
        <v>843</v>
      </c>
      <c r="C1121" s="510">
        <v>65</v>
      </c>
      <c r="D1121" s="510">
        <v>0</v>
      </c>
      <c r="E1121" s="510">
        <v>0</v>
      </c>
      <c r="F1121" s="510">
        <v>30.92</v>
      </c>
      <c r="G1121" s="510">
        <v>-30.92</v>
      </c>
    </row>
    <row r="1122" spans="1:7" x14ac:dyDescent="0.25">
      <c r="A1122" s="509" t="s">
        <v>908</v>
      </c>
      <c r="B1122" s="509" t="s">
        <v>16</v>
      </c>
      <c r="C1122" s="510">
        <v>10000</v>
      </c>
      <c r="D1122" s="510">
        <v>0</v>
      </c>
      <c r="E1122" s="510">
        <v>0</v>
      </c>
      <c r="F1122" s="510">
        <v>2237</v>
      </c>
      <c r="G1122" s="510">
        <v>-2237</v>
      </c>
    </row>
    <row r="1123" spans="1:7" x14ac:dyDescent="0.25">
      <c r="A1123" s="509" t="s">
        <v>2712</v>
      </c>
      <c r="B1123" s="509" t="s">
        <v>2232</v>
      </c>
      <c r="C1123" s="510">
        <v>0</v>
      </c>
      <c r="D1123" s="510">
        <v>0</v>
      </c>
      <c r="E1123" s="510">
        <v>0</v>
      </c>
      <c r="F1123" s="510">
        <v>0</v>
      </c>
      <c r="G1123" s="510">
        <v>0</v>
      </c>
    </row>
    <row r="1124" spans="1:7" x14ac:dyDescent="0.25">
      <c r="A1124" s="509" t="s">
        <v>909</v>
      </c>
      <c r="B1124" s="509" t="s">
        <v>17</v>
      </c>
      <c r="C1124" s="510">
        <v>22100</v>
      </c>
      <c r="D1124" s="510">
        <v>0</v>
      </c>
      <c r="E1124" s="510">
        <v>0</v>
      </c>
      <c r="F1124" s="510">
        <v>5538.41</v>
      </c>
      <c r="G1124" s="510">
        <v>-5538.41</v>
      </c>
    </row>
    <row r="1125" spans="1:7" x14ac:dyDescent="0.25">
      <c r="A1125" s="509" t="s">
        <v>1137</v>
      </c>
      <c r="B1125" s="509" t="s">
        <v>18</v>
      </c>
      <c r="C1125" s="510">
        <v>0</v>
      </c>
      <c r="D1125" s="510">
        <v>0</v>
      </c>
      <c r="E1125" s="510">
        <v>0</v>
      </c>
      <c r="F1125" s="510">
        <v>0</v>
      </c>
      <c r="G1125" s="510">
        <v>0</v>
      </c>
    </row>
    <row r="1126" spans="1:7" x14ac:dyDescent="0.25">
      <c r="A1126" s="509" t="s">
        <v>2713</v>
      </c>
      <c r="B1126" s="509" t="s">
        <v>2234</v>
      </c>
      <c r="C1126" s="510">
        <v>0</v>
      </c>
      <c r="D1126" s="510">
        <v>0</v>
      </c>
      <c r="E1126" s="510">
        <v>0</v>
      </c>
      <c r="F1126" s="510">
        <v>0</v>
      </c>
      <c r="G1126" s="510">
        <v>0</v>
      </c>
    </row>
    <row r="1127" spans="1:7" x14ac:dyDescent="0.25">
      <c r="A1127" s="509" t="s">
        <v>910</v>
      </c>
      <c r="B1127" s="509" t="s">
        <v>19</v>
      </c>
      <c r="C1127" s="510">
        <v>5000</v>
      </c>
      <c r="D1127" s="510">
        <v>0</v>
      </c>
      <c r="E1127" s="510">
        <v>226.47</v>
      </c>
      <c r="F1127" s="510">
        <v>7668</v>
      </c>
      <c r="G1127" s="510">
        <v>-7441.53</v>
      </c>
    </row>
    <row r="1128" spans="1:7" x14ac:dyDescent="0.25">
      <c r="A1128" s="509" t="s">
        <v>2714</v>
      </c>
      <c r="B1128" s="509" t="s">
        <v>2238</v>
      </c>
      <c r="C1128" s="510">
        <v>0</v>
      </c>
      <c r="D1128" s="510">
        <v>0</v>
      </c>
      <c r="E1128" s="510">
        <v>0</v>
      </c>
      <c r="F1128" s="510">
        <v>0</v>
      </c>
      <c r="G1128" s="510">
        <v>0</v>
      </c>
    </row>
    <row r="1129" spans="1:7" x14ac:dyDescent="0.25">
      <c r="A1129" s="509" t="s">
        <v>911</v>
      </c>
      <c r="B1129" s="509" t="s">
        <v>1128</v>
      </c>
      <c r="C1129" s="510">
        <v>19550</v>
      </c>
      <c r="D1129" s="510">
        <v>0</v>
      </c>
      <c r="E1129" s="510">
        <v>0</v>
      </c>
      <c r="F1129" s="510">
        <v>0</v>
      </c>
      <c r="G1129" s="510">
        <v>0</v>
      </c>
    </row>
    <row r="1130" spans="1:7" x14ac:dyDescent="0.25">
      <c r="A1130" s="509" t="s">
        <v>950</v>
      </c>
      <c r="B1130" s="509" t="s">
        <v>1129</v>
      </c>
      <c r="C1130" s="510">
        <v>5650</v>
      </c>
      <c r="D1130" s="510">
        <v>0</v>
      </c>
      <c r="E1130" s="510">
        <v>0</v>
      </c>
      <c r="F1130" s="510">
        <v>0</v>
      </c>
      <c r="G1130" s="510">
        <v>0</v>
      </c>
    </row>
    <row r="1131" spans="1:7" x14ac:dyDescent="0.25">
      <c r="A1131" s="509" t="s">
        <v>912</v>
      </c>
      <c r="B1131" s="509" t="s">
        <v>181</v>
      </c>
      <c r="C1131" s="510">
        <v>24000</v>
      </c>
      <c r="D1131" s="510">
        <v>0</v>
      </c>
      <c r="E1131" s="510">
        <v>0</v>
      </c>
      <c r="F1131" s="510">
        <v>12000</v>
      </c>
      <c r="G1131" s="510">
        <v>-12000</v>
      </c>
    </row>
    <row r="1132" spans="1:7" x14ac:dyDescent="0.25">
      <c r="A1132" s="509" t="s">
        <v>913</v>
      </c>
      <c r="B1132" s="509" t="s">
        <v>21</v>
      </c>
      <c r="C1132" s="510">
        <v>0</v>
      </c>
      <c r="D1132" s="510">
        <v>0</v>
      </c>
      <c r="E1132" s="510">
        <v>8040.62</v>
      </c>
      <c r="F1132" s="510">
        <v>198658.95</v>
      </c>
      <c r="G1132" s="510">
        <v>-190618.33</v>
      </c>
    </row>
    <row r="1133" spans="1:7" x14ac:dyDescent="0.25">
      <c r="A1133" s="509" t="s">
        <v>2715</v>
      </c>
      <c r="B1133" s="509" t="s">
        <v>2242</v>
      </c>
      <c r="C1133" s="510">
        <v>0</v>
      </c>
      <c r="D1133" s="510">
        <v>0</v>
      </c>
      <c r="E1133" s="510">
        <v>0</v>
      </c>
      <c r="F1133" s="510">
        <v>0</v>
      </c>
      <c r="G1133" s="510">
        <v>0</v>
      </c>
    </row>
    <row r="1134" spans="1:7" x14ac:dyDescent="0.25">
      <c r="A1134" s="509" t="s">
        <v>1138</v>
      </c>
      <c r="B1134" s="509" t="s">
        <v>1131</v>
      </c>
      <c r="C1134" s="510">
        <v>93307.97</v>
      </c>
      <c r="D1134" s="510">
        <v>0</v>
      </c>
      <c r="E1134" s="510">
        <v>0</v>
      </c>
      <c r="F1134" s="510">
        <v>44859.6</v>
      </c>
      <c r="G1134" s="510">
        <v>-44859.6</v>
      </c>
    </row>
    <row r="1135" spans="1:7" x14ac:dyDescent="0.25">
      <c r="A1135" s="509" t="s">
        <v>2716</v>
      </c>
      <c r="B1135" s="509" t="s">
        <v>2244</v>
      </c>
      <c r="C1135" s="510">
        <v>0</v>
      </c>
      <c r="D1135" s="510">
        <v>0</v>
      </c>
      <c r="E1135" s="510">
        <v>0</v>
      </c>
      <c r="F1135" s="510">
        <v>0</v>
      </c>
      <c r="G1135" s="510">
        <v>0</v>
      </c>
    </row>
    <row r="1136" spans="1:7" x14ac:dyDescent="0.25">
      <c r="A1136" s="509" t="s">
        <v>915</v>
      </c>
      <c r="B1136" s="509" t="s">
        <v>32</v>
      </c>
      <c r="C1136" s="510">
        <v>0</v>
      </c>
      <c r="D1136" s="510">
        <v>0</v>
      </c>
      <c r="E1136" s="510">
        <v>0</v>
      </c>
      <c r="F1136" s="510">
        <v>0</v>
      </c>
      <c r="G1136" s="510">
        <v>0</v>
      </c>
    </row>
    <row r="1137" spans="1:7" x14ac:dyDescent="0.25">
      <c r="A1137" s="509" t="s">
        <v>2717</v>
      </c>
      <c r="B1137" s="509" t="s">
        <v>2246</v>
      </c>
      <c r="C1137" s="510">
        <v>0</v>
      </c>
      <c r="D1137" s="510">
        <v>0</v>
      </c>
      <c r="E1137" s="510">
        <v>0</v>
      </c>
      <c r="F1137" s="510">
        <v>0</v>
      </c>
      <c r="G1137" s="510">
        <v>0</v>
      </c>
    </row>
    <row r="1138" spans="1:7" x14ac:dyDescent="0.25">
      <c r="A1138" s="509" t="s">
        <v>914</v>
      </c>
      <c r="B1138" s="509" t="s">
        <v>867</v>
      </c>
      <c r="C1138" s="510">
        <v>0</v>
      </c>
      <c r="D1138" s="510">
        <v>0</v>
      </c>
      <c r="E1138" s="510">
        <v>0</v>
      </c>
      <c r="F1138" s="510">
        <v>0</v>
      </c>
      <c r="G1138" s="510">
        <v>0</v>
      </c>
    </row>
    <row r="1139" spans="1:7" x14ac:dyDescent="0.25">
      <c r="A1139" s="509" t="s">
        <v>2718</v>
      </c>
      <c r="B1139" s="509" t="s">
        <v>2248</v>
      </c>
      <c r="C1139" s="510">
        <v>0</v>
      </c>
      <c r="D1139" s="510">
        <v>0</v>
      </c>
      <c r="E1139" s="510">
        <v>0</v>
      </c>
      <c r="F1139" s="510">
        <v>0</v>
      </c>
      <c r="G1139" s="510">
        <v>0</v>
      </c>
    </row>
    <row r="1140" spans="1:7" x14ac:dyDescent="0.25">
      <c r="A1140" s="509" t="s">
        <v>781</v>
      </c>
      <c r="B1140" s="509" t="s">
        <v>665</v>
      </c>
      <c r="C1140" s="510">
        <v>542049</v>
      </c>
      <c r="D1140" s="510">
        <v>0</v>
      </c>
      <c r="E1140" s="510">
        <v>254206.23</v>
      </c>
      <c r="F1140" s="510">
        <v>18804.28</v>
      </c>
      <c r="G1140" s="510">
        <v>235401.95</v>
      </c>
    </row>
    <row r="1141" spans="1:7" x14ac:dyDescent="0.25">
      <c r="A1141" s="509" t="s">
        <v>782</v>
      </c>
      <c r="B1141" s="509" t="s">
        <v>667</v>
      </c>
      <c r="C1141" s="510">
        <v>0</v>
      </c>
      <c r="D1141" s="510">
        <v>0</v>
      </c>
      <c r="E1141" s="510">
        <v>0</v>
      </c>
      <c r="F1141" s="510">
        <v>0</v>
      </c>
      <c r="G1141" s="510">
        <v>0</v>
      </c>
    </row>
    <row r="1142" spans="1:7" x14ac:dyDescent="0.25">
      <c r="A1142" s="509" t="s">
        <v>768</v>
      </c>
      <c r="B1142" s="509" t="s">
        <v>37</v>
      </c>
      <c r="C1142" s="510">
        <v>9555.52</v>
      </c>
      <c r="D1142" s="510">
        <v>0</v>
      </c>
      <c r="E1142" s="510">
        <v>6261.59</v>
      </c>
      <c r="F1142" s="510">
        <v>171.28</v>
      </c>
      <c r="G1142" s="510">
        <v>6090.31</v>
      </c>
    </row>
    <row r="1143" spans="1:7" x14ac:dyDescent="0.25">
      <c r="A1143" s="509" t="s">
        <v>776</v>
      </c>
      <c r="B1143" s="509" t="s">
        <v>1076</v>
      </c>
      <c r="C1143" s="510">
        <v>0</v>
      </c>
      <c r="D1143" s="510">
        <v>0</v>
      </c>
      <c r="E1143" s="510">
        <v>0</v>
      </c>
      <c r="F1143" s="510">
        <v>0</v>
      </c>
      <c r="G1143" s="510">
        <v>0</v>
      </c>
    </row>
    <row r="1144" spans="1:7" x14ac:dyDescent="0.25">
      <c r="A1144" s="509" t="s">
        <v>747</v>
      </c>
      <c r="B1144" s="509" t="s">
        <v>153</v>
      </c>
      <c r="C1144" s="510">
        <v>31343</v>
      </c>
      <c r="D1144" s="510">
        <v>0</v>
      </c>
      <c r="E1144" s="510">
        <v>13254.27</v>
      </c>
      <c r="F1144" s="510">
        <v>1116.46</v>
      </c>
      <c r="G1144" s="510">
        <v>12137.81</v>
      </c>
    </row>
    <row r="1145" spans="1:7" x14ac:dyDescent="0.25">
      <c r="A1145" s="509" t="s">
        <v>761</v>
      </c>
      <c r="B1145" s="509" t="s">
        <v>154</v>
      </c>
      <c r="C1145" s="510">
        <v>7998</v>
      </c>
      <c r="D1145" s="510">
        <v>0</v>
      </c>
      <c r="E1145" s="510">
        <v>3697.6</v>
      </c>
      <c r="F1145" s="510">
        <v>261.06</v>
      </c>
      <c r="G1145" s="510">
        <v>3436.54</v>
      </c>
    </row>
    <row r="1146" spans="1:7" x14ac:dyDescent="0.25">
      <c r="A1146" s="509" t="s">
        <v>762</v>
      </c>
      <c r="B1146" s="509" t="s">
        <v>38</v>
      </c>
      <c r="C1146" s="510">
        <v>103201</v>
      </c>
      <c r="D1146" s="510">
        <v>0</v>
      </c>
      <c r="E1146" s="510">
        <v>44053.69</v>
      </c>
      <c r="F1146" s="510">
        <v>437.14</v>
      </c>
      <c r="G1146" s="510">
        <v>43616.55</v>
      </c>
    </row>
    <row r="1147" spans="1:7" x14ac:dyDescent="0.25">
      <c r="A1147" s="509" t="s">
        <v>743</v>
      </c>
      <c r="B1147" s="509" t="s">
        <v>77</v>
      </c>
      <c r="C1147" s="510">
        <v>6362</v>
      </c>
      <c r="D1147" s="510">
        <v>0</v>
      </c>
      <c r="E1147" s="510">
        <v>2273.77</v>
      </c>
      <c r="F1147" s="510">
        <v>50.82</v>
      </c>
      <c r="G1147" s="510">
        <v>2222.9499999999998</v>
      </c>
    </row>
    <row r="1148" spans="1:7" x14ac:dyDescent="0.25">
      <c r="A1148" s="509" t="s">
        <v>780</v>
      </c>
      <c r="B1148" s="509" t="s">
        <v>78</v>
      </c>
      <c r="C1148" s="510">
        <v>1181</v>
      </c>
      <c r="D1148" s="510">
        <v>0</v>
      </c>
      <c r="E1148" s="510">
        <v>620.32000000000005</v>
      </c>
      <c r="F1148" s="510">
        <v>0</v>
      </c>
      <c r="G1148" s="510">
        <v>620.32000000000005</v>
      </c>
    </row>
    <row r="1149" spans="1:7" x14ac:dyDescent="0.25">
      <c r="A1149" s="509" t="s">
        <v>783</v>
      </c>
      <c r="B1149" s="509" t="s">
        <v>893</v>
      </c>
      <c r="C1149" s="510">
        <v>5678</v>
      </c>
      <c r="D1149" s="510">
        <v>0</v>
      </c>
      <c r="E1149" s="510">
        <v>2150.85</v>
      </c>
      <c r="F1149" s="510">
        <v>128.25</v>
      </c>
      <c r="G1149" s="510">
        <v>2022.6</v>
      </c>
    </row>
    <row r="1150" spans="1:7" x14ac:dyDescent="0.25">
      <c r="A1150" s="509" t="s">
        <v>759</v>
      </c>
      <c r="B1150" s="509" t="s">
        <v>2249</v>
      </c>
      <c r="C1150" s="510">
        <v>2011</v>
      </c>
      <c r="D1150" s="510">
        <v>0</v>
      </c>
      <c r="E1150" s="510">
        <v>1198.98</v>
      </c>
      <c r="F1150" s="510">
        <v>338.16</v>
      </c>
      <c r="G1150" s="510">
        <v>860.82</v>
      </c>
    </row>
    <row r="1151" spans="1:7" x14ac:dyDescent="0.25">
      <c r="A1151" s="509" t="s">
        <v>2719</v>
      </c>
      <c r="B1151" s="509" t="s">
        <v>64</v>
      </c>
      <c r="C1151" s="510">
        <v>0</v>
      </c>
      <c r="D1151" s="510">
        <v>0</v>
      </c>
      <c r="E1151" s="510">
        <v>0</v>
      </c>
      <c r="F1151" s="510">
        <v>0</v>
      </c>
      <c r="G1151" s="510">
        <v>0</v>
      </c>
    </row>
    <row r="1152" spans="1:7" x14ac:dyDescent="0.25">
      <c r="A1152" s="509" t="s">
        <v>2720</v>
      </c>
      <c r="B1152" s="509" t="s">
        <v>65</v>
      </c>
      <c r="C1152" s="510">
        <v>0</v>
      </c>
      <c r="D1152" s="510">
        <v>0</v>
      </c>
      <c r="E1152" s="510">
        <v>0</v>
      </c>
      <c r="F1152" s="510">
        <v>0</v>
      </c>
      <c r="G1152" s="510">
        <v>0</v>
      </c>
    </row>
    <row r="1153" spans="1:7" x14ac:dyDescent="0.25">
      <c r="A1153" s="509" t="s">
        <v>777</v>
      </c>
      <c r="B1153" s="509" t="s">
        <v>40</v>
      </c>
      <c r="C1153" s="510">
        <v>1966</v>
      </c>
      <c r="D1153" s="510">
        <v>0</v>
      </c>
      <c r="E1153" s="510">
        <v>77.3</v>
      </c>
      <c r="F1153" s="510">
        <v>42.53</v>
      </c>
      <c r="G1153" s="510">
        <v>34.770000000000003</v>
      </c>
    </row>
    <row r="1154" spans="1:7" x14ac:dyDescent="0.25">
      <c r="A1154" s="509" t="s">
        <v>746</v>
      </c>
      <c r="B1154" s="509" t="s">
        <v>41</v>
      </c>
      <c r="C1154" s="510">
        <v>44</v>
      </c>
      <c r="D1154" s="510">
        <v>0</v>
      </c>
      <c r="E1154" s="510">
        <v>1.5</v>
      </c>
      <c r="F1154" s="510">
        <v>1.05</v>
      </c>
      <c r="G1154" s="510">
        <v>0.45</v>
      </c>
    </row>
    <row r="1155" spans="1:7" x14ac:dyDescent="0.25">
      <c r="A1155" s="509" t="s">
        <v>738</v>
      </c>
      <c r="B1155" s="509" t="s">
        <v>155</v>
      </c>
      <c r="C1155" s="510">
        <v>3744</v>
      </c>
      <c r="D1155" s="510">
        <v>0</v>
      </c>
      <c r="E1155" s="510">
        <v>1550</v>
      </c>
      <c r="F1155" s="510">
        <v>250</v>
      </c>
      <c r="G1155" s="510">
        <v>1300</v>
      </c>
    </row>
    <row r="1156" spans="1:7" x14ac:dyDescent="0.25">
      <c r="A1156" s="509" t="s">
        <v>744</v>
      </c>
      <c r="B1156" s="509" t="s">
        <v>42</v>
      </c>
      <c r="C1156" s="510">
        <v>1645</v>
      </c>
      <c r="D1156" s="510">
        <v>0</v>
      </c>
      <c r="E1156" s="510">
        <v>636.27</v>
      </c>
      <c r="F1156" s="510">
        <v>34.28</v>
      </c>
      <c r="G1156" s="510">
        <v>601.99</v>
      </c>
    </row>
    <row r="1157" spans="1:7" x14ac:dyDescent="0.25">
      <c r="A1157" s="509" t="s">
        <v>736</v>
      </c>
      <c r="B1157" s="509" t="s">
        <v>2252</v>
      </c>
      <c r="C1157" s="510">
        <v>47921</v>
      </c>
      <c r="D1157" s="510">
        <v>0</v>
      </c>
      <c r="E1157" s="510">
        <v>19815.05</v>
      </c>
      <c r="F1157" s="510">
        <v>1495.41</v>
      </c>
      <c r="G1157" s="510">
        <v>18319.64</v>
      </c>
    </row>
    <row r="1158" spans="1:7" x14ac:dyDescent="0.25">
      <c r="A1158" s="509" t="s">
        <v>737</v>
      </c>
      <c r="B1158" s="509" t="s">
        <v>44</v>
      </c>
      <c r="C1158" s="510">
        <v>39587</v>
      </c>
      <c r="D1158" s="510">
        <v>0</v>
      </c>
      <c r="E1158" s="510">
        <v>16439</v>
      </c>
      <c r="F1158" s="510">
        <v>1234.05</v>
      </c>
      <c r="G1158" s="510">
        <v>15204.95</v>
      </c>
    </row>
    <row r="1159" spans="1:7" x14ac:dyDescent="0.25">
      <c r="A1159" s="509" t="s">
        <v>767</v>
      </c>
      <c r="B1159" s="509" t="s">
        <v>183</v>
      </c>
      <c r="C1159" s="510">
        <v>27560</v>
      </c>
      <c r="D1159" s="510">
        <v>0</v>
      </c>
      <c r="E1159" s="510">
        <v>0</v>
      </c>
      <c r="F1159" s="510">
        <v>0</v>
      </c>
      <c r="G1159" s="510">
        <v>0</v>
      </c>
    </row>
    <row r="1160" spans="1:7" x14ac:dyDescent="0.25">
      <c r="A1160" s="509" t="s">
        <v>2721</v>
      </c>
      <c r="B1160" s="509" t="s">
        <v>2254</v>
      </c>
      <c r="C1160" s="510">
        <v>0</v>
      </c>
      <c r="D1160" s="510">
        <v>0</v>
      </c>
      <c r="E1160" s="510">
        <v>659.36</v>
      </c>
      <c r="F1160" s="510">
        <v>48.04</v>
      </c>
      <c r="G1160" s="510">
        <v>611.32000000000005</v>
      </c>
    </row>
    <row r="1161" spans="1:7" x14ac:dyDescent="0.25">
      <c r="A1161" s="509" t="s">
        <v>2722</v>
      </c>
      <c r="B1161" s="509" t="s">
        <v>2256</v>
      </c>
      <c r="C1161" s="510">
        <v>0</v>
      </c>
      <c r="D1161" s="510">
        <v>0</v>
      </c>
      <c r="E1161" s="510">
        <v>839.33</v>
      </c>
      <c r="F1161" s="510">
        <v>61.15</v>
      </c>
      <c r="G1161" s="510">
        <v>778.18</v>
      </c>
    </row>
    <row r="1162" spans="1:7" x14ac:dyDescent="0.25">
      <c r="A1162" s="509" t="s">
        <v>1082</v>
      </c>
      <c r="B1162" s="509" t="s">
        <v>1079</v>
      </c>
      <c r="C1162" s="510">
        <v>68548.479999999996</v>
      </c>
      <c r="D1162" s="510">
        <v>0</v>
      </c>
      <c r="E1162" s="510">
        <v>67124.09</v>
      </c>
      <c r="F1162" s="510">
        <v>0</v>
      </c>
      <c r="G1162" s="510">
        <v>67124.09</v>
      </c>
    </row>
    <row r="1163" spans="1:7" x14ac:dyDescent="0.25">
      <c r="A1163" s="509" t="s">
        <v>758</v>
      </c>
      <c r="B1163" s="509" t="s">
        <v>156</v>
      </c>
      <c r="C1163" s="510">
        <v>49400</v>
      </c>
      <c r="D1163" s="510">
        <v>0</v>
      </c>
      <c r="E1163" s="510">
        <v>25642.799999999999</v>
      </c>
      <c r="F1163" s="510">
        <v>0</v>
      </c>
      <c r="G1163" s="510">
        <v>25642.799999999999</v>
      </c>
    </row>
    <row r="1164" spans="1:7" x14ac:dyDescent="0.25">
      <c r="A1164" s="509" t="s">
        <v>2723</v>
      </c>
      <c r="B1164" s="509" t="s">
        <v>2258</v>
      </c>
      <c r="C1164" s="510">
        <v>0</v>
      </c>
      <c r="D1164" s="510">
        <v>0</v>
      </c>
      <c r="E1164" s="510">
        <v>0</v>
      </c>
      <c r="F1164" s="510">
        <v>0</v>
      </c>
      <c r="G1164" s="510">
        <v>0</v>
      </c>
    </row>
    <row r="1165" spans="1:7" x14ac:dyDescent="0.25">
      <c r="A1165" s="509" t="s">
        <v>2724</v>
      </c>
      <c r="B1165" s="509" t="s">
        <v>2260</v>
      </c>
      <c r="C1165" s="510">
        <v>0</v>
      </c>
      <c r="D1165" s="510">
        <v>0</v>
      </c>
      <c r="E1165" s="510">
        <v>0</v>
      </c>
      <c r="F1165" s="510">
        <v>0</v>
      </c>
      <c r="G1165" s="510">
        <v>0</v>
      </c>
    </row>
    <row r="1166" spans="1:7" x14ac:dyDescent="0.25">
      <c r="A1166" s="509" t="s">
        <v>773</v>
      </c>
      <c r="B1166" s="509" t="s">
        <v>157</v>
      </c>
      <c r="C1166" s="510">
        <v>13000</v>
      </c>
      <c r="D1166" s="510">
        <v>0</v>
      </c>
      <c r="E1166" s="510">
        <v>7996.98</v>
      </c>
      <c r="F1166" s="510">
        <v>0</v>
      </c>
      <c r="G1166" s="510">
        <v>7996.98</v>
      </c>
    </row>
    <row r="1167" spans="1:7" x14ac:dyDescent="0.25">
      <c r="A1167" s="509" t="s">
        <v>730</v>
      </c>
      <c r="B1167" s="509" t="s">
        <v>158</v>
      </c>
      <c r="C1167" s="510">
        <v>3120</v>
      </c>
      <c r="D1167" s="510">
        <v>0</v>
      </c>
      <c r="E1167" s="510">
        <v>1449.48</v>
      </c>
      <c r="F1167" s="510">
        <v>0</v>
      </c>
      <c r="G1167" s="510">
        <v>1449.48</v>
      </c>
    </row>
    <row r="1168" spans="1:7" x14ac:dyDescent="0.25">
      <c r="A1168" s="509" t="s">
        <v>1083</v>
      </c>
      <c r="B1168" s="509" t="s">
        <v>846</v>
      </c>
      <c r="C1168" s="510">
        <v>0</v>
      </c>
      <c r="D1168" s="510">
        <v>0</v>
      </c>
      <c r="E1168" s="510">
        <v>0</v>
      </c>
      <c r="F1168" s="510">
        <v>0</v>
      </c>
      <c r="G1168" s="510">
        <v>0</v>
      </c>
    </row>
    <row r="1169" spans="1:7" x14ac:dyDescent="0.25">
      <c r="A1169" s="509" t="s">
        <v>1067</v>
      </c>
      <c r="B1169" s="509" t="s">
        <v>1073</v>
      </c>
      <c r="C1169" s="510">
        <v>0</v>
      </c>
      <c r="D1169" s="510">
        <v>0</v>
      </c>
      <c r="E1169" s="510">
        <v>0</v>
      </c>
      <c r="F1169" s="510">
        <v>0</v>
      </c>
      <c r="G1169" s="510">
        <v>0</v>
      </c>
    </row>
    <row r="1170" spans="1:7" x14ac:dyDescent="0.25">
      <c r="A1170" s="509" t="s">
        <v>2725</v>
      </c>
      <c r="B1170" s="509" t="s">
        <v>2263</v>
      </c>
      <c r="C1170" s="510">
        <v>0</v>
      </c>
      <c r="D1170" s="510">
        <v>0</v>
      </c>
      <c r="E1170" s="510">
        <v>0</v>
      </c>
      <c r="F1170" s="510">
        <v>0</v>
      </c>
      <c r="G1170" s="510">
        <v>0</v>
      </c>
    </row>
    <row r="1171" spans="1:7" x14ac:dyDescent="0.25">
      <c r="A1171" s="509" t="s">
        <v>765</v>
      </c>
      <c r="B1171" s="509" t="s">
        <v>159</v>
      </c>
      <c r="C1171" s="510">
        <v>7800</v>
      </c>
      <c r="D1171" s="510">
        <v>0</v>
      </c>
      <c r="E1171" s="510">
        <v>3343.39</v>
      </c>
      <c r="F1171" s="510">
        <v>0</v>
      </c>
      <c r="G1171" s="510">
        <v>3343.39</v>
      </c>
    </row>
    <row r="1172" spans="1:7" x14ac:dyDescent="0.25">
      <c r="A1172" s="509" t="s">
        <v>735</v>
      </c>
      <c r="B1172" s="509" t="s">
        <v>160</v>
      </c>
      <c r="C1172" s="510">
        <v>2340</v>
      </c>
      <c r="D1172" s="510">
        <v>0</v>
      </c>
      <c r="E1172" s="510">
        <v>8422.9</v>
      </c>
      <c r="F1172" s="510">
        <v>0</v>
      </c>
      <c r="G1172" s="510">
        <v>8422.9</v>
      </c>
    </row>
    <row r="1173" spans="1:7" x14ac:dyDescent="0.25">
      <c r="A1173" s="509" t="s">
        <v>778</v>
      </c>
      <c r="B1173" s="509" t="s">
        <v>161</v>
      </c>
      <c r="C1173" s="510">
        <v>3328</v>
      </c>
      <c r="D1173" s="510">
        <v>0</v>
      </c>
      <c r="E1173" s="510">
        <v>1634.36</v>
      </c>
      <c r="F1173" s="510">
        <v>0</v>
      </c>
      <c r="G1173" s="510">
        <v>1634.36</v>
      </c>
    </row>
    <row r="1174" spans="1:7" x14ac:dyDescent="0.25">
      <c r="A1174" s="509" t="s">
        <v>729</v>
      </c>
      <c r="B1174" s="509" t="s">
        <v>162</v>
      </c>
      <c r="C1174" s="510">
        <v>1300</v>
      </c>
      <c r="D1174" s="510">
        <v>0</v>
      </c>
      <c r="E1174" s="510">
        <v>613.29</v>
      </c>
      <c r="F1174" s="510">
        <v>80.27</v>
      </c>
      <c r="G1174" s="510">
        <v>533.02</v>
      </c>
    </row>
    <row r="1175" spans="1:7" x14ac:dyDescent="0.25">
      <c r="A1175" s="509" t="s">
        <v>770</v>
      </c>
      <c r="B1175" s="509" t="s">
        <v>83</v>
      </c>
      <c r="C1175" s="510">
        <v>23400</v>
      </c>
      <c r="D1175" s="510">
        <v>0</v>
      </c>
      <c r="E1175" s="510">
        <v>10440.969999999999</v>
      </c>
      <c r="F1175" s="510">
        <v>116.93</v>
      </c>
      <c r="G1175" s="510">
        <v>10324.040000000001</v>
      </c>
    </row>
    <row r="1176" spans="1:7" x14ac:dyDescent="0.25">
      <c r="A1176" s="509" t="s">
        <v>774</v>
      </c>
      <c r="B1176" s="509" t="s">
        <v>163</v>
      </c>
      <c r="C1176" s="510">
        <v>13520</v>
      </c>
      <c r="D1176" s="510">
        <v>0</v>
      </c>
      <c r="E1176" s="510">
        <v>7010.68</v>
      </c>
      <c r="F1176" s="510">
        <v>0</v>
      </c>
      <c r="G1176" s="510">
        <v>7010.68</v>
      </c>
    </row>
    <row r="1177" spans="1:7" x14ac:dyDescent="0.25">
      <c r="A1177" s="509" t="s">
        <v>2726</v>
      </c>
      <c r="B1177" s="509" t="s">
        <v>2265</v>
      </c>
      <c r="C1177" s="510">
        <v>0</v>
      </c>
      <c r="D1177" s="510">
        <v>0</v>
      </c>
      <c r="E1177" s="510">
        <v>0</v>
      </c>
      <c r="F1177" s="510">
        <v>0</v>
      </c>
      <c r="G1177" s="510">
        <v>0</v>
      </c>
    </row>
    <row r="1178" spans="1:7" x14ac:dyDescent="0.25">
      <c r="A1178" s="509" t="s">
        <v>771</v>
      </c>
      <c r="B1178" s="509" t="s">
        <v>70</v>
      </c>
      <c r="C1178" s="510">
        <v>30160</v>
      </c>
      <c r="D1178" s="510">
        <v>0</v>
      </c>
      <c r="E1178" s="510">
        <v>5536.72</v>
      </c>
      <c r="F1178" s="510">
        <v>25.37</v>
      </c>
      <c r="G1178" s="510">
        <v>5511.35</v>
      </c>
    </row>
    <row r="1179" spans="1:7" x14ac:dyDescent="0.25">
      <c r="A1179" s="509" t="s">
        <v>772</v>
      </c>
      <c r="B1179" s="509" t="s">
        <v>47</v>
      </c>
      <c r="C1179" s="510">
        <v>2600</v>
      </c>
      <c r="D1179" s="510">
        <v>0</v>
      </c>
      <c r="E1179" s="510">
        <v>2045.46</v>
      </c>
      <c r="F1179" s="510">
        <v>170</v>
      </c>
      <c r="G1179" s="510">
        <v>1875.46</v>
      </c>
    </row>
    <row r="1180" spans="1:7" x14ac:dyDescent="0.25">
      <c r="A1180" s="509" t="s">
        <v>766</v>
      </c>
      <c r="B1180" s="509" t="s">
        <v>48</v>
      </c>
      <c r="C1180" s="510">
        <v>3900</v>
      </c>
      <c r="D1180" s="510">
        <v>0</v>
      </c>
      <c r="E1180" s="510">
        <v>1457.65</v>
      </c>
      <c r="F1180" s="510">
        <v>504</v>
      </c>
      <c r="G1180" s="510">
        <v>953.65</v>
      </c>
    </row>
    <row r="1181" spans="1:7" x14ac:dyDescent="0.25">
      <c r="A1181" s="509" t="s">
        <v>750</v>
      </c>
      <c r="B1181" s="509" t="s">
        <v>49</v>
      </c>
      <c r="C1181" s="510">
        <v>10400</v>
      </c>
      <c r="D1181" s="510">
        <v>0</v>
      </c>
      <c r="E1181" s="510">
        <v>2555.1799999999998</v>
      </c>
      <c r="F1181" s="510">
        <v>0</v>
      </c>
      <c r="G1181" s="510">
        <v>2555.1799999999998</v>
      </c>
    </row>
    <row r="1182" spans="1:7" x14ac:dyDescent="0.25">
      <c r="A1182" s="509" t="s">
        <v>739</v>
      </c>
      <c r="B1182" s="509" t="s">
        <v>50</v>
      </c>
      <c r="C1182" s="510">
        <v>14560</v>
      </c>
      <c r="D1182" s="510">
        <v>0</v>
      </c>
      <c r="E1182" s="510">
        <v>4498.38</v>
      </c>
      <c r="F1182" s="510">
        <v>0</v>
      </c>
      <c r="G1182" s="510">
        <v>4498.38</v>
      </c>
    </row>
    <row r="1183" spans="1:7" x14ac:dyDescent="0.25">
      <c r="A1183" s="509" t="s">
        <v>1068</v>
      </c>
      <c r="B1183" s="509" t="s">
        <v>1061</v>
      </c>
      <c r="C1183" s="510">
        <v>15600</v>
      </c>
      <c r="D1183" s="510">
        <v>0</v>
      </c>
      <c r="E1183" s="510">
        <v>8809.9500000000007</v>
      </c>
      <c r="F1183" s="510">
        <v>0</v>
      </c>
      <c r="G1183" s="510">
        <v>8809.9500000000007</v>
      </c>
    </row>
    <row r="1184" spans="1:7" x14ac:dyDescent="0.25">
      <c r="A1184" s="509" t="s">
        <v>728</v>
      </c>
      <c r="B1184" s="509" t="s">
        <v>51</v>
      </c>
      <c r="C1184" s="510">
        <v>6240</v>
      </c>
      <c r="D1184" s="510">
        <v>0</v>
      </c>
      <c r="E1184" s="510">
        <v>1963.97</v>
      </c>
      <c r="F1184" s="510">
        <v>0</v>
      </c>
      <c r="G1184" s="510">
        <v>1963.97</v>
      </c>
    </row>
    <row r="1185" spans="1:7" x14ac:dyDescent="0.25">
      <c r="A1185" s="509" t="s">
        <v>760</v>
      </c>
      <c r="B1185" s="509" t="s">
        <v>164</v>
      </c>
      <c r="C1185" s="510">
        <v>31200</v>
      </c>
      <c r="D1185" s="510">
        <v>0</v>
      </c>
      <c r="E1185" s="510">
        <v>20238.53</v>
      </c>
      <c r="F1185" s="510">
        <v>0</v>
      </c>
      <c r="G1185" s="510">
        <v>20238.53</v>
      </c>
    </row>
    <row r="1186" spans="1:7" x14ac:dyDescent="0.25">
      <c r="A1186" s="509" t="s">
        <v>751</v>
      </c>
      <c r="B1186" s="509" t="s">
        <v>165</v>
      </c>
      <c r="C1186" s="510">
        <v>3120</v>
      </c>
      <c r="D1186" s="510">
        <v>0</v>
      </c>
      <c r="E1186" s="510">
        <v>980.29</v>
      </c>
      <c r="F1186" s="510">
        <v>43.43</v>
      </c>
      <c r="G1186" s="510">
        <v>936.86</v>
      </c>
    </row>
    <row r="1187" spans="1:7" x14ac:dyDescent="0.25">
      <c r="A1187" s="509" t="s">
        <v>1069</v>
      </c>
      <c r="B1187" s="509" t="s">
        <v>1063</v>
      </c>
      <c r="C1187" s="510">
        <v>4940</v>
      </c>
      <c r="D1187" s="510">
        <v>0</v>
      </c>
      <c r="E1187" s="510">
        <v>1866.8</v>
      </c>
      <c r="F1187" s="510">
        <v>0</v>
      </c>
      <c r="G1187" s="510">
        <v>1866.8</v>
      </c>
    </row>
    <row r="1188" spans="1:7" x14ac:dyDescent="0.25">
      <c r="A1188" s="509" t="s">
        <v>727</v>
      </c>
      <c r="B1188" s="509" t="s">
        <v>166</v>
      </c>
      <c r="C1188" s="510">
        <v>18200</v>
      </c>
      <c r="D1188" s="510">
        <v>0</v>
      </c>
      <c r="E1188" s="510">
        <v>12838.45</v>
      </c>
      <c r="F1188" s="510">
        <v>0</v>
      </c>
      <c r="G1188" s="510">
        <v>12838.45</v>
      </c>
    </row>
    <row r="1189" spans="1:7" x14ac:dyDescent="0.25">
      <c r="A1189" s="509" t="s">
        <v>742</v>
      </c>
      <c r="B1189" s="509" t="s">
        <v>52</v>
      </c>
      <c r="C1189" s="510">
        <v>89680</v>
      </c>
      <c r="D1189" s="510">
        <v>0</v>
      </c>
      <c r="E1189" s="510">
        <v>37325.129999999997</v>
      </c>
      <c r="F1189" s="510">
        <v>1989</v>
      </c>
      <c r="G1189" s="510">
        <v>35336.129999999997</v>
      </c>
    </row>
    <row r="1190" spans="1:7" x14ac:dyDescent="0.25">
      <c r="A1190" s="509" t="s">
        <v>757</v>
      </c>
      <c r="B1190" s="509" t="s">
        <v>167</v>
      </c>
      <c r="C1190" s="510">
        <v>108560</v>
      </c>
      <c r="D1190" s="510">
        <v>0</v>
      </c>
      <c r="E1190" s="510">
        <v>74531.289999999994</v>
      </c>
      <c r="F1190" s="510">
        <v>7042.86</v>
      </c>
      <c r="G1190" s="510">
        <v>67488.429999999993</v>
      </c>
    </row>
    <row r="1191" spans="1:7" x14ac:dyDescent="0.25">
      <c r="A1191" s="509" t="s">
        <v>2727</v>
      </c>
      <c r="B1191" s="509" t="s">
        <v>2267</v>
      </c>
      <c r="C1191" s="510">
        <v>16000</v>
      </c>
      <c r="D1191" s="510">
        <v>0</v>
      </c>
      <c r="E1191" s="510">
        <v>0</v>
      </c>
      <c r="F1191" s="510">
        <v>0</v>
      </c>
      <c r="G1191" s="510">
        <v>0</v>
      </c>
    </row>
    <row r="1192" spans="1:7" x14ac:dyDescent="0.25">
      <c r="A1192" s="509" t="s">
        <v>2728</v>
      </c>
      <c r="B1192" s="509" t="s">
        <v>2269</v>
      </c>
      <c r="C1192" s="510">
        <v>0</v>
      </c>
      <c r="D1192" s="510">
        <v>0</v>
      </c>
      <c r="E1192" s="510">
        <v>0</v>
      </c>
      <c r="F1192" s="510">
        <v>0</v>
      </c>
      <c r="G1192" s="510">
        <v>0</v>
      </c>
    </row>
    <row r="1193" spans="1:7" x14ac:dyDescent="0.25">
      <c r="A1193" s="509" t="s">
        <v>741</v>
      </c>
      <c r="B1193" s="509" t="s">
        <v>1151</v>
      </c>
      <c r="C1193" s="510">
        <v>4400</v>
      </c>
      <c r="D1193" s="510">
        <v>0</v>
      </c>
      <c r="E1193" s="510">
        <v>1142.4000000000001</v>
      </c>
      <c r="F1193" s="510">
        <v>0</v>
      </c>
      <c r="G1193" s="510">
        <v>1142.4000000000001</v>
      </c>
    </row>
    <row r="1194" spans="1:7" x14ac:dyDescent="0.25">
      <c r="A1194" s="509" t="s">
        <v>740</v>
      </c>
      <c r="B1194" s="509" t="s">
        <v>180</v>
      </c>
      <c r="C1194" s="510">
        <v>1560</v>
      </c>
      <c r="D1194" s="510">
        <v>0</v>
      </c>
      <c r="E1194" s="510">
        <v>655.20000000000005</v>
      </c>
      <c r="F1194" s="510">
        <v>0</v>
      </c>
      <c r="G1194" s="510">
        <v>655.20000000000005</v>
      </c>
    </row>
    <row r="1195" spans="1:7" x14ac:dyDescent="0.25">
      <c r="A1195" s="509" t="s">
        <v>745</v>
      </c>
      <c r="B1195" s="509" t="s">
        <v>1152</v>
      </c>
      <c r="C1195" s="510">
        <v>25500</v>
      </c>
      <c r="D1195" s="510">
        <v>0</v>
      </c>
      <c r="E1195" s="510">
        <v>3780.36</v>
      </c>
      <c r="F1195" s="510">
        <v>0</v>
      </c>
      <c r="G1195" s="510">
        <v>3780.36</v>
      </c>
    </row>
    <row r="1196" spans="1:7" x14ac:dyDescent="0.25">
      <c r="A1196" s="509" t="s">
        <v>779</v>
      </c>
      <c r="B1196" s="509" t="s">
        <v>53</v>
      </c>
      <c r="C1196" s="510">
        <v>5750</v>
      </c>
      <c r="D1196" s="510">
        <v>0</v>
      </c>
      <c r="E1196" s="510">
        <v>2705.42</v>
      </c>
      <c r="F1196" s="510">
        <v>403.89</v>
      </c>
      <c r="G1196" s="510">
        <v>2301.5300000000002</v>
      </c>
    </row>
    <row r="1197" spans="1:7" x14ac:dyDescent="0.25">
      <c r="A1197" s="509" t="s">
        <v>775</v>
      </c>
      <c r="B1197" s="509" t="s">
        <v>71</v>
      </c>
      <c r="C1197" s="510">
        <v>2600</v>
      </c>
      <c r="D1197" s="510">
        <v>0</v>
      </c>
      <c r="E1197" s="510">
        <v>663.44</v>
      </c>
      <c r="F1197" s="510">
        <v>0</v>
      </c>
      <c r="G1197" s="510">
        <v>663.44</v>
      </c>
    </row>
    <row r="1198" spans="1:7" x14ac:dyDescent="0.25">
      <c r="A1198" s="509" t="s">
        <v>764</v>
      </c>
      <c r="B1198" s="509" t="s">
        <v>54</v>
      </c>
      <c r="C1198" s="510">
        <v>15000</v>
      </c>
      <c r="D1198" s="510">
        <v>0</v>
      </c>
      <c r="E1198" s="510">
        <v>1242.32</v>
      </c>
      <c r="F1198" s="510">
        <v>0</v>
      </c>
      <c r="G1198" s="510">
        <v>1242.32</v>
      </c>
    </row>
    <row r="1199" spans="1:7" x14ac:dyDescent="0.25">
      <c r="A1199" s="509" t="s">
        <v>769</v>
      </c>
      <c r="B1199" s="509" t="s">
        <v>170</v>
      </c>
      <c r="C1199" s="510">
        <v>29120</v>
      </c>
      <c r="D1199" s="510">
        <v>0</v>
      </c>
      <c r="E1199" s="510">
        <v>13145.19</v>
      </c>
      <c r="F1199" s="510">
        <v>0</v>
      </c>
      <c r="G1199" s="510">
        <v>13145.19</v>
      </c>
    </row>
    <row r="1200" spans="1:7" x14ac:dyDescent="0.25">
      <c r="A1200" s="509" t="s">
        <v>732</v>
      </c>
      <c r="B1200" s="509" t="s">
        <v>171</v>
      </c>
      <c r="C1200" s="510">
        <v>28600</v>
      </c>
      <c r="D1200" s="510">
        <v>0</v>
      </c>
      <c r="E1200" s="510">
        <v>17007.5</v>
      </c>
      <c r="F1200" s="510">
        <v>108.37</v>
      </c>
      <c r="G1200" s="510">
        <v>16899.13</v>
      </c>
    </row>
    <row r="1201" spans="1:7" x14ac:dyDescent="0.25">
      <c r="A1201" s="509" t="s">
        <v>2729</v>
      </c>
      <c r="B1201" s="509" t="s">
        <v>2271</v>
      </c>
      <c r="C1201" s="510">
        <v>0</v>
      </c>
      <c r="D1201" s="510">
        <v>0</v>
      </c>
      <c r="E1201" s="510">
        <v>0</v>
      </c>
      <c r="F1201" s="510">
        <v>0</v>
      </c>
      <c r="G1201" s="510">
        <v>0</v>
      </c>
    </row>
    <row r="1202" spans="1:7" x14ac:dyDescent="0.25">
      <c r="A1202" s="509" t="s">
        <v>733</v>
      </c>
      <c r="B1202" s="509" t="s">
        <v>172</v>
      </c>
      <c r="C1202" s="510">
        <v>624</v>
      </c>
      <c r="D1202" s="510">
        <v>0</v>
      </c>
      <c r="E1202" s="510">
        <v>0</v>
      </c>
      <c r="F1202" s="510">
        <v>0</v>
      </c>
      <c r="G1202" s="510">
        <v>0</v>
      </c>
    </row>
    <row r="1203" spans="1:7" x14ac:dyDescent="0.25">
      <c r="A1203" s="509" t="s">
        <v>734</v>
      </c>
      <c r="B1203" s="509" t="s">
        <v>621</v>
      </c>
      <c r="C1203" s="510">
        <v>624</v>
      </c>
      <c r="D1203" s="510">
        <v>0</v>
      </c>
      <c r="E1203" s="510">
        <v>0</v>
      </c>
      <c r="F1203" s="510">
        <v>0</v>
      </c>
      <c r="G1203" s="510">
        <v>0</v>
      </c>
    </row>
    <row r="1204" spans="1:7" x14ac:dyDescent="0.25">
      <c r="A1204" s="509" t="s">
        <v>753</v>
      </c>
      <c r="B1204" s="509" t="s">
        <v>2272</v>
      </c>
      <c r="C1204" s="510">
        <v>520</v>
      </c>
      <c r="D1204" s="510">
        <v>0</v>
      </c>
      <c r="E1204" s="510">
        <v>61.57</v>
      </c>
      <c r="F1204" s="510">
        <v>0</v>
      </c>
      <c r="G1204" s="510">
        <v>61.57</v>
      </c>
    </row>
    <row r="1205" spans="1:7" x14ac:dyDescent="0.25">
      <c r="A1205" s="509" t="s">
        <v>726</v>
      </c>
      <c r="B1205" s="509" t="s">
        <v>612</v>
      </c>
      <c r="C1205" s="510">
        <v>130425</v>
      </c>
      <c r="D1205" s="510">
        <v>0</v>
      </c>
      <c r="E1205" s="510">
        <v>65212.5</v>
      </c>
      <c r="F1205" s="510">
        <v>10869</v>
      </c>
      <c r="G1205" s="510">
        <v>54343.5</v>
      </c>
    </row>
    <row r="1206" spans="1:7" x14ac:dyDescent="0.25">
      <c r="A1206" s="509" t="s">
        <v>2730</v>
      </c>
      <c r="B1206" s="509" t="s">
        <v>2731</v>
      </c>
      <c r="C1206" s="510">
        <v>0</v>
      </c>
      <c r="D1206" s="510">
        <v>0</v>
      </c>
      <c r="E1206" s="510">
        <v>0</v>
      </c>
      <c r="F1206" s="510">
        <v>0</v>
      </c>
      <c r="G1206" s="510">
        <v>0</v>
      </c>
    </row>
    <row r="1207" spans="1:7" x14ac:dyDescent="0.25">
      <c r="A1207" s="509" t="s">
        <v>2732</v>
      </c>
      <c r="B1207" s="509" t="s">
        <v>2280</v>
      </c>
      <c r="C1207" s="510">
        <v>0</v>
      </c>
      <c r="D1207" s="510">
        <v>0</v>
      </c>
      <c r="E1207" s="510">
        <v>0</v>
      </c>
      <c r="F1207" s="510">
        <v>0</v>
      </c>
      <c r="G1207" s="510">
        <v>0</v>
      </c>
    </row>
    <row r="1208" spans="1:7" x14ac:dyDescent="0.25">
      <c r="A1208" s="509" t="s">
        <v>752</v>
      </c>
      <c r="B1208" s="509" t="s">
        <v>173</v>
      </c>
      <c r="C1208" s="510">
        <v>2800</v>
      </c>
      <c r="D1208" s="510">
        <v>0</v>
      </c>
      <c r="E1208" s="510">
        <v>85.61</v>
      </c>
      <c r="F1208" s="510">
        <v>0</v>
      </c>
      <c r="G1208" s="510">
        <v>85.61</v>
      </c>
    </row>
    <row r="1209" spans="1:7" x14ac:dyDescent="0.25">
      <c r="A1209" s="509" t="s">
        <v>725</v>
      </c>
      <c r="B1209" s="509" t="s">
        <v>1075</v>
      </c>
      <c r="C1209" s="510">
        <v>890457</v>
      </c>
      <c r="D1209" s="510">
        <v>0</v>
      </c>
      <c r="E1209" s="510">
        <v>445228.27</v>
      </c>
      <c r="F1209" s="510">
        <v>75255</v>
      </c>
      <c r="G1209" s="510">
        <v>369973.27</v>
      </c>
    </row>
    <row r="1210" spans="1:7" x14ac:dyDescent="0.25">
      <c r="A1210" s="509" t="s">
        <v>756</v>
      </c>
      <c r="B1210" s="509" t="s">
        <v>174</v>
      </c>
      <c r="C1210" s="510">
        <v>0</v>
      </c>
      <c r="D1210" s="510">
        <v>0</v>
      </c>
      <c r="E1210" s="510">
        <v>0</v>
      </c>
      <c r="F1210" s="510">
        <v>0</v>
      </c>
      <c r="G1210" s="510">
        <v>0</v>
      </c>
    </row>
    <row r="1211" spans="1:7" x14ac:dyDescent="0.25">
      <c r="A1211" s="509" t="s">
        <v>755</v>
      </c>
      <c r="B1211" s="509" t="s">
        <v>185</v>
      </c>
      <c r="C1211" s="510">
        <v>22000</v>
      </c>
      <c r="D1211" s="510">
        <v>0</v>
      </c>
      <c r="E1211" s="510">
        <v>11250.82</v>
      </c>
      <c r="F1211" s="510">
        <v>0</v>
      </c>
      <c r="G1211" s="510">
        <v>11250.82</v>
      </c>
    </row>
    <row r="1212" spans="1:7" x14ac:dyDescent="0.25">
      <c r="A1212" s="509" t="s">
        <v>2733</v>
      </c>
      <c r="B1212" s="509" t="s">
        <v>55</v>
      </c>
      <c r="C1212" s="510">
        <v>0</v>
      </c>
      <c r="D1212" s="510">
        <v>0</v>
      </c>
      <c r="E1212" s="510">
        <v>0</v>
      </c>
      <c r="F1212" s="510">
        <v>0</v>
      </c>
      <c r="G1212" s="510">
        <v>0</v>
      </c>
    </row>
    <row r="1213" spans="1:7" x14ac:dyDescent="0.25">
      <c r="A1213" s="509" t="s">
        <v>1090</v>
      </c>
      <c r="B1213" s="509" t="s">
        <v>1088</v>
      </c>
      <c r="C1213" s="510">
        <v>0</v>
      </c>
      <c r="D1213" s="510">
        <v>0</v>
      </c>
      <c r="E1213" s="510">
        <v>0</v>
      </c>
      <c r="F1213" s="510">
        <v>0</v>
      </c>
      <c r="G1213" s="510">
        <v>0</v>
      </c>
    </row>
    <row r="1214" spans="1:7" x14ac:dyDescent="0.25">
      <c r="A1214" s="509" t="s">
        <v>754</v>
      </c>
      <c r="B1214" s="509" t="s">
        <v>186</v>
      </c>
      <c r="C1214" s="510">
        <v>9360</v>
      </c>
      <c r="D1214" s="510">
        <v>0</v>
      </c>
      <c r="E1214" s="510">
        <v>0</v>
      </c>
      <c r="F1214" s="510">
        <v>0</v>
      </c>
      <c r="G1214" s="510">
        <v>0</v>
      </c>
    </row>
    <row r="1215" spans="1:7" x14ac:dyDescent="0.25">
      <c r="A1215" s="509" t="s">
        <v>2734</v>
      </c>
      <c r="B1215" s="509" t="s">
        <v>2287</v>
      </c>
      <c r="C1215" s="510">
        <v>0</v>
      </c>
      <c r="D1215" s="510">
        <v>0</v>
      </c>
      <c r="E1215" s="510">
        <v>0</v>
      </c>
      <c r="F1215" s="510">
        <v>0</v>
      </c>
      <c r="G1215" s="510">
        <v>0</v>
      </c>
    </row>
    <row r="1216" spans="1:7" x14ac:dyDescent="0.25">
      <c r="A1216" s="509" t="s">
        <v>2735</v>
      </c>
      <c r="B1216" s="509" t="s">
        <v>1080</v>
      </c>
      <c r="C1216" s="510">
        <v>0</v>
      </c>
      <c r="D1216" s="510">
        <v>0</v>
      </c>
      <c r="E1216" s="510">
        <v>0</v>
      </c>
      <c r="F1216" s="510">
        <v>0</v>
      </c>
      <c r="G1216" s="510">
        <v>0</v>
      </c>
    </row>
    <row r="1217" spans="1:7" x14ac:dyDescent="0.25">
      <c r="A1217" s="509" t="s">
        <v>2736</v>
      </c>
      <c r="B1217" s="509" t="s">
        <v>2290</v>
      </c>
      <c r="C1217" s="510">
        <v>0</v>
      </c>
      <c r="D1217" s="510">
        <v>0</v>
      </c>
      <c r="E1217" s="510">
        <v>0</v>
      </c>
      <c r="F1217" s="510">
        <v>0</v>
      </c>
      <c r="G1217" s="510">
        <v>0</v>
      </c>
    </row>
    <row r="1218" spans="1:7" x14ac:dyDescent="0.25">
      <c r="A1218" s="509" t="s">
        <v>1188</v>
      </c>
      <c r="B1218" s="509" t="s">
        <v>1154</v>
      </c>
      <c r="C1218" s="510">
        <v>0</v>
      </c>
      <c r="D1218" s="510">
        <v>0</v>
      </c>
      <c r="E1218" s="510">
        <v>0</v>
      </c>
      <c r="F1218" s="510">
        <v>0</v>
      </c>
      <c r="G1218" s="510">
        <v>0</v>
      </c>
    </row>
    <row r="1219" spans="1:7" x14ac:dyDescent="0.25">
      <c r="A1219" s="509" t="s">
        <v>1189</v>
      </c>
      <c r="B1219" s="509" t="s">
        <v>1156</v>
      </c>
      <c r="C1219" s="510">
        <v>0</v>
      </c>
      <c r="D1219" s="510">
        <v>0</v>
      </c>
      <c r="E1219" s="510">
        <v>0</v>
      </c>
      <c r="F1219" s="510">
        <v>0</v>
      </c>
      <c r="G1219" s="510">
        <v>0</v>
      </c>
    </row>
    <row r="1220" spans="1:7" x14ac:dyDescent="0.25">
      <c r="A1220" s="509" t="s">
        <v>1190</v>
      </c>
      <c r="B1220" s="509" t="s">
        <v>1158</v>
      </c>
      <c r="C1220" s="510">
        <v>0</v>
      </c>
      <c r="D1220" s="510">
        <v>0</v>
      </c>
      <c r="E1220" s="510">
        <v>0</v>
      </c>
      <c r="F1220" s="510">
        <v>0</v>
      </c>
      <c r="G1220" s="510">
        <v>0</v>
      </c>
    </row>
    <row r="1221" spans="1:7" x14ac:dyDescent="0.25">
      <c r="A1221" s="509" t="s">
        <v>1191</v>
      </c>
      <c r="B1221" s="509" t="s">
        <v>1160</v>
      </c>
      <c r="C1221" s="510">
        <v>0</v>
      </c>
      <c r="D1221" s="510">
        <v>0</v>
      </c>
      <c r="E1221" s="510">
        <v>0</v>
      </c>
      <c r="F1221" s="510">
        <v>0</v>
      </c>
      <c r="G1221" s="510">
        <v>0</v>
      </c>
    </row>
    <row r="1222" spans="1:7" x14ac:dyDescent="0.25">
      <c r="A1222" s="509" t="s">
        <v>749</v>
      </c>
      <c r="B1222" s="509" t="s">
        <v>175</v>
      </c>
      <c r="C1222" s="510">
        <v>270000</v>
      </c>
      <c r="D1222" s="510">
        <v>0</v>
      </c>
      <c r="E1222" s="510">
        <v>138650.09</v>
      </c>
      <c r="F1222" s="510">
        <v>0</v>
      </c>
      <c r="G1222" s="510">
        <v>138650.09</v>
      </c>
    </row>
    <row r="1223" spans="1:7" x14ac:dyDescent="0.25">
      <c r="A1223" s="509" t="s">
        <v>748</v>
      </c>
      <c r="B1223" s="509" t="s">
        <v>1192</v>
      </c>
      <c r="C1223" s="510">
        <v>25000</v>
      </c>
      <c r="D1223" s="510">
        <v>0</v>
      </c>
      <c r="E1223" s="510">
        <v>25000</v>
      </c>
      <c r="F1223" s="510">
        <v>0</v>
      </c>
      <c r="G1223" s="510">
        <v>25000</v>
      </c>
    </row>
    <row r="1224" spans="1:7" x14ac:dyDescent="0.25">
      <c r="A1224" s="509" t="s">
        <v>763</v>
      </c>
      <c r="B1224" s="509" t="s">
        <v>1193</v>
      </c>
      <c r="C1224" s="510">
        <v>37000</v>
      </c>
      <c r="D1224" s="510">
        <v>0</v>
      </c>
      <c r="E1224" s="510">
        <v>37000</v>
      </c>
      <c r="F1224" s="510">
        <v>0</v>
      </c>
      <c r="G1224" s="510">
        <v>37000</v>
      </c>
    </row>
    <row r="1225" spans="1:7" x14ac:dyDescent="0.25">
      <c r="A1225" s="509" t="s">
        <v>731</v>
      </c>
      <c r="B1225" s="509" t="s">
        <v>178</v>
      </c>
      <c r="C1225" s="510">
        <v>520</v>
      </c>
      <c r="D1225" s="510">
        <v>0</v>
      </c>
      <c r="E1225" s="510">
        <v>0</v>
      </c>
      <c r="F1225" s="510">
        <v>0</v>
      </c>
      <c r="G1225" s="510">
        <v>0</v>
      </c>
    </row>
    <row r="1226" spans="1:7" x14ac:dyDescent="0.25">
      <c r="A1226" s="509" t="s">
        <v>283</v>
      </c>
      <c r="B1226" s="509" t="s">
        <v>76</v>
      </c>
      <c r="C1226" s="510">
        <v>446076.68</v>
      </c>
      <c r="D1226" s="510">
        <v>0</v>
      </c>
      <c r="E1226" s="510">
        <v>236981.3</v>
      </c>
      <c r="F1226" s="510">
        <v>19758.669999999998</v>
      </c>
      <c r="G1226" s="510">
        <v>217222.63</v>
      </c>
    </row>
    <row r="1227" spans="1:7" x14ac:dyDescent="0.25">
      <c r="A1227" s="509" t="s">
        <v>1103</v>
      </c>
      <c r="B1227" s="509" t="s">
        <v>667</v>
      </c>
      <c r="C1227" s="510">
        <v>0</v>
      </c>
      <c r="D1227" s="510">
        <v>0</v>
      </c>
      <c r="E1227" s="510">
        <v>0</v>
      </c>
      <c r="F1227" s="510">
        <v>0</v>
      </c>
      <c r="G1227" s="510">
        <v>0</v>
      </c>
    </row>
    <row r="1228" spans="1:7" x14ac:dyDescent="0.25">
      <c r="A1228" s="509" t="s">
        <v>284</v>
      </c>
      <c r="B1228" s="509" t="s">
        <v>37</v>
      </c>
      <c r="C1228" s="510">
        <v>14003.76</v>
      </c>
      <c r="D1228" s="510">
        <v>0</v>
      </c>
      <c r="E1228" s="510">
        <v>4011.59</v>
      </c>
      <c r="F1228" s="510">
        <v>92.28</v>
      </c>
      <c r="G1228" s="510">
        <v>3919.31</v>
      </c>
    </row>
    <row r="1229" spans="1:7" x14ac:dyDescent="0.25">
      <c r="A1229" s="509" t="s">
        <v>285</v>
      </c>
      <c r="B1229" s="509" t="s">
        <v>1076</v>
      </c>
      <c r="C1229" s="510">
        <v>11065.6</v>
      </c>
      <c r="D1229" s="510">
        <v>0</v>
      </c>
      <c r="E1229" s="510">
        <v>3640</v>
      </c>
      <c r="F1229" s="510">
        <v>280</v>
      </c>
      <c r="G1229" s="510">
        <v>3360</v>
      </c>
    </row>
    <row r="1230" spans="1:7" x14ac:dyDescent="0.25">
      <c r="A1230" s="509" t="s">
        <v>286</v>
      </c>
      <c r="B1230" s="509" t="s">
        <v>153</v>
      </c>
      <c r="C1230" s="510">
        <v>29210.98</v>
      </c>
      <c r="D1230" s="510">
        <v>0</v>
      </c>
      <c r="E1230" s="510">
        <v>14746.36</v>
      </c>
      <c r="F1230" s="510">
        <v>1184.94</v>
      </c>
      <c r="G1230" s="510">
        <v>13561.42</v>
      </c>
    </row>
    <row r="1231" spans="1:7" x14ac:dyDescent="0.25">
      <c r="A1231" s="509" t="s">
        <v>287</v>
      </c>
      <c r="B1231" s="509" t="s">
        <v>154</v>
      </c>
      <c r="C1231" s="510">
        <v>6831.64</v>
      </c>
      <c r="D1231" s="510">
        <v>0</v>
      </c>
      <c r="E1231" s="510">
        <v>3517.92</v>
      </c>
      <c r="F1231" s="510">
        <v>277.13</v>
      </c>
      <c r="G1231" s="510">
        <v>3240.79</v>
      </c>
    </row>
    <row r="1232" spans="1:7" x14ac:dyDescent="0.25">
      <c r="A1232" s="509" t="s">
        <v>288</v>
      </c>
      <c r="B1232" s="509" t="s">
        <v>38</v>
      </c>
      <c r="C1232" s="510">
        <v>129845.62</v>
      </c>
      <c r="D1232" s="510">
        <v>0</v>
      </c>
      <c r="E1232" s="510">
        <v>64933.18</v>
      </c>
      <c r="F1232" s="510">
        <v>0</v>
      </c>
      <c r="G1232" s="510">
        <v>64933.18</v>
      </c>
    </row>
    <row r="1233" spans="1:7" x14ac:dyDescent="0.25">
      <c r="A1233" s="509" t="s">
        <v>289</v>
      </c>
      <c r="B1233" s="509" t="s">
        <v>77</v>
      </c>
      <c r="C1233" s="510">
        <v>7421.4</v>
      </c>
      <c r="D1233" s="510">
        <v>0</v>
      </c>
      <c r="E1233" s="510">
        <v>3755.84</v>
      </c>
      <c r="F1233" s="510">
        <v>0</v>
      </c>
      <c r="G1233" s="510">
        <v>3755.84</v>
      </c>
    </row>
    <row r="1234" spans="1:7" x14ac:dyDescent="0.25">
      <c r="A1234" s="509" t="s">
        <v>290</v>
      </c>
      <c r="B1234" s="509" t="s">
        <v>78</v>
      </c>
      <c r="C1234" s="510">
        <v>1310.6199999999999</v>
      </c>
      <c r="D1234" s="510">
        <v>0</v>
      </c>
      <c r="E1234" s="510">
        <v>708.48</v>
      </c>
      <c r="F1234" s="510">
        <v>0</v>
      </c>
      <c r="G1234" s="510">
        <v>708.48</v>
      </c>
    </row>
    <row r="1235" spans="1:7" x14ac:dyDescent="0.25">
      <c r="A1235" s="509" t="s">
        <v>2737</v>
      </c>
      <c r="B1235" s="509" t="s">
        <v>2292</v>
      </c>
      <c r="C1235" s="510">
        <v>0</v>
      </c>
      <c r="D1235" s="510">
        <v>0</v>
      </c>
      <c r="E1235" s="510">
        <v>0</v>
      </c>
      <c r="F1235" s="510">
        <v>0</v>
      </c>
      <c r="G1235" s="510">
        <v>0</v>
      </c>
    </row>
    <row r="1236" spans="1:7" x14ac:dyDescent="0.25">
      <c r="A1236" s="509" t="s">
        <v>291</v>
      </c>
      <c r="B1236" s="509" t="s">
        <v>893</v>
      </c>
      <c r="C1236" s="510">
        <v>18190.599999999999</v>
      </c>
      <c r="D1236" s="510">
        <v>0</v>
      </c>
      <c r="E1236" s="510">
        <v>9887.2000000000007</v>
      </c>
      <c r="F1236" s="510">
        <v>410.85</v>
      </c>
      <c r="G1236" s="510">
        <v>9476.35</v>
      </c>
    </row>
    <row r="1237" spans="1:7" x14ac:dyDescent="0.25">
      <c r="A1237" s="509" t="s">
        <v>292</v>
      </c>
      <c r="B1237" s="509" t="s">
        <v>2249</v>
      </c>
      <c r="C1237" s="510">
        <v>1766.62</v>
      </c>
      <c r="D1237" s="510">
        <v>0</v>
      </c>
      <c r="E1237" s="510">
        <v>1618.39</v>
      </c>
      <c r="F1237" s="510">
        <v>453.11</v>
      </c>
      <c r="G1237" s="510">
        <v>1165.28</v>
      </c>
    </row>
    <row r="1238" spans="1:7" x14ac:dyDescent="0.25">
      <c r="A1238" s="509" t="s">
        <v>293</v>
      </c>
      <c r="B1238" s="509" t="s">
        <v>64</v>
      </c>
      <c r="C1238" s="510">
        <v>2584</v>
      </c>
      <c r="D1238" s="510">
        <v>0</v>
      </c>
      <c r="E1238" s="510">
        <v>1711.51</v>
      </c>
      <c r="F1238" s="510">
        <v>0</v>
      </c>
      <c r="G1238" s="510">
        <v>1711.51</v>
      </c>
    </row>
    <row r="1239" spans="1:7" x14ac:dyDescent="0.25">
      <c r="A1239" s="509" t="s">
        <v>294</v>
      </c>
      <c r="B1239" s="509" t="s">
        <v>65</v>
      </c>
      <c r="C1239" s="510">
        <v>1292</v>
      </c>
      <c r="D1239" s="510">
        <v>0</v>
      </c>
      <c r="E1239" s="510">
        <v>452.87</v>
      </c>
      <c r="F1239" s="510">
        <v>0</v>
      </c>
      <c r="G1239" s="510">
        <v>452.87</v>
      </c>
    </row>
    <row r="1240" spans="1:7" x14ac:dyDescent="0.25">
      <c r="A1240" s="509" t="s">
        <v>295</v>
      </c>
      <c r="B1240" s="509" t="s">
        <v>40</v>
      </c>
      <c r="C1240" s="510">
        <v>1999.18</v>
      </c>
      <c r="D1240" s="510">
        <v>0</v>
      </c>
      <c r="E1240" s="510">
        <v>12.45</v>
      </c>
      <c r="F1240" s="510">
        <v>0</v>
      </c>
      <c r="G1240" s="510">
        <v>12.45</v>
      </c>
    </row>
    <row r="1241" spans="1:7" x14ac:dyDescent="0.25">
      <c r="A1241" s="509" t="s">
        <v>296</v>
      </c>
      <c r="B1241" s="509" t="s">
        <v>41</v>
      </c>
      <c r="C1241" s="510">
        <v>44.46</v>
      </c>
      <c r="D1241" s="510">
        <v>0</v>
      </c>
      <c r="E1241" s="510">
        <v>0</v>
      </c>
      <c r="F1241" s="510">
        <v>0</v>
      </c>
      <c r="G1241" s="510">
        <v>0</v>
      </c>
    </row>
    <row r="1242" spans="1:7" x14ac:dyDescent="0.25">
      <c r="A1242" s="509" t="s">
        <v>297</v>
      </c>
      <c r="B1242" s="509" t="s">
        <v>42</v>
      </c>
      <c r="C1242" s="510">
        <v>1388.52</v>
      </c>
      <c r="D1242" s="510">
        <v>0</v>
      </c>
      <c r="E1242" s="510">
        <v>860.84</v>
      </c>
      <c r="F1242" s="510">
        <v>46.18</v>
      </c>
      <c r="G1242" s="510">
        <v>814.66</v>
      </c>
    </row>
    <row r="1243" spans="1:7" x14ac:dyDescent="0.25">
      <c r="A1243" s="509" t="s">
        <v>298</v>
      </c>
      <c r="B1243" s="509" t="s">
        <v>2252</v>
      </c>
      <c r="C1243" s="510">
        <v>40444.92</v>
      </c>
      <c r="D1243" s="510">
        <v>0</v>
      </c>
      <c r="E1243" s="510">
        <v>20610.48</v>
      </c>
      <c r="F1243" s="510">
        <v>1699.61</v>
      </c>
      <c r="G1243" s="510">
        <v>18910.87</v>
      </c>
    </row>
    <row r="1244" spans="1:7" x14ac:dyDescent="0.25">
      <c r="A1244" s="509" t="s">
        <v>299</v>
      </c>
      <c r="B1244" s="509" t="s">
        <v>44</v>
      </c>
      <c r="C1244" s="510">
        <v>33411.120000000003</v>
      </c>
      <c r="D1244" s="510">
        <v>0</v>
      </c>
      <c r="E1244" s="510">
        <v>17078.23</v>
      </c>
      <c r="F1244" s="510">
        <v>1399.96</v>
      </c>
      <c r="G1244" s="510">
        <v>15678.27</v>
      </c>
    </row>
    <row r="1245" spans="1:7" x14ac:dyDescent="0.25">
      <c r="A1245" s="509" t="s">
        <v>300</v>
      </c>
      <c r="B1245" s="509" t="s">
        <v>183</v>
      </c>
      <c r="C1245" s="510">
        <v>17100</v>
      </c>
      <c r="D1245" s="510">
        <v>0</v>
      </c>
      <c r="E1245" s="510">
        <v>0</v>
      </c>
      <c r="F1245" s="510">
        <v>0</v>
      </c>
      <c r="G1245" s="510">
        <v>0</v>
      </c>
    </row>
    <row r="1246" spans="1:7" x14ac:dyDescent="0.25">
      <c r="A1246" s="509" t="s">
        <v>2738</v>
      </c>
      <c r="B1246" s="509" t="s">
        <v>2254</v>
      </c>
      <c r="C1246" s="510">
        <v>0</v>
      </c>
      <c r="D1246" s="510">
        <v>0</v>
      </c>
      <c r="E1246" s="510">
        <v>0</v>
      </c>
      <c r="F1246" s="510">
        <v>0</v>
      </c>
      <c r="G1246" s="510">
        <v>0</v>
      </c>
    </row>
    <row r="1247" spans="1:7" x14ac:dyDescent="0.25">
      <c r="A1247" s="509" t="s">
        <v>2739</v>
      </c>
      <c r="B1247" s="509" t="s">
        <v>2256</v>
      </c>
      <c r="C1247" s="510">
        <v>0</v>
      </c>
      <c r="D1247" s="510">
        <v>0</v>
      </c>
      <c r="E1247" s="510">
        <v>0</v>
      </c>
      <c r="F1247" s="510">
        <v>0</v>
      </c>
      <c r="G1247" s="510">
        <v>0</v>
      </c>
    </row>
    <row r="1248" spans="1:7" x14ac:dyDescent="0.25">
      <c r="A1248" s="509" t="s">
        <v>301</v>
      </c>
      <c r="B1248" s="509" t="s">
        <v>1161</v>
      </c>
      <c r="C1248" s="510">
        <v>884</v>
      </c>
      <c r="D1248" s="510">
        <v>0</v>
      </c>
      <c r="E1248" s="510">
        <v>0</v>
      </c>
      <c r="F1248" s="510">
        <v>0</v>
      </c>
      <c r="G1248" s="510">
        <v>0</v>
      </c>
    </row>
    <row r="1249" spans="1:7" x14ac:dyDescent="0.25">
      <c r="A1249" s="509" t="s">
        <v>302</v>
      </c>
      <c r="B1249" s="509" t="s">
        <v>48</v>
      </c>
      <c r="C1249" s="510">
        <v>520</v>
      </c>
      <c r="D1249" s="510">
        <v>0</v>
      </c>
      <c r="E1249" s="510">
        <v>0</v>
      </c>
      <c r="F1249" s="510">
        <v>0</v>
      </c>
      <c r="G1249" s="510">
        <v>0</v>
      </c>
    </row>
    <row r="1250" spans="1:7" x14ac:dyDescent="0.25">
      <c r="A1250" s="509" t="s">
        <v>303</v>
      </c>
      <c r="B1250" s="509" t="s">
        <v>50</v>
      </c>
      <c r="C1250" s="510">
        <v>0</v>
      </c>
      <c r="D1250" s="510">
        <v>0</v>
      </c>
      <c r="E1250" s="510">
        <v>0</v>
      </c>
      <c r="F1250" s="510">
        <v>0</v>
      </c>
      <c r="G1250" s="510">
        <v>0</v>
      </c>
    </row>
    <row r="1251" spans="1:7" x14ac:dyDescent="0.25">
      <c r="A1251" s="509" t="s">
        <v>1194</v>
      </c>
      <c r="B1251" s="509" t="s">
        <v>52</v>
      </c>
      <c r="C1251" s="510">
        <v>0</v>
      </c>
      <c r="D1251" s="510">
        <v>0</v>
      </c>
      <c r="E1251" s="510">
        <v>0</v>
      </c>
      <c r="F1251" s="510">
        <v>0</v>
      </c>
      <c r="G1251" s="510">
        <v>0</v>
      </c>
    </row>
    <row r="1252" spans="1:7" x14ac:dyDescent="0.25">
      <c r="A1252" s="509" t="s">
        <v>2740</v>
      </c>
      <c r="B1252" s="509" t="s">
        <v>2269</v>
      </c>
      <c r="C1252" s="510">
        <v>0</v>
      </c>
      <c r="D1252" s="510">
        <v>0</v>
      </c>
      <c r="E1252" s="510">
        <v>0</v>
      </c>
      <c r="F1252" s="510">
        <v>0</v>
      </c>
      <c r="G1252" s="510">
        <v>0</v>
      </c>
    </row>
    <row r="1253" spans="1:7" x14ac:dyDescent="0.25">
      <c r="A1253" s="509" t="s">
        <v>2741</v>
      </c>
      <c r="B1253" s="509" t="s">
        <v>1151</v>
      </c>
      <c r="C1253" s="510">
        <v>0</v>
      </c>
      <c r="D1253" s="510">
        <v>0</v>
      </c>
      <c r="E1253" s="510">
        <v>0</v>
      </c>
      <c r="F1253" s="510">
        <v>0</v>
      </c>
      <c r="G1253" s="510">
        <v>0</v>
      </c>
    </row>
    <row r="1254" spans="1:7" x14ac:dyDescent="0.25">
      <c r="A1254" s="509" t="s">
        <v>304</v>
      </c>
      <c r="B1254" s="509" t="s">
        <v>54</v>
      </c>
      <c r="C1254" s="510">
        <v>3380</v>
      </c>
      <c r="D1254" s="510">
        <v>0</v>
      </c>
      <c r="E1254" s="510">
        <v>838.64</v>
      </c>
      <c r="F1254" s="510">
        <v>0</v>
      </c>
      <c r="G1254" s="510">
        <v>838.64</v>
      </c>
    </row>
    <row r="1255" spans="1:7" x14ac:dyDescent="0.25">
      <c r="A1255" s="509" t="s">
        <v>2742</v>
      </c>
      <c r="B1255" s="509" t="s">
        <v>1152</v>
      </c>
      <c r="C1255" s="510">
        <v>0</v>
      </c>
      <c r="D1255" s="510">
        <v>0</v>
      </c>
      <c r="E1255" s="510">
        <v>0</v>
      </c>
      <c r="F1255" s="510">
        <v>0</v>
      </c>
      <c r="G1255" s="510">
        <v>0</v>
      </c>
    </row>
    <row r="1256" spans="1:7" x14ac:dyDescent="0.25">
      <c r="A1256" s="509" t="s">
        <v>2743</v>
      </c>
      <c r="B1256" s="509" t="s">
        <v>53</v>
      </c>
      <c r="C1256" s="510">
        <v>0</v>
      </c>
      <c r="D1256" s="510">
        <v>0</v>
      </c>
      <c r="E1256" s="510">
        <v>0</v>
      </c>
      <c r="F1256" s="510">
        <v>0</v>
      </c>
      <c r="G1256" s="510">
        <v>0</v>
      </c>
    </row>
    <row r="1257" spans="1:7" x14ac:dyDescent="0.25">
      <c r="A1257" s="509" t="s">
        <v>305</v>
      </c>
      <c r="B1257" s="509" t="s">
        <v>71</v>
      </c>
      <c r="C1257" s="510">
        <v>6240</v>
      </c>
      <c r="D1257" s="510">
        <v>0</v>
      </c>
      <c r="E1257" s="510">
        <v>1740.21</v>
      </c>
      <c r="F1257" s="510">
        <v>0</v>
      </c>
      <c r="G1257" s="510">
        <v>1740.21</v>
      </c>
    </row>
    <row r="1258" spans="1:7" x14ac:dyDescent="0.25">
      <c r="A1258" s="509" t="s">
        <v>2744</v>
      </c>
      <c r="B1258" s="509" t="s">
        <v>54</v>
      </c>
      <c r="C1258" s="510">
        <v>0</v>
      </c>
      <c r="D1258" s="510">
        <v>0</v>
      </c>
      <c r="E1258" s="510">
        <v>0</v>
      </c>
      <c r="F1258" s="510">
        <v>0</v>
      </c>
      <c r="G1258" s="510">
        <v>0</v>
      </c>
    </row>
    <row r="1259" spans="1:7" x14ac:dyDescent="0.25">
      <c r="A1259" s="509" t="s">
        <v>2745</v>
      </c>
      <c r="B1259" s="509" t="s">
        <v>2301</v>
      </c>
      <c r="C1259" s="510">
        <v>0</v>
      </c>
      <c r="D1259" s="510">
        <v>0</v>
      </c>
      <c r="E1259" s="510">
        <v>0</v>
      </c>
      <c r="F1259" s="510">
        <v>0</v>
      </c>
      <c r="G1259" s="510">
        <v>0</v>
      </c>
    </row>
    <row r="1260" spans="1:7" x14ac:dyDescent="0.25">
      <c r="A1260" s="509" t="s">
        <v>2746</v>
      </c>
      <c r="B1260" s="509" t="s">
        <v>2747</v>
      </c>
      <c r="C1260" s="510">
        <v>0</v>
      </c>
      <c r="D1260" s="510">
        <v>0</v>
      </c>
      <c r="E1260" s="510">
        <v>0</v>
      </c>
      <c r="F1260" s="510">
        <v>0</v>
      </c>
      <c r="G1260" s="510">
        <v>0</v>
      </c>
    </row>
    <row r="1261" spans="1:7" x14ac:dyDescent="0.25">
      <c r="A1261" s="509" t="s">
        <v>306</v>
      </c>
      <c r="B1261" s="509" t="s">
        <v>80</v>
      </c>
      <c r="C1261" s="510">
        <v>2600</v>
      </c>
      <c r="D1261" s="510">
        <v>0</v>
      </c>
      <c r="E1261" s="510">
        <v>1705.42</v>
      </c>
      <c r="F1261" s="510">
        <v>0</v>
      </c>
      <c r="G1261" s="510">
        <v>1705.42</v>
      </c>
    </row>
    <row r="1262" spans="1:7" x14ac:dyDescent="0.25">
      <c r="A1262" s="509" t="s">
        <v>307</v>
      </c>
      <c r="B1262" s="509" t="s">
        <v>1163</v>
      </c>
      <c r="C1262" s="510">
        <v>85800</v>
      </c>
      <c r="D1262" s="510">
        <v>0</v>
      </c>
      <c r="E1262" s="510">
        <v>58984.02</v>
      </c>
      <c r="F1262" s="510">
        <v>7452.96</v>
      </c>
      <c r="G1262" s="510">
        <v>51531.06</v>
      </c>
    </row>
    <row r="1263" spans="1:7" x14ac:dyDescent="0.25">
      <c r="A1263" s="509" t="s">
        <v>308</v>
      </c>
      <c r="B1263" s="509" t="s">
        <v>81</v>
      </c>
      <c r="C1263" s="510">
        <v>78</v>
      </c>
      <c r="D1263" s="510">
        <v>0</v>
      </c>
      <c r="E1263" s="510">
        <v>0</v>
      </c>
      <c r="F1263" s="510">
        <v>0</v>
      </c>
      <c r="G1263" s="510">
        <v>0</v>
      </c>
    </row>
    <row r="1264" spans="1:7" x14ac:dyDescent="0.25">
      <c r="A1264" s="509" t="s">
        <v>309</v>
      </c>
      <c r="B1264" s="509" t="s">
        <v>82</v>
      </c>
      <c r="C1264" s="510">
        <v>8580</v>
      </c>
      <c r="D1264" s="510">
        <v>0</v>
      </c>
      <c r="E1264" s="510">
        <v>5953.19</v>
      </c>
      <c r="F1264" s="510">
        <v>0</v>
      </c>
      <c r="G1264" s="510">
        <v>5953.19</v>
      </c>
    </row>
    <row r="1265" spans="1:7" x14ac:dyDescent="0.25">
      <c r="A1265" s="509" t="s">
        <v>310</v>
      </c>
      <c r="B1265" s="509" t="s">
        <v>221</v>
      </c>
      <c r="C1265" s="510">
        <v>0</v>
      </c>
      <c r="D1265" s="510">
        <v>0</v>
      </c>
      <c r="E1265" s="510">
        <v>0</v>
      </c>
      <c r="F1265" s="510">
        <v>0</v>
      </c>
      <c r="G1265" s="510">
        <v>0</v>
      </c>
    </row>
    <row r="1266" spans="1:7" x14ac:dyDescent="0.25">
      <c r="A1266" s="509" t="s">
        <v>311</v>
      </c>
      <c r="B1266" s="509" t="s">
        <v>83</v>
      </c>
      <c r="C1266" s="510">
        <v>1820</v>
      </c>
      <c r="D1266" s="510">
        <v>0</v>
      </c>
      <c r="E1266" s="510">
        <v>864.53</v>
      </c>
      <c r="F1266" s="510">
        <v>0</v>
      </c>
      <c r="G1266" s="510">
        <v>864.53</v>
      </c>
    </row>
    <row r="1267" spans="1:7" x14ac:dyDescent="0.25">
      <c r="A1267" s="509" t="s">
        <v>2748</v>
      </c>
      <c r="B1267" s="509" t="s">
        <v>162</v>
      </c>
      <c r="C1267" s="510">
        <v>0</v>
      </c>
      <c r="D1267" s="510">
        <v>0</v>
      </c>
      <c r="E1267" s="510">
        <v>0</v>
      </c>
      <c r="F1267" s="510">
        <v>0</v>
      </c>
      <c r="G1267" s="510">
        <v>0</v>
      </c>
    </row>
    <row r="1268" spans="1:7" x14ac:dyDescent="0.25">
      <c r="A1268" s="509" t="s">
        <v>312</v>
      </c>
      <c r="B1268" s="509" t="s">
        <v>84</v>
      </c>
      <c r="C1268" s="510">
        <v>30000</v>
      </c>
      <c r="D1268" s="510">
        <v>0</v>
      </c>
      <c r="E1268" s="510">
        <v>20951.849999999999</v>
      </c>
      <c r="F1268" s="510">
        <v>0</v>
      </c>
      <c r="G1268" s="510">
        <v>20951.849999999999</v>
      </c>
    </row>
    <row r="1269" spans="1:7" x14ac:dyDescent="0.25">
      <c r="A1269" s="509" t="s">
        <v>958</v>
      </c>
      <c r="B1269" s="509" t="s">
        <v>1086</v>
      </c>
      <c r="C1269" s="510">
        <v>20800</v>
      </c>
      <c r="D1269" s="510">
        <v>0</v>
      </c>
      <c r="E1269" s="510">
        <v>1974.69</v>
      </c>
      <c r="F1269" s="510">
        <v>0</v>
      </c>
      <c r="G1269" s="510">
        <v>1974.69</v>
      </c>
    </row>
    <row r="1270" spans="1:7" x14ac:dyDescent="0.25">
      <c r="A1270" s="509" t="s">
        <v>313</v>
      </c>
      <c r="B1270" s="509" t="s">
        <v>85</v>
      </c>
      <c r="C1270" s="510">
        <v>20800</v>
      </c>
      <c r="D1270" s="510">
        <v>0</v>
      </c>
      <c r="E1270" s="510">
        <v>5890.84</v>
      </c>
      <c r="F1270" s="510">
        <v>0</v>
      </c>
      <c r="G1270" s="510">
        <v>5890.84</v>
      </c>
    </row>
    <row r="1271" spans="1:7" x14ac:dyDescent="0.25">
      <c r="A1271" s="509" t="s">
        <v>314</v>
      </c>
      <c r="B1271" s="509" t="s">
        <v>1170</v>
      </c>
      <c r="C1271" s="510">
        <v>20800</v>
      </c>
      <c r="D1271" s="510">
        <v>0</v>
      </c>
      <c r="E1271" s="510">
        <v>5507.52</v>
      </c>
      <c r="F1271" s="510">
        <v>0</v>
      </c>
      <c r="G1271" s="510">
        <v>5507.52</v>
      </c>
    </row>
    <row r="1272" spans="1:7" x14ac:dyDescent="0.25">
      <c r="A1272" s="509" t="s">
        <v>315</v>
      </c>
      <c r="B1272" s="509" t="s">
        <v>55</v>
      </c>
      <c r="C1272" s="510">
        <v>31200</v>
      </c>
      <c r="D1272" s="510">
        <v>0</v>
      </c>
      <c r="E1272" s="510">
        <v>12826.14</v>
      </c>
      <c r="F1272" s="510">
        <v>430.55</v>
      </c>
      <c r="G1272" s="510">
        <v>12395.59</v>
      </c>
    </row>
    <row r="1273" spans="1:7" x14ac:dyDescent="0.25">
      <c r="A1273" s="509" t="s">
        <v>316</v>
      </c>
      <c r="B1273" s="509" t="s">
        <v>104</v>
      </c>
      <c r="C1273" s="510">
        <v>39000</v>
      </c>
      <c r="D1273" s="510">
        <v>0</v>
      </c>
      <c r="E1273" s="510">
        <v>0</v>
      </c>
      <c r="F1273" s="510">
        <v>0</v>
      </c>
      <c r="G1273" s="510">
        <v>0</v>
      </c>
    </row>
    <row r="1274" spans="1:7" x14ac:dyDescent="0.25">
      <c r="A1274" s="509" t="s">
        <v>2749</v>
      </c>
      <c r="B1274" s="509" t="s">
        <v>2750</v>
      </c>
      <c r="C1274" s="510">
        <v>0</v>
      </c>
      <c r="D1274" s="510">
        <v>0</v>
      </c>
      <c r="E1274" s="510">
        <v>0</v>
      </c>
      <c r="F1274" s="510">
        <v>0</v>
      </c>
      <c r="G1274" s="510">
        <v>0</v>
      </c>
    </row>
    <row r="1275" spans="1:7" x14ac:dyDescent="0.25">
      <c r="A1275" s="509" t="s">
        <v>317</v>
      </c>
      <c r="B1275" s="509" t="s">
        <v>105</v>
      </c>
      <c r="C1275" s="510">
        <v>5000</v>
      </c>
      <c r="D1275" s="510">
        <v>0</v>
      </c>
      <c r="E1275" s="510">
        <v>0</v>
      </c>
      <c r="F1275" s="510">
        <v>0</v>
      </c>
      <c r="G1275" s="510">
        <v>0</v>
      </c>
    </row>
    <row r="1276" spans="1:7" x14ac:dyDescent="0.25">
      <c r="A1276" s="509" t="s">
        <v>318</v>
      </c>
      <c r="B1276" s="509" t="s">
        <v>106</v>
      </c>
      <c r="C1276" s="510">
        <v>35000</v>
      </c>
      <c r="D1276" s="510">
        <v>0</v>
      </c>
      <c r="E1276" s="510">
        <v>14665.16</v>
      </c>
      <c r="F1276" s="510">
        <v>0</v>
      </c>
      <c r="G1276" s="510">
        <v>14665.16</v>
      </c>
    </row>
    <row r="1277" spans="1:7" x14ac:dyDescent="0.25">
      <c r="A1277" s="509" t="s">
        <v>319</v>
      </c>
      <c r="B1277" s="509" t="s">
        <v>107</v>
      </c>
      <c r="C1277" s="510">
        <v>5000</v>
      </c>
      <c r="D1277" s="510">
        <v>0</v>
      </c>
      <c r="E1277" s="510">
        <v>241</v>
      </c>
      <c r="F1277" s="510">
        <v>0</v>
      </c>
      <c r="G1277" s="510">
        <v>241</v>
      </c>
    </row>
    <row r="1278" spans="1:7" x14ac:dyDescent="0.25">
      <c r="A1278" s="509" t="s">
        <v>320</v>
      </c>
      <c r="B1278" s="509" t="s">
        <v>108</v>
      </c>
      <c r="C1278" s="510">
        <v>60000</v>
      </c>
      <c r="D1278" s="510">
        <v>0</v>
      </c>
      <c r="E1278" s="510">
        <v>286.94</v>
      </c>
      <c r="F1278" s="510">
        <v>0</v>
      </c>
      <c r="G1278" s="510">
        <v>286.94</v>
      </c>
    </row>
    <row r="1279" spans="1:7" x14ac:dyDescent="0.25">
      <c r="A1279" s="509" t="s">
        <v>321</v>
      </c>
      <c r="B1279" s="509" t="s">
        <v>109</v>
      </c>
      <c r="C1279" s="510">
        <v>5000</v>
      </c>
      <c r="D1279" s="510">
        <v>0</v>
      </c>
      <c r="E1279" s="510">
        <v>241</v>
      </c>
      <c r="F1279" s="510">
        <v>0</v>
      </c>
      <c r="G1279" s="510">
        <v>241</v>
      </c>
    </row>
    <row r="1280" spans="1:7" x14ac:dyDescent="0.25">
      <c r="A1280" s="509" t="s">
        <v>322</v>
      </c>
      <c r="B1280" s="509" t="s">
        <v>110</v>
      </c>
      <c r="C1280" s="510">
        <v>75000</v>
      </c>
      <c r="D1280" s="510">
        <v>0</v>
      </c>
      <c r="E1280" s="510">
        <v>18732.939999999999</v>
      </c>
      <c r="F1280" s="510">
        <v>0</v>
      </c>
      <c r="G1280" s="510">
        <v>18732.939999999999</v>
      </c>
    </row>
    <row r="1281" spans="1:7" x14ac:dyDescent="0.25">
      <c r="A1281" s="509" t="s">
        <v>323</v>
      </c>
      <c r="B1281" s="509" t="s">
        <v>111</v>
      </c>
      <c r="C1281" s="510">
        <v>250</v>
      </c>
      <c r="D1281" s="510">
        <v>0</v>
      </c>
      <c r="E1281" s="510">
        <v>0</v>
      </c>
      <c r="F1281" s="510">
        <v>0</v>
      </c>
      <c r="G1281" s="510">
        <v>0</v>
      </c>
    </row>
    <row r="1282" spans="1:7" x14ac:dyDescent="0.25">
      <c r="A1282" s="509" t="s">
        <v>324</v>
      </c>
      <c r="B1282" s="509" t="s">
        <v>112</v>
      </c>
      <c r="C1282" s="510">
        <v>500</v>
      </c>
      <c r="D1282" s="510">
        <v>0</v>
      </c>
      <c r="E1282" s="510">
        <v>173.72</v>
      </c>
      <c r="F1282" s="510">
        <v>0</v>
      </c>
      <c r="G1282" s="510">
        <v>173.72</v>
      </c>
    </row>
    <row r="1283" spans="1:7" x14ac:dyDescent="0.25">
      <c r="A1283" s="509" t="s">
        <v>2751</v>
      </c>
      <c r="B1283" s="509" t="s">
        <v>1080</v>
      </c>
      <c r="C1283" s="510">
        <v>0</v>
      </c>
      <c r="D1283" s="510">
        <v>0</v>
      </c>
      <c r="E1283" s="510">
        <v>0</v>
      </c>
      <c r="F1283" s="510">
        <v>0</v>
      </c>
      <c r="G1283" s="510">
        <v>0</v>
      </c>
    </row>
    <row r="1284" spans="1:7" x14ac:dyDescent="0.25">
      <c r="A1284" s="509" t="s">
        <v>325</v>
      </c>
      <c r="B1284" s="509" t="s">
        <v>113</v>
      </c>
      <c r="C1284" s="510">
        <v>2500</v>
      </c>
      <c r="D1284" s="510">
        <v>0</v>
      </c>
      <c r="E1284" s="510">
        <v>320</v>
      </c>
      <c r="F1284" s="510">
        <v>0</v>
      </c>
      <c r="G1284" s="510">
        <v>320</v>
      </c>
    </row>
    <row r="1285" spans="1:7" x14ac:dyDescent="0.25">
      <c r="A1285" s="509" t="s">
        <v>326</v>
      </c>
      <c r="B1285" s="509" t="s">
        <v>114</v>
      </c>
      <c r="C1285" s="510">
        <v>75000</v>
      </c>
      <c r="D1285" s="510">
        <v>0</v>
      </c>
      <c r="E1285" s="510">
        <v>23965.91</v>
      </c>
      <c r="F1285" s="510">
        <v>0</v>
      </c>
      <c r="G1285" s="510">
        <v>23965.91</v>
      </c>
    </row>
    <row r="1286" spans="1:7" x14ac:dyDescent="0.25">
      <c r="A1286" s="509" t="s">
        <v>327</v>
      </c>
      <c r="B1286" s="509" t="s">
        <v>115</v>
      </c>
      <c r="C1286" s="510">
        <v>1500</v>
      </c>
      <c r="D1286" s="510">
        <v>0</v>
      </c>
      <c r="E1286" s="510">
        <v>419.16</v>
      </c>
      <c r="F1286" s="510">
        <v>0</v>
      </c>
      <c r="G1286" s="510">
        <v>419.16</v>
      </c>
    </row>
    <row r="1287" spans="1:7" x14ac:dyDescent="0.25">
      <c r="A1287" s="509" t="s">
        <v>328</v>
      </c>
      <c r="B1287" s="509" t="s">
        <v>116</v>
      </c>
      <c r="C1287" s="510">
        <v>8500</v>
      </c>
      <c r="D1287" s="510">
        <v>0</v>
      </c>
      <c r="E1287" s="510">
        <v>2832.31</v>
      </c>
      <c r="F1287" s="510">
        <v>0</v>
      </c>
      <c r="G1287" s="510">
        <v>2832.31</v>
      </c>
    </row>
    <row r="1288" spans="1:7" x14ac:dyDescent="0.25">
      <c r="A1288" s="509" t="s">
        <v>2752</v>
      </c>
      <c r="B1288" s="509" t="s">
        <v>2753</v>
      </c>
      <c r="C1288" s="510">
        <v>0</v>
      </c>
      <c r="D1288" s="510">
        <v>0</v>
      </c>
      <c r="E1288" s="510">
        <v>0</v>
      </c>
      <c r="F1288" s="510">
        <v>0</v>
      </c>
      <c r="G1288" s="510">
        <v>0</v>
      </c>
    </row>
    <row r="1289" spans="1:7" x14ac:dyDescent="0.25">
      <c r="A1289" s="509" t="s">
        <v>2754</v>
      </c>
      <c r="B1289" s="509" t="s">
        <v>2755</v>
      </c>
      <c r="C1289" s="510">
        <v>0</v>
      </c>
      <c r="D1289" s="510">
        <v>0</v>
      </c>
      <c r="E1289" s="510">
        <v>0</v>
      </c>
      <c r="F1289" s="510">
        <v>0</v>
      </c>
      <c r="G1289" s="510">
        <v>0</v>
      </c>
    </row>
    <row r="1290" spans="1:7" x14ac:dyDescent="0.25">
      <c r="A1290" s="509" t="s">
        <v>329</v>
      </c>
      <c r="B1290" s="509" t="s">
        <v>117</v>
      </c>
      <c r="C1290" s="510">
        <v>2500</v>
      </c>
      <c r="D1290" s="510">
        <v>0</v>
      </c>
      <c r="E1290" s="510">
        <v>436.04</v>
      </c>
      <c r="F1290" s="510">
        <v>0</v>
      </c>
      <c r="G1290" s="510">
        <v>436.04</v>
      </c>
    </row>
    <row r="1291" spans="1:7" x14ac:dyDescent="0.25">
      <c r="A1291" s="509" t="s">
        <v>330</v>
      </c>
      <c r="B1291" s="509" t="s">
        <v>118</v>
      </c>
      <c r="C1291" s="510">
        <v>6500</v>
      </c>
      <c r="D1291" s="510">
        <v>0</v>
      </c>
      <c r="E1291" s="510">
        <v>3486.94</v>
      </c>
      <c r="F1291" s="510">
        <v>0</v>
      </c>
      <c r="G1291" s="510">
        <v>3486.94</v>
      </c>
    </row>
    <row r="1292" spans="1:7" x14ac:dyDescent="0.25">
      <c r="A1292" s="509" t="s">
        <v>331</v>
      </c>
      <c r="B1292" s="509" t="s">
        <v>119</v>
      </c>
      <c r="C1292" s="510">
        <v>5000</v>
      </c>
      <c r="D1292" s="510">
        <v>0</v>
      </c>
      <c r="E1292" s="510">
        <v>0</v>
      </c>
      <c r="F1292" s="510">
        <v>0</v>
      </c>
      <c r="G1292" s="510">
        <v>0</v>
      </c>
    </row>
    <row r="1293" spans="1:7" x14ac:dyDescent="0.25">
      <c r="A1293" s="509" t="s">
        <v>332</v>
      </c>
      <c r="B1293" s="509" t="s">
        <v>120</v>
      </c>
      <c r="C1293" s="510">
        <v>200000</v>
      </c>
      <c r="D1293" s="510">
        <v>0</v>
      </c>
      <c r="E1293" s="510">
        <v>91977.73</v>
      </c>
      <c r="F1293" s="510">
        <v>0</v>
      </c>
      <c r="G1293" s="510">
        <v>91977.73</v>
      </c>
    </row>
    <row r="1294" spans="1:7" x14ac:dyDescent="0.25">
      <c r="A1294" s="509" t="s">
        <v>333</v>
      </c>
      <c r="B1294" s="509" t="s">
        <v>919</v>
      </c>
      <c r="C1294" s="510">
        <v>2000</v>
      </c>
      <c r="D1294" s="510">
        <v>0</v>
      </c>
      <c r="E1294" s="510">
        <v>350.36</v>
      </c>
      <c r="F1294" s="510">
        <v>0</v>
      </c>
      <c r="G1294" s="510">
        <v>350.36</v>
      </c>
    </row>
    <row r="1295" spans="1:7" x14ac:dyDescent="0.25">
      <c r="A1295" s="509" t="s">
        <v>334</v>
      </c>
      <c r="B1295" s="509" t="s">
        <v>920</v>
      </c>
      <c r="C1295" s="510">
        <v>140000</v>
      </c>
      <c r="D1295" s="510">
        <v>0</v>
      </c>
      <c r="E1295" s="510">
        <v>51502.1</v>
      </c>
      <c r="F1295" s="510">
        <v>0</v>
      </c>
      <c r="G1295" s="510">
        <v>51502.1</v>
      </c>
    </row>
    <row r="1296" spans="1:7" x14ac:dyDescent="0.25">
      <c r="A1296" s="509" t="s">
        <v>336</v>
      </c>
      <c r="B1296" s="509" t="s">
        <v>335</v>
      </c>
      <c r="C1296" s="510">
        <v>2500</v>
      </c>
      <c r="D1296" s="510">
        <v>0</v>
      </c>
      <c r="E1296" s="510">
        <v>0</v>
      </c>
      <c r="F1296" s="510">
        <v>0</v>
      </c>
      <c r="G1296" s="510">
        <v>0</v>
      </c>
    </row>
    <row r="1297" spans="1:7" x14ac:dyDescent="0.25">
      <c r="A1297" s="509" t="s">
        <v>338</v>
      </c>
      <c r="B1297" s="509" t="s">
        <v>337</v>
      </c>
      <c r="C1297" s="510">
        <v>140000</v>
      </c>
      <c r="D1297" s="510">
        <v>0</v>
      </c>
      <c r="E1297" s="510">
        <v>41842.160000000003</v>
      </c>
      <c r="F1297" s="510">
        <v>0</v>
      </c>
      <c r="G1297" s="510">
        <v>41842.160000000003</v>
      </c>
    </row>
    <row r="1298" spans="1:7" x14ac:dyDescent="0.25">
      <c r="A1298" s="509" t="s">
        <v>461</v>
      </c>
      <c r="B1298" s="509" t="s">
        <v>63</v>
      </c>
      <c r="C1298" s="510">
        <v>78854.399999999994</v>
      </c>
      <c r="D1298" s="510">
        <v>0</v>
      </c>
      <c r="E1298" s="510">
        <v>40110.47</v>
      </c>
      <c r="F1298" s="510">
        <v>3461.99</v>
      </c>
      <c r="G1298" s="510">
        <v>36648.480000000003</v>
      </c>
    </row>
    <row r="1299" spans="1:7" x14ac:dyDescent="0.25">
      <c r="A1299" s="509" t="s">
        <v>454</v>
      </c>
      <c r="B1299" s="509" t="s">
        <v>37</v>
      </c>
      <c r="C1299" s="510">
        <v>457.6</v>
      </c>
      <c r="D1299" s="510">
        <v>0</v>
      </c>
      <c r="E1299" s="510">
        <v>0</v>
      </c>
      <c r="F1299" s="510">
        <v>0</v>
      </c>
      <c r="G1299" s="510">
        <v>0</v>
      </c>
    </row>
    <row r="1300" spans="1:7" x14ac:dyDescent="0.25">
      <c r="A1300" s="509" t="s">
        <v>444</v>
      </c>
      <c r="B1300" s="509" t="s">
        <v>153</v>
      </c>
      <c r="C1300" s="510">
        <v>4917.12</v>
      </c>
      <c r="D1300" s="510">
        <v>0</v>
      </c>
      <c r="E1300" s="510">
        <v>2424.5100000000002</v>
      </c>
      <c r="F1300" s="510">
        <v>204.21</v>
      </c>
      <c r="G1300" s="510">
        <v>2220.3000000000002</v>
      </c>
    </row>
    <row r="1301" spans="1:7" x14ac:dyDescent="0.25">
      <c r="A1301" s="509" t="s">
        <v>443</v>
      </c>
      <c r="B1301" s="509" t="s">
        <v>154</v>
      </c>
      <c r="C1301" s="510">
        <v>1150.08</v>
      </c>
      <c r="D1301" s="510">
        <v>0</v>
      </c>
      <c r="E1301" s="510">
        <v>576.79</v>
      </c>
      <c r="F1301" s="510">
        <v>47.8</v>
      </c>
      <c r="G1301" s="510">
        <v>528.99</v>
      </c>
    </row>
    <row r="1302" spans="1:7" x14ac:dyDescent="0.25">
      <c r="A1302" s="509" t="s">
        <v>450</v>
      </c>
      <c r="B1302" s="509" t="s">
        <v>38</v>
      </c>
      <c r="C1302" s="510">
        <v>7096.96</v>
      </c>
      <c r="D1302" s="510">
        <v>0</v>
      </c>
      <c r="E1302" s="510">
        <v>3495.69</v>
      </c>
      <c r="F1302" s="510">
        <v>0</v>
      </c>
      <c r="G1302" s="510">
        <v>3495.69</v>
      </c>
    </row>
    <row r="1303" spans="1:7" x14ac:dyDescent="0.25">
      <c r="A1303" s="509" t="s">
        <v>439</v>
      </c>
      <c r="B1303" s="509" t="s">
        <v>77</v>
      </c>
      <c r="C1303" s="510">
        <v>368.64</v>
      </c>
      <c r="D1303" s="510">
        <v>0</v>
      </c>
      <c r="E1303" s="510">
        <v>181.23</v>
      </c>
      <c r="F1303" s="510">
        <v>0</v>
      </c>
      <c r="G1303" s="510">
        <v>181.23</v>
      </c>
    </row>
    <row r="1304" spans="1:7" x14ac:dyDescent="0.25">
      <c r="A1304" s="509" t="s">
        <v>460</v>
      </c>
      <c r="B1304" s="509" t="s">
        <v>78</v>
      </c>
      <c r="C1304" s="510">
        <v>158.72</v>
      </c>
      <c r="D1304" s="510">
        <v>0</v>
      </c>
      <c r="E1304" s="510">
        <v>72.13</v>
      </c>
      <c r="F1304" s="510">
        <v>0</v>
      </c>
      <c r="G1304" s="510">
        <v>72.13</v>
      </c>
    </row>
    <row r="1305" spans="1:7" x14ac:dyDescent="0.25">
      <c r="A1305" s="509" t="s">
        <v>2756</v>
      </c>
      <c r="B1305" s="509" t="s">
        <v>2292</v>
      </c>
      <c r="C1305" s="510">
        <v>0</v>
      </c>
      <c r="D1305" s="510">
        <v>0</v>
      </c>
      <c r="E1305" s="510">
        <v>0</v>
      </c>
      <c r="F1305" s="510">
        <v>0</v>
      </c>
      <c r="G1305" s="510">
        <v>0</v>
      </c>
    </row>
    <row r="1306" spans="1:7" x14ac:dyDescent="0.25">
      <c r="A1306" s="509" t="s">
        <v>462</v>
      </c>
      <c r="B1306" s="509" t="s">
        <v>893</v>
      </c>
      <c r="C1306" s="510">
        <v>3376.64</v>
      </c>
      <c r="D1306" s="510">
        <v>0</v>
      </c>
      <c r="E1306" s="510">
        <v>1762.22</v>
      </c>
      <c r="F1306" s="510">
        <v>76.209999999999994</v>
      </c>
      <c r="G1306" s="510">
        <v>1686.01</v>
      </c>
    </row>
    <row r="1307" spans="1:7" x14ac:dyDescent="0.25">
      <c r="A1307" s="509" t="s">
        <v>449</v>
      </c>
      <c r="B1307" s="509" t="s">
        <v>2249</v>
      </c>
      <c r="C1307" s="510">
        <v>280.32</v>
      </c>
      <c r="D1307" s="510">
        <v>0</v>
      </c>
      <c r="E1307" s="510">
        <v>179.51</v>
      </c>
      <c r="F1307" s="510">
        <v>50.27</v>
      </c>
      <c r="G1307" s="510">
        <v>129.24</v>
      </c>
    </row>
    <row r="1308" spans="1:7" x14ac:dyDescent="0.25">
      <c r="A1308" s="509" t="s">
        <v>459</v>
      </c>
      <c r="B1308" s="509" t="s">
        <v>64</v>
      </c>
      <c r="C1308" s="510">
        <v>256</v>
      </c>
      <c r="D1308" s="510">
        <v>0</v>
      </c>
      <c r="E1308" s="510">
        <v>170.06</v>
      </c>
      <c r="F1308" s="510">
        <v>0</v>
      </c>
      <c r="G1308" s="510">
        <v>170.06</v>
      </c>
    </row>
    <row r="1309" spans="1:7" x14ac:dyDescent="0.25">
      <c r="A1309" s="509" t="s">
        <v>433</v>
      </c>
      <c r="B1309" s="509" t="s">
        <v>65</v>
      </c>
      <c r="C1309" s="510">
        <v>128</v>
      </c>
      <c r="D1309" s="510">
        <v>0</v>
      </c>
      <c r="E1309" s="510">
        <v>0</v>
      </c>
      <c r="F1309" s="510">
        <v>0</v>
      </c>
      <c r="G1309" s="510">
        <v>0</v>
      </c>
    </row>
    <row r="1310" spans="1:7" x14ac:dyDescent="0.25">
      <c r="A1310" s="509" t="s">
        <v>458</v>
      </c>
      <c r="B1310" s="509" t="s">
        <v>40</v>
      </c>
      <c r="C1310" s="510">
        <v>423.04</v>
      </c>
      <c r="D1310" s="510">
        <v>0</v>
      </c>
      <c r="E1310" s="510">
        <v>101.34</v>
      </c>
      <c r="F1310" s="510">
        <v>19.66</v>
      </c>
      <c r="G1310" s="510">
        <v>81.680000000000007</v>
      </c>
    </row>
    <row r="1311" spans="1:7" x14ac:dyDescent="0.25">
      <c r="A1311" s="509" t="s">
        <v>442</v>
      </c>
      <c r="B1311" s="509" t="s">
        <v>41</v>
      </c>
      <c r="C1311" s="510">
        <v>9.6</v>
      </c>
      <c r="D1311" s="510">
        <v>0</v>
      </c>
      <c r="E1311" s="510">
        <v>2.59</v>
      </c>
      <c r="F1311" s="510">
        <v>0.51</v>
      </c>
      <c r="G1311" s="510">
        <v>2.08</v>
      </c>
    </row>
    <row r="1312" spans="1:7" x14ac:dyDescent="0.25">
      <c r="A1312" s="509" t="s">
        <v>441</v>
      </c>
      <c r="B1312" s="509" t="s">
        <v>42</v>
      </c>
      <c r="C1312" s="510">
        <v>220.16</v>
      </c>
      <c r="D1312" s="510">
        <v>0</v>
      </c>
      <c r="E1312" s="510">
        <v>95.71</v>
      </c>
      <c r="F1312" s="510">
        <v>5.12</v>
      </c>
      <c r="G1312" s="510">
        <v>90.59</v>
      </c>
    </row>
    <row r="1313" spans="1:7" x14ac:dyDescent="0.25">
      <c r="A1313" s="509" t="s">
        <v>434</v>
      </c>
      <c r="B1313" s="509" t="s">
        <v>2252</v>
      </c>
      <c r="C1313" s="510">
        <v>6425.6</v>
      </c>
      <c r="D1313" s="510">
        <v>0</v>
      </c>
      <c r="E1313" s="510">
        <v>3170.69</v>
      </c>
      <c r="F1313" s="510">
        <v>237.72</v>
      </c>
      <c r="G1313" s="510">
        <v>2932.97</v>
      </c>
    </row>
    <row r="1314" spans="1:7" x14ac:dyDescent="0.25">
      <c r="A1314" s="509" t="s">
        <v>435</v>
      </c>
      <c r="B1314" s="509" t="s">
        <v>44</v>
      </c>
      <c r="C1314" s="510">
        <v>5308.16</v>
      </c>
      <c r="D1314" s="510">
        <v>0</v>
      </c>
      <c r="E1314" s="510">
        <v>2630.13</v>
      </c>
      <c r="F1314" s="510">
        <v>196.1</v>
      </c>
      <c r="G1314" s="510">
        <v>2434.0300000000002</v>
      </c>
    </row>
    <row r="1315" spans="1:7" x14ac:dyDescent="0.25">
      <c r="A1315" s="509" t="s">
        <v>453</v>
      </c>
      <c r="B1315" s="509" t="s">
        <v>183</v>
      </c>
      <c r="C1315" s="510">
        <v>3904</v>
      </c>
      <c r="D1315" s="510">
        <v>0</v>
      </c>
      <c r="E1315" s="510">
        <v>0</v>
      </c>
      <c r="F1315" s="510">
        <v>0</v>
      </c>
      <c r="G1315" s="510">
        <v>0</v>
      </c>
    </row>
    <row r="1316" spans="1:7" x14ac:dyDescent="0.25">
      <c r="A1316" s="509" t="s">
        <v>2757</v>
      </c>
      <c r="B1316" s="509" t="s">
        <v>2254</v>
      </c>
      <c r="C1316" s="510">
        <v>0</v>
      </c>
      <c r="D1316" s="510">
        <v>0</v>
      </c>
      <c r="E1316" s="510">
        <v>0</v>
      </c>
      <c r="F1316" s="510">
        <v>0</v>
      </c>
      <c r="G1316" s="510">
        <v>0</v>
      </c>
    </row>
    <row r="1317" spans="1:7" x14ac:dyDescent="0.25">
      <c r="A1317" s="509" t="s">
        <v>2758</v>
      </c>
      <c r="B1317" s="509" t="s">
        <v>2256</v>
      </c>
      <c r="C1317" s="510">
        <v>0</v>
      </c>
      <c r="D1317" s="510">
        <v>0</v>
      </c>
      <c r="E1317" s="510">
        <v>0</v>
      </c>
      <c r="F1317" s="510">
        <v>0</v>
      </c>
      <c r="G1317" s="510">
        <v>0</v>
      </c>
    </row>
    <row r="1318" spans="1:7" x14ac:dyDescent="0.25">
      <c r="A1318" s="509" t="s">
        <v>437</v>
      </c>
      <c r="B1318" s="509" t="s">
        <v>66</v>
      </c>
      <c r="C1318" s="510">
        <v>6544</v>
      </c>
      <c r="D1318" s="510">
        <v>0</v>
      </c>
      <c r="E1318" s="510">
        <v>1738.39</v>
      </c>
      <c r="F1318" s="510">
        <v>0</v>
      </c>
      <c r="G1318" s="510">
        <v>1738.39</v>
      </c>
    </row>
    <row r="1319" spans="1:7" x14ac:dyDescent="0.25">
      <c r="A1319" s="509" t="s">
        <v>446</v>
      </c>
      <c r="B1319" s="509" t="s">
        <v>67</v>
      </c>
      <c r="C1319" s="510">
        <v>2574.08</v>
      </c>
      <c r="D1319" s="510">
        <v>0</v>
      </c>
      <c r="E1319" s="510">
        <v>567.07000000000005</v>
      </c>
      <c r="F1319" s="510">
        <v>0</v>
      </c>
      <c r="G1319" s="510">
        <v>567.07000000000005</v>
      </c>
    </row>
    <row r="1320" spans="1:7" x14ac:dyDescent="0.25">
      <c r="A1320" s="509" t="s">
        <v>432</v>
      </c>
      <c r="B1320" s="509" t="s">
        <v>1161</v>
      </c>
      <c r="C1320" s="510">
        <v>373.12</v>
      </c>
      <c r="D1320" s="510">
        <v>0</v>
      </c>
      <c r="E1320" s="510">
        <v>0</v>
      </c>
      <c r="F1320" s="510">
        <v>0</v>
      </c>
      <c r="G1320" s="510">
        <v>0</v>
      </c>
    </row>
    <row r="1321" spans="1:7" x14ac:dyDescent="0.25">
      <c r="A1321" s="509" t="s">
        <v>438</v>
      </c>
      <c r="B1321" s="509" t="s">
        <v>68</v>
      </c>
      <c r="C1321" s="510">
        <v>38608</v>
      </c>
      <c r="D1321" s="510">
        <v>0</v>
      </c>
      <c r="E1321" s="510">
        <v>8268.4</v>
      </c>
      <c r="F1321" s="510">
        <v>0</v>
      </c>
      <c r="G1321" s="510">
        <v>8268.4</v>
      </c>
    </row>
    <row r="1322" spans="1:7" x14ac:dyDescent="0.25">
      <c r="A1322" s="509" t="s">
        <v>445</v>
      </c>
      <c r="B1322" s="509" t="s">
        <v>49</v>
      </c>
      <c r="C1322" s="510">
        <v>0</v>
      </c>
      <c r="D1322" s="510">
        <v>0</v>
      </c>
      <c r="E1322" s="510">
        <v>0</v>
      </c>
      <c r="F1322" s="510">
        <v>0</v>
      </c>
      <c r="G1322" s="510">
        <v>0</v>
      </c>
    </row>
    <row r="1323" spans="1:7" x14ac:dyDescent="0.25">
      <c r="A1323" s="509" t="s">
        <v>457</v>
      </c>
      <c r="B1323" s="509" t="s">
        <v>69</v>
      </c>
      <c r="C1323" s="510">
        <v>7934.08</v>
      </c>
      <c r="D1323" s="510">
        <v>0</v>
      </c>
      <c r="E1323" s="510">
        <v>2902.72</v>
      </c>
      <c r="F1323" s="510">
        <v>0</v>
      </c>
      <c r="G1323" s="510">
        <v>2902.72</v>
      </c>
    </row>
    <row r="1324" spans="1:7" x14ac:dyDescent="0.25">
      <c r="A1324" s="509" t="s">
        <v>455</v>
      </c>
      <c r="B1324" s="509" t="s">
        <v>70</v>
      </c>
      <c r="C1324" s="510">
        <v>643.20000000000005</v>
      </c>
      <c r="D1324" s="510">
        <v>0</v>
      </c>
      <c r="E1324" s="510">
        <v>0</v>
      </c>
      <c r="F1324" s="510">
        <v>0</v>
      </c>
      <c r="G1324" s="510">
        <v>0</v>
      </c>
    </row>
    <row r="1325" spans="1:7" x14ac:dyDescent="0.25">
      <c r="A1325" s="509" t="s">
        <v>456</v>
      </c>
      <c r="B1325" s="509" t="s">
        <v>47</v>
      </c>
      <c r="C1325" s="510">
        <v>4974.08</v>
      </c>
      <c r="D1325" s="510">
        <v>0</v>
      </c>
      <c r="E1325" s="510">
        <v>0</v>
      </c>
      <c r="F1325" s="510">
        <v>0</v>
      </c>
      <c r="G1325" s="510">
        <v>0</v>
      </c>
    </row>
    <row r="1326" spans="1:7" x14ac:dyDescent="0.25">
      <c r="A1326" s="509" t="s">
        <v>452</v>
      </c>
      <c r="B1326" s="509" t="s">
        <v>48</v>
      </c>
      <c r="C1326" s="510">
        <v>405.12</v>
      </c>
      <c r="D1326" s="510">
        <v>0</v>
      </c>
      <c r="E1326" s="510">
        <v>0</v>
      </c>
      <c r="F1326" s="510">
        <v>0</v>
      </c>
      <c r="G1326" s="510">
        <v>0</v>
      </c>
    </row>
    <row r="1327" spans="1:7" x14ac:dyDescent="0.25">
      <c r="A1327" s="509" t="s">
        <v>1106</v>
      </c>
      <c r="B1327" s="509" t="s">
        <v>49</v>
      </c>
      <c r="C1327" s="510">
        <v>6190.08</v>
      </c>
      <c r="D1327" s="510">
        <v>0</v>
      </c>
      <c r="E1327" s="510">
        <v>1414.55</v>
      </c>
      <c r="F1327" s="510">
        <v>0</v>
      </c>
      <c r="G1327" s="510">
        <v>1414.55</v>
      </c>
    </row>
    <row r="1328" spans="1:7" x14ac:dyDescent="0.25">
      <c r="A1328" s="509" t="s">
        <v>2759</v>
      </c>
      <c r="B1328" s="509" t="s">
        <v>1151</v>
      </c>
      <c r="C1328" s="510">
        <v>0</v>
      </c>
      <c r="D1328" s="510">
        <v>0</v>
      </c>
      <c r="E1328" s="510">
        <v>0</v>
      </c>
      <c r="F1328" s="510">
        <v>0</v>
      </c>
      <c r="G1328" s="510">
        <v>0</v>
      </c>
    </row>
    <row r="1329" spans="1:7" x14ac:dyDescent="0.25">
      <c r="A1329" s="509" t="s">
        <v>2760</v>
      </c>
      <c r="B1329" s="509" t="s">
        <v>1152</v>
      </c>
      <c r="C1329" s="510">
        <v>0</v>
      </c>
      <c r="D1329" s="510">
        <v>0</v>
      </c>
      <c r="E1329" s="510">
        <v>0</v>
      </c>
      <c r="F1329" s="510">
        <v>0</v>
      </c>
      <c r="G1329" s="510">
        <v>0</v>
      </c>
    </row>
    <row r="1330" spans="1:7" x14ac:dyDescent="0.25">
      <c r="A1330" s="509" t="s">
        <v>2761</v>
      </c>
      <c r="B1330" s="509" t="s">
        <v>53</v>
      </c>
      <c r="C1330" s="510">
        <v>0</v>
      </c>
      <c r="D1330" s="510">
        <v>0</v>
      </c>
      <c r="E1330" s="510">
        <v>0</v>
      </c>
      <c r="F1330" s="510">
        <v>0</v>
      </c>
      <c r="G1330" s="510">
        <v>0</v>
      </c>
    </row>
    <row r="1331" spans="1:7" x14ac:dyDescent="0.25">
      <c r="A1331" s="509" t="s">
        <v>2762</v>
      </c>
      <c r="B1331" s="509" t="s">
        <v>71</v>
      </c>
      <c r="C1331" s="510">
        <v>0</v>
      </c>
      <c r="D1331" s="510">
        <v>0</v>
      </c>
      <c r="E1331" s="510">
        <v>0</v>
      </c>
      <c r="F1331" s="510">
        <v>0</v>
      </c>
      <c r="G1331" s="510">
        <v>0</v>
      </c>
    </row>
    <row r="1332" spans="1:7" x14ac:dyDescent="0.25">
      <c r="A1332" s="509" t="s">
        <v>451</v>
      </c>
      <c r="B1332" s="509" t="s">
        <v>54</v>
      </c>
      <c r="C1332" s="510">
        <v>1672.96</v>
      </c>
      <c r="D1332" s="510">
        <v>0</v>
      </c>
      <c r="E1332" s="510">
        <v>1300.48</v>
      </c>
      <c r="F1332" s="510">
        <v>0</v>
      </c>
      <c r="G1332" s="510">
        <v>1300.48</v>
      </c>
    </row>
    <row r="1333" spans="1:7" x14ac:dyDescent="0.25">
      <c r="A1333" s="509" t="s">
        <v>448</v>
      </c>
      <c r="B1333" s="509" t="s">
        <v>72</v>
      </c>
      <c r="C1333" s="510">
        <v>6640.64</v>
      </c>
      <c r="D1333" s="510">
        <v>0</v>
      </c>
      <c r="E1333" s="510">
        <v>0</v>
      </c>
      <c r="F1333" s="510">
        <v>0</v>
      </c>
      <c r="G1333" s="510">
        <v>0</v>
      </c>
    </row>
    <row r="1334" spans="1:7" x14ac:dyDescent="0.25">
      <c r="A1334" s="509" t="s">
        <v>436</v>
      </c>
      <c r="B1334" s="509" t="s">
        <v>73</v>
      </c>
      <c r="C1334" s="510">
        <v>341.12</v>
      </c>
      <c r="D1334" s="510">
        <v>0</v>
      </c>
      <c r="E1334" s="510">
        <v>230.4</v>
      </c>
      <c r="F1334" s="510">
        <v>0</v>
      </c>
      <c r="G1334" s="510">
        <v>230.4</v>
      </c>
    </row>
    <row r="1335" spans="1:7" x14ac:dyDescent="0.25">
      <c r="A1335" s="509" t="s">
        <v>440</v>
      </c>
      <c r="B1335" s="509" t="s">
        <v>74</v>
      </c>
      <c r="C1335" s="510">
        <v>6000</v>
      </c>
      <c r="D1335" s="510">
        <v>0</v>
      </c>
      <c r="E1335" s="510">
        <v>0</v>
      </c>
      <c r="F1335" s="510">
        <v>0</v>
      </c>
      <c r="G1335" s="510">
        <v>0</v>
      </c>
    </row>
    <row r="1336" spans="1:7" x14ac:dyDescent="0.25">
      <c r="A1336" s="509" t="s">
        <v>447</v>
      </c>
      <c r="B1336" s="509" t="s">
        <v>1174</v>
      </c>
      <c r="C1336" s="510">
        <v>6607.36</v>
      </c>
      <c r="D1336" s="510">
        <v>0</v>
      </c>
      <c r="E1336" s="510">
        <v>5161.6099999999997</v>
      </c>
      <c r="F1336" s="510">
        <v>0</v>
      </c>
      <c r="G1336" s="510">
        <v>5161.6099999999997</v>
      </c>
    </row>
    <row r="1337" spans="1:7" x14ac:dyDescent="0.25">
      <c r="A1337" s="509" t="s">
        <v>2763</v>
      </c>
      <c r="B1337" s="509" t="s">
        <v>1080</v>
      </c>
      <c r="C1337" s="510">
        <v>0</v>
      </c>
      <c r="D1337" s="510">
        <v>0</v>
      </c>
      <c r="E1337" s="510">
        <v>0</v>
      </c>
      <c r="F1337" s="510">
        <v>0</v>
      </c>
      <c r="G1337" s="510">
        <v>0</v>
      </c>
    </row>
    <row r="1338" spans="1:7" x14ac:dyDescent="0.25">
      <c r="A1338" s="509" t="s">
        <v>516</v>
      </c>
      <c r="B1338" s="509" t="s">
        <v>36</v>
      </c>
      <c r="C1338" s="510">
        <v>66470.399999999994</v>
      </c>
      <c r="D1338" s="510">
        <v>0</v>
      </c>
      <c r="E1338" s="510">
        <v>35075.56</v>
      </c>
      <c r="F1338" s="510">
        <v>2792.27</v>
      </c>
      <c r="G1338" s="510">
        <v>32283.29</v>
      </c>
    </row>
    <row r="1339" spans="1:7" x14ac:dyDescent="0.25">
      <c r="A1339" s="509" t="s">
        <v>511</v>
      </c>
      <c r="B1339" s="509" t="s">
        <v>37</v>
      </c>
      <c r="C1339" s="510">
        <v>2519</v>
      </c>
      <c r="D1339" s="510">
        <v>0</v>
      </c>
      <c r="E1339" s="510">
        <v>1276.08</v>
      </c>
      <c r="F1339" s="510">
        <v>0</v>
      </c>
      <c r="G1339" s="510">
        <v>1276.08</v>
      </c>
    </row>
    <row r="1340" spans="1:7" x14ac:dyDescent="0.25">
      <c r="A1340" s="509" t="s">
        <v>502</v>
      </c>
      <c r="B1340" s="509" t="s">
        <v>153</v>
      </c>
      <c r="C1340" s="510">
        <v>4277</v>
      </c>
      <c r="D1340" s="510">
        <v>0</v>
      </c>
      <c r="E1340" s="510">
        <v>2148.4</v>
      </c>
      <c r="F1340" s="510">
        <v>164.53</v>
      </c>
      <c r="G1340" s="510">
        <v>1983.87</v>
      </c>
    </row>
    <row r="1341" spans="1:7" x14ac:dyDescent="0.25">
      <c r="A1341" s="509" t="s">
        <v>501</v>
      </c>
      <c r="B1341" s="509" t="s">
        <v>154</v>
      </c>
      <c r="C1341" s="510">
        <v>1000</v>
      </c>
      <c r="D1341" s="510">
        <v>0</v>
      </c>
      <c r="E1341" s="510">
        <v>523.83000000000004</v>
      </c>
      <c r="F1341" s="510">
        <v>38.47</v>
      </c>
      <c r="G1341" s="510">
        <v>485.36</v>
      </c>
    </row>
    <row r="1342" spans="1:7" x14ac:dyDescent="0.25">
      <c r="A1342" s="509" t="s">
        <v>508</v>
      </c>
      <c r="B1342" s="509" t="s">
        <v>38</v>
      </c>
      <c r="C1342" s="510">
        <v>8597.76</v>
      </c>
      <c r="D1342" s="510">
        <v>0</v>
      </c>
      <c r="E1342" s="510">
        <v>4307.84</v>
      </c>
      <c r="F1342" s="510">
        <v>0</v>
      </c>
      <c r="G1342" s="510">
        <v>4307.84</v>
      </c>
    </row>
    <row r="1343" spans="1:7" x14ac:dyDescent="0.25">
      <c r="A1343" s="509" t="s">
        <v>498</v>
      </c>
      <c r="B1343" s="509" t="s">
        <v>77</v>
      </c>
      <c r="C1343" s="510">
        <v>460.8</v>
      </c>
      <c r="D1343" s="510">
        <v>0</v>
      </c>
      <c r="E1343" s="510">
        <v>230.35</v>
      </c>
      <c r="F1343" s="510">
        <v>0</v>
      </c>
      <c r="G1343" s="510">
        <v>230.35</v>
      </c>
    </row>
    <row r="1344" spans="1:7" x14ac:dyDescent="0.25">
      <c r="A1344" s="509" t="s">
        <v>515</v>
      </c>
      <c r="B1344" s="509" t="s">
        <v>78</v>
      </c>
      <c r="C1344" s="510">
        <v>145.28</v>
      </c>
      <c r="D1344" s="510">
        <v>0</v>
      </c>
      <c r="E1344" s="510">
        <v>79.2</v>
      </c>
      <c r="F1344" s="510">
        <v>0</v>
      </c>
      <c r="G1344" s="510">
        <v>79.2</v>
      </c>
    </row>
    <row r="1345" spans="1:7" x14ac:dyDescent="0.25">
      <c r="A1345" s="509" t="s">
        <v>518</v>
      </c>
      <c r="B1345" s="509" t="s">
        <v>893</v>
      </c>
      <c r="C1345" s="510">
        <v>708</v>
      </c>
      <c r="D1345" s="510">
        <v>0</v>
      </c>
      <c r="E1345" s="510">
        <v>670.18</v>
      </c>
      <c r="F1345" s="510">
        <v>15.95</v>
      </c>
      <c r="G1345" s="510">
        <v>654.23</v>
      </c>
    </row>
    <row r="1346" spans="1:7" x14ac:dyDescent="0.25">
      <c r="A1346" s="509" t="s">
        <v>507</v>
      </c>
      <c r="B1346" s="509" t="s">
        <v>2249</v>
      </c>
      <c r="C1346" s="510">
        <v>231.68</v>
      </c>
      <c r="D1346" s="510">
        <v>0</v>
      </c>
      <c r="E1346" s="510">
        <v>121.49</v>
      </c>
      <c r="F1346" s="510">
        <v>34</v>
      </c>
      <c r="G1346" s="510">
        <v>87.49</v>
      </c>
    </row>
    <row r="1347" spans="1:7" x14ac:dyDescent="0.25">
      <c r="A1347" s="509" t="s">
        <v>513</v>
      </c>
      <c r="B1347" s="509" t="s">
        <v>40</v>
      </c>
      <c r="C1347" s="510">
        <v>443.52</v>
      </c>
      <c r="D1347" s="510">
        <v>0</v>
      </c>
      <c r="E1347" s="510">
        <v>39.61</v>
      </c>
      <c r="F1347" s="510">
        <v>20.96</v>
      </c>
      <c r="G1347" s="510">
        <v>18.649999999999999</v>
      </c>
    </row>
    <row r="1348" spans="1:7" x14ac:dyDescent="0.25">
      <c r="A1348" s="509" t="s">
        <v>500</v>
      </c>
      <c r="B1348" s="509" t="s">
        <v>41</v>
      </c>
      <c r="C1348" s="510">
        <v>9.6</v>
      </c>
      <c r="D1348" s="510">
        <v>0</v>
      </c>
      <c r="E1348" s="510">
        <v>0.97</v>
      </c>
      <c r="F1348" s="510">
        <v>0.53</v>
      </c>
      <c r="G1348" s="510">
        <v>0.44</v>
      </c>
    </row>
    <row r="1349" spans="1:7" x14ac:dyDescent="0.25">
      <c r="A1349" s="509" t="s">
        <v>499</v>
      </c>
      <c r="B1349" s="509" t="s">
        <v>42</v>
      </c>
      <c r="C1349" s="510">
        <v>181.76</v>
      </c>
      <c r="D1349" s="510">
        <v>0</v>
      </c>
      <c r="E1349" s="510">
        <v>64.55</v>
      </c>
      <c r="F1349" s="510">
        <v>3.47</v>
      </c>
      <c r="G1349" s="510">
        <v>61.08</v>
      </c>
    </row>
    <row r="1350" spans="1:7" x14ac:dyDescent="0.25">
      <c r="A1350" s="509" t="s">
        <v>493</v>
      </c>
      <c r="B1350" s="509" t="s">
        <v>2252</v>
      </c>
      <c r="C1350" s="510">
        <v>5302.4</v>
      </c>
      <c r="D1350" s="510">
        <v>0</v>
      </c>
      <c r="E1350" s="510">
        <v>2601.4299999999998</v>
      </c>
      <c r="F1350" s="510">
        <v>191.85</v>
      </c>
      <c r="G1350" s="510">
        <v>2409.58</v>
      </c>
    </row>
    <row r="1351" spans="1:7" x14ac:dyDescent="0.25">
      <c r="A1351" s="509" t="s">
        <v>494</v>
      </c>
      <c r="B1351" s="509" t="s">
        <v>44</v>
      </c>
      <c r="C1351" s="510">
        <v>4380.16</v>
      </c>
      <c r="D1351" s="510">
        <v>0</v>
      </c>
      <c r="E1351" s="510">
        <v>2158.14</v>
      </c>
      <c r="F1351" s="510">
        <v>158.31</v>
      </c>
      <c r="G1351" s="510">
        <v>1999.83</v>
      </c>
    </row>
    <row r="1352" spans="1:7" x14ac:dyDescent="0.25">
      <c r="A1352" s="509" t="s">
        <v>510</v>
      </c>
      <c r="B1352" s="509" t="s">
        <v>183</v>
      </c>
      <c r="C1352" s="510">
        <v>2528</v>
      </c>
      <c r="D1352" s="510">
        <v>0</v>
      </c>
      <c r="E1352" s="510">
        <v>0</v>
      </c>
      <c r="F1352" s="510">
        <v>0</v>
      </c>
      <c r="G1352" s="510">
        <v>0</v>
      </c>
    </row>
    <row r="1353" spans="1:7" x14ac:dyDescent="0.25">
      <c r="A1353" s="509" t="s">
        <v>2764</v>
      </c>
      <c r="B1353" s="509" t="s">
        <v>2254</v>
      </c>
      <c r="C1353" s="510">
        <v>0</v>
      </c>
      <c r="D1353" s="510">
        <v>0</v>
      </c>
      <c r="E1353" s="510">
        <v>0</v>
      </c>
      <c r="F1353" s="510">
        <v>0</v>
      </c>
      <c r="G1353" s="510">
        <v>0</v>
      </c>
    </row>
    <row r="1354" spans="1:7" x14ac:dyDescent="0.25">
      <c r="A1354" s="509" t="s">
        <v>2765</v>
      </c>
      <c r="B1354" s="509" t="s">
        <v>2256</v>
      </c>
      <c r="C1354" s="510">
        <v>0</v>
      </c>
      <c r="D1354" s="510">
        <v>0</v>
      </c>
      <c r="E1354" s="510">
        <v>0</v>
      </c>
      <c r="F1354" s="510">
        <v>0</v>
      </c>
      <c r="G1354" s="510">
        <v>0</v>
      </c>
    </row>
    <row r="1355" spans="1:7" x14ac:dyDescent="0.25">
      <c r="A1355" s="509" t="s">
        <v>492</v>
      </c>
      <c r="B1355" s="509" t="s">
        <v>1161</v>
      </c>
      <c r="C1355" s="510">
        <v>128</v>
      </c>
      <c r="D1355" s="510">
        <v>0</v>
      </c>
      <c r="E1355" s="510">
        <v>0</v>
      </c>
      <c r="F1355" s="510">
        <v>0</v>
      </c>
      <c r="G1355" s="510">
        <v>0</v>
      </c>
    </row>
    <row r="1356" spans="1:7" x14ac:dyDescent="0.25">
      <c r="A1356" s="509" t="s">
        <v>512</v>
      </c>
      <c r="B1356" s="509" t="s">
        <v>47</v>
      </c>
      <c r="C1356" s="510">
        <v>2685</v>
      </c>
      <c r="D1356" s="510">
        <v>0</v>
      </c>
      <c r="E1356" s="510">
        <v>1754.3</v>
      </c>
      <c r="F1356" s="510">
        <v>0</v>
      </c>
      <c r="G1356" s="510">
        <v>1754.3</v>
      </c>
    </row>
    <row r="1357" spans="1:7" x14ac:dyDescent="0.25">
      <c r="A1357" s="509" t="s">
        <v>2766</v>
      </c>
      <c r="B1357" s="509" t="s">
        <v>48</v>
      </c>
      <c r="C1357" s="510">
        <v>0</v>
      </c>
      <c r="D1357" s="510">
        <v>0</v>
      </c>
      <c r="E1357" s="510">
        <v>0</v>
      </c>
      <c r="F1357" s="510">
        <v>0</v>
      </c>
      <c r="G1357" s="510">
        <v>0</v>
      </c>
    </row>
    <row r="1358" spans="1:7" x14ac:dyDescent="0.25">
      <c r="A1358" s="509" t="s">
        <v>503</v>
      </c>
      <c r="B1358" s="509" t="s">
        <v>49</v>
      </c>
      <c r="C1358" s="510">
        <v>250</v>
      </c>
      <c r="D1358" s="510">
        <v>0</v>
      </c>
      <c r="E1358" s="510">
        <v>0</v>
      </c>
      <c r="F1358" s="510">
        <v>0</v>
      </c>
      <c r="G1358" s="510">
        <v>0</v>
      </c>
    </row>
    <row r="1359" spans="1:7" x14ac:dyDescent="0.25">
      <c r="A1359" s="509" t="s">
        <v>495</v>
      </c>
      <c r="B1359" s="509" t="s">
        <v>50</v>
      </c>
      <c r="C1359" s="510">
        <v>320</v>
      </c>
      <c r="D1359" s="510">
        <v>0</v>
      </c>
      <c r="E1359" s="510">
        <v>224</v>
      </c>
      <c r="F1359" s="510">
        <v>0</v>
      </c>
      <c r="G1359" s="510">
        <v>224</v>
      </c>
    </row>
    <row r="1360" spans="1:7" x14ac:dyDescent="0.25">
      <c r="A1360" s="509" t="s">
        <v>491</v>
      </c>
      <c r="B1360" s="509" t="s">
        <v>51</v>
      </c>
      <c r="C1360" s="510">
        <v>500</v>
      </c>
      <c r="D1360" s="510">
        <v>0</v>
      </c>
      <c r="E1360" s="510">
        <v>0</v>
      </c>
      <c r="F1360" s="510">
        <v>0</v>
      </c>
      <c r="G1360" s="510">
        <v>0</v>
      </c>
    </row>
    <row r="1361" spans="1:7" x14ac:dyDescent="0.25">
      <c r="A1361" s="509" t="s">
        <v>497</v>
      </c>
      <c r="B1361" s="509" t="s">
        <v>52</v>
      </c>
      <c r="C1361" s="510">
        <v>0</v>
      </c>
      <c r="D1361" s="510">
        <v>0</v>
      </c>
      <c r="E1361" s="510">
        <v>0</v>
      </c>
      <c r="F1361" s="510">
        <v>0</v>
      </c>
      <c r="G1361" s="510">
        <v>0</v>
      </c>
    </row>
    <row r="1362" spans="1:7" x14ac:dyDescent="0.25">
      <c r="A1362" s="509" t="s">
        <v>2767</v>
      </c>
      <c r="B1362" s="509" t="s">
        <v>1151</v>
      </c>
      <c r="C1362" s="510">
        <v>0</v>
      </c>
      <c r="D1362" s="510">
        <v>0</v>
      </c>
      <c r="E1362" s="510">
        <v>0</v>
      </c>
      <c r="F1362" s="510">
        <v>0</v>
      </c>
      <c r="G1362" s="510">
        <v>0</v>
      </c>
    </row>
    <row r="1363" spans="1:7" x14ac:dyDescent="0.25">
      <c r="A1363" s="509" t="s">
        <v>2768</v>
      </c>
      <c r="B1363" s="509" t="s">
        <v>1152</v>
      </c>
      <c r="C1363" s="510">
        <v>0</v>
      </c>
      <c r="D1363" s="510">
        <v>0</v>
      </c>
      <c r="E1363" s="510">
        <v>0</v>
      </c>
      <c r="F1363" s="510">
        <v>0</v>
      </c>
      <c r="G1363" s="510">
        <v>0</v>
      </c>
    </row>
    <row r="1364" spans="1:7" x14ac:dyDescent="0.25">
      <c r="A1364" s="509" t="s">
        <v>2769</v>
      </c>
      <c r="B1364" s="509" t="s">
        <v>53</v>
      </c>
      <c r="C1364" s="510">
        <v>0</v>
      </c>
      <c r="D1364" s="510">
        <v>0</v>
      </c>
      <c r="E1364" s="510">
        <v>0</v>
      </c>
      <c r="F1364" s="510">
        <v>0</v>
      </c>
      <c r="G1364" s="510">
        <v>0</v>
      </c>
    </row>
    <row r="1365" spans="1:7" x14ac:dyDescent="0.25">
      <c r="A1365" s="509" t="s">
        <v>509</v>
      </c>
      <c r="B1365" s="509" t="s">
        <v>54</v>
      </c>
      <c r="C1365" s="510">
        <v>3200</v>
      </c>
      <c r="D1365" s="510">
        <v>0</v>
      </c>
      <c r="E1365" s="510">
        <v>320</v>
      </c>
      <c r="F1365" s="510">
        <v>0</v>
      </c>
      <c r="G1365" s="510">
        <v>320</v>
      </c>
    </row>
    <row r="1366" spans="1:7" x14ac:dyDescent="0.25">
      <c r="A1366" s="509" t="s">
        <v>2770</v>
      </c>
      <c r="B1366" s="509" t="s">
        <v>55</v>
      </c>
      <c r="C1366" s="510">
        <v>0</v>
      </c>
      <c r="D1366" s="510">
        <v>0</v>
      </c>
      <c r="E1366" s="510">
        <v>0</v>
      </c>
      <c r="F1366" s="510">
        <v>0</v>
      </c>
      <c r="G1366" s="510">
        <v>0</v>
      </c>
    </row>
    <row r="1367" spans="1:7" x14ac:dyDescent="0.25">
      <c r="A1367" s="509" t="s">
        <v>514</v>
      </c>
      <c r="B1367" s="509" t="s">
        <v>56</v>
      </c>
      <c r="C1367" s="510">
        <v>26380</v>
      </c>
      <c r="D1367" s="510">
        <v>0</v>
      </c>
      <c r="E1367" s="510">
        <v>26377.56</v>
      </c>
      <c r="F1367" s="510">
        <v>0</v>
      </c>
      <c r="G1367" s="510">
        <v>26377.56</v>
      </c>
    </row>
    <row r="1368" spans="1:7" x14ac:dyDescent="0.25">
      <c r="A1368" s="509" t="s">
        <v>517</v>
      </c>
      <c r="B1368" s="509" t="s">
        <v>57</v>
      </c>
      <c r="C1368" s="510">
        <v>9375</v>
      </c>
      <c r="D1368" s="510">
        <v>0</v>
      </c>
      <c r="E1368" s="510">
        <v>5375</v>
      </c>
      <c r="F1368" s="510">
        <v>0</v>
      </c>
      <c r="G1368" s="510">
        <v>5375</v>
      </c>
    </row>
    <row r="1369" spans="1:7" x14ac:dyDescent="0.25">
      <c r="A1369" s="509" t="s">
        <v>496</v>
      </c>
      <c r="B1369" s="509" t="s">
        <v>58</v>
      </c>
      <c r="C1369" s="510">
        <v>15250</v>
      </c>
      <c r="D1369" s="510">
        <v>0</v>
      </c>
      <c r="E1369" s="510">
        <v>4933.53</v>
      </c>
      <c r="F1369" s="510">
        <v>0</v>
      </c>
      <c r="G1369" s="510">
        <v>4933.53</v>
      </c>
    </row>
    <row r="1370" spans="1:7" x14ac:dyDescent="0.25">
      <c r="A1370" s="509" t="s">
        <v>506</v>
      </c>
      <c r="B1370" s="509" t="s">
        <v>59</v>
      </c>
      <c r="C1370" s="510">
        <v>3970</v>
      </c>
      <c r="D1370" s="510">
        <v>0</v>
      </c>
      <c r="E1370" s="510">
        <v>0</v>
      </c>
      <c r="F1370" s="510">
        <v>0</v>
      </c>
      <c r="G1370" s="510">
        <v>0</v>
      </c>
    </row>
    <row r="1371" spans="1:7" x14ac:dyDescent="0.25">
      <c r="A1371" s="509" t="s">
        <v>504</v>
      </c>
      <c r="B1371" s="509" t="s">
        <v>2320</v>
      </c>
      <c r="C1371" s="510">
        <v>1000</v>
      </c>
      <c r="D1371" s="510">
        <v>0</v>
      </c>
      <c r="E1371" s="510">
        <v>0</v>
      </c>
      <c r="F1371" s="510">
        <v>0</v>
      </c>
      <c r="G1371" s="510">
        <v>0</v>
      </c>
    </row>
    <row r="1372" spans="1:7" x14ac:dyDescent="0.25">
      <c r="A1372" s="509" t="s">
        <v>505</v>
      </c>
      <c r="B1372" s="509" t="s">
        <v>60</v>
      </c>
      <c r="C1372" s="510">
        <v>500</v>
      </c>
      <c r="D1372" s="510">
        <v>0</v>
      </c>
      <c r="E1372" s="510">
        <v>0</v>
      </c>
      <c r="F1372" s="510">
        <v>0</v>
      </c>
      <c r="G1372" s="510">
        <v>0</v>
      </c>
    </row>
    <row r="1373" spans="1:7" x14ac:dyDescent="0.25">
      <c r="A1373" s="509" t="s">
        <v>2771</v>
      </c>
      <c r="B1373" s="509" t="s">
        <v>1080</v>
      </c>
      <c r="C1373" s="510">
        <v>0</v>
      </c>
      <c r="D1373" s="510">
        <v>0</v>
      </c>
      <c r="E1373" s="510">
        <v>0</v>
      </c>
      <c r="F1373" s="510">
        <v>0</v>
      </c>
      <c r="G1373" s="510">
        <v>0</v>
      </c>
    </row>
    <row r="1374" spans="1:7" x14ac:dyDescent="0.25">
      <c r="A1374" s="509" t="s">
        <v>585</v>
      </c>
      <c r="B1374" s="509" t="s">
        <v>150</v>
      </c>
      <c r="C1374" s="510">
        <v>322793</v>
      </c>
      <c r="D1374" s="510">
        <v>0</v>
      </c>
      <c r="E1374" s="510">
        <v>130273.92</v>
      </c>
      <c r="F1374" s="510">
        <v>9052.83</v>
      </c>
      <c r="G1374" s="510">
        <v>121221.09</v>
      </c>
    </row>
    <row r="1375" spans="1:7" x14ac:dyDescent="0.25">
      <c r="A1375" s="509" t="s">
        <v>586</v>
      </c>
      <c r="B1375" s="509" t="s">
        <v>667</v>
      </c>
      <c r="C1375" s="510">
        <v>-185303.4</v>
      </c>
      <c r="D1375" s="510">
        <v>0</v>
      </c>
      <c r="E1375" s="510">
        <v>0</v>
      </c>
      <c r="F1375" s="510">
        <v>18783.509999999998</v>
      </c>
      <c r="G1375" s="510">
        <v>-18783.509999999998</v>
      </c>
    </row>
    <row r="1376" spans="1:7" x14ac:dyDescent="0.25">
      <c r="A1376" s="509" t="s">
        <v>580</v>
      </c>
      <c r="B1376" s="509" t="s">
        <v>37</v>
      </c>
      <c r="C1376" s="510">
        <v>1648</v>
      </c>
      <c r="D1376" s="510">
        <v>0</v>
      </c>
      <c r="E1376" s="510">
        <v>0</v>
      </c>
      <c r="F1376" s="510">
        <v>0</v>
      </c>
      <c r="G1376" s="510">
        <v>0</v>
      </c>
    </row>
    <row r="1377" spans="1:7" x14ac:dyDescent="0.25">
      <c r="A1377" s="509" t="s">
        <v>574</v>
      </c>
      <c r="B1377" s="509" t="s">
        <v>153</v>
      </c>
      <c r="C1377" s="510">
        <v>18348.27</v>
      </c>
      <c r="D1377" s="510">
        <v>0</v>
      </c>
      <c r="E1377" s="510">
        <v>6731.42</v>
      </c>
      <c r="F1377" s="510">
        <v>522.49</v>
      </c>
      <c r="G1377" s="510">
        <v>6208.93</v>
      </c>
    </row>
    <row r="1378" spans="1:7" x14ac:dyDescent="0.25">
      <c r="A1378" s="509" t="s">
        <v>573</v>
      </c>
      <c r="B1378" s="509" t="s">
        <v>154</v>
      </c>
      <c r="C1378" s="510">
        <v>4704</v>
      </c>
      <c r="D1378" s="510">
        <v>0</v>
      </c>
      <c r="E1378" s="510">
        <v>1852.03</v>
      </c>
      <c r="F1378" s="510">
        <v>122.23</v>
      </c>
      <c r="G1378" s="510">
        <v>1729.8</v>
      </c>
    </row>
    <row r="1379" spans="1:7" x14ac:dyDescent="0.25">
      <c r="A1379" s="509" t="s">
        <v>576</v>
      </c>
      <c r="B1379" s="509" t="s">
        <v>38</v>
      </c>
      <c r="C1379" s="510">
        <v>62606</v>
      </c>
      <c r="D1379" s="510">
        <v>0</v>
      </c>
      <c r="E1379" s="510">
        <v>24929.61</v>
      </c>
      <c r="F1379" s="510">
        <v>0</v>
      </c>
      <c r="G1379" s="510">
        <v>24929.61</v>
      </c>
    </row>
    <row r="1380" spans="1:7" x14ac:dyDescent="0.25">
      <c r="A1380" s="509" t="s">
        <v>568</v>
      </c>
      <c r="B1380" s="509" t="s">
        <v>77</v>
      </c>
      <c r="C1380" s="510">
        <v>3783</v>
      </c>
      <c r="D1380" s="510">
        <v>0</v>
      </c>
      <c r="E1380" s="510">
        <v>1463.05</v>
      </c>
      <c r="F1380" s="510">
        <v>0</v>
      </c>
      <c r="G1380" s="510">
        <v>1463.05</v>
      </c>
    </row>
    <row r="1381" spans="1:7" x14ac:dyDescent="0.25">
      <c r="A1381" s="509" t="s">
        <v>584</v>
      </c>
      <c r="B1381" s="509" t="s">
        <v>78</v>
      </c>
      <c r="C1381" s="510">
        <v>617</v>
      </c>
      <c r="D1381" s="510">
        <v>0</v>
      </c>
      <c r="E1381" s="510">
        <v>278.42</v>
      </c>
      <c r="F1381" s="510">
        <v>0</v>
      </c>
      <c r="G1381" s="510">
        <v>278.42</v>
      </c>
    </row>
    <row r="1382" spans="1:7" x14ac:dyDescent="0.25">
      <c r="A1382" s="509" t="s">
        <v>2772</v>
      </c>
      <c r="B1382" s="509" t="s">
        <v>2292</v>
      </c>
      <c r="C1382" s="510">
        <v>0</v>
      </c>
      <c r="D1382" s="510">
        <v>0</v>
      </c>
      <c r="E1382" s="510">
        <v>0</v>
      </c>
      <c r="F1382" s="510">
        <v>0</v>
      </c>
      <c r="G1382" s="510">
        <v>0</v>
      </c>
    </row>
    <row r="1383" spans="1:7" x14ac:dyDescent="0.25">
      <c r="A1383" s="509" t="s">
        <v>587</v>
      </c>
      <c r="B1383" s="509" t="s">
        <v>893</v>
      </c>
      <c r="C1383" s="510">
        <v>3232</v>
      </c>
      <c r="D1383" s="510">
        <v>0</v>
      </c>
      <c r="E1383" s="510">
        <v>1271.31</v>
      </c>
      <c r="F1383" s="510">
        <v>72.989999999999995</v>
      </c>
      <c r="G1383" s="510">
        <v>1198.32</v>
      </c>
    </row>
    <row r="1384" spans="1:7" x14ac:dyDescent="0.25">
      <c r="A1384" s="509" t="s">
        <v>575</v>
      </c>
      <c r="B1384" s="509" t="s">
        <v>2249</v>
      </c>
      <c r="C1384" s="510">
        <v>1206</v>
      </c>
      <c r="D1384" s="510">
        <v>0</v>
      </c>
      <c r="E1384" s="510">
        <v>881.69</v>
      </c>
      <c r="F1384" s="510">
        <v>269.39999999999998</v>
      </c>
      <c r="G1384" s="510">
        <v>612.29</v>
      </c>
    </row>
    <row r="1385" spans="1:7" x14ac:dyDescent="0.25">
      <c r="A1385" s="509" t="s">
        <v>583</v>
      </c>
      <c r="B1385" s="509" t="s">
        <v>64</v>
      </c>
      <c r="C1385" s="510">
        <v>0</v>
      </c>
      <c r="D1385" s="510">
        <v>0</v>
      </c>
      <c r="E1385" s="510">
        <v>0</v>
      </c>
      <c r="F1385" s="510">
        <v>0</v>
      </c>
      <c r="G1385" s="510">
        <v>0</v>
      </c>
    </row>
    <row r="1386" spans="1:7" x14ac:dyDescent="0.25">
      <c r="A1386" s="509" t="s">
        <v>565</v>
      </c>
      <c r="B1386" s="509" t="s">
        <v>65</v>
      </c>
      <c r="C1386" s="510">
        <v>416</v>
      </c>
      <c r="D1386" s="510">
        <v>0</v>
      </c>
      <c r="E1386" s="510">
        <v>71.27</v>
      </c>
      <c r="F1386" s="510">
        <v>0</v>
      </c>
      <c r="G1386" s="510">
        <v>71.27</v>
      </c>
    </row>
    <row r="1387" spans="1:7" x14ac:dyDescent="0.25">
      <c r="A1387" s="509" t="s">
        <v>582</v>
      </c>
      <c r="B1387" s="509" t="s">
        <v>40</v>
      </c>
      <c r="C1387" s="510">
        <v>1147</v>
      </c>
      <c r="D1387" s="510">
        <v>0</v>
      </c>
      <c r="E1387" s="510">
        <v>185.14</v>
      </c>
      <c r="F1387" s="510">
        <v>7.28</v>
      </c>
      <c r="G1387" s="510">
        <v>177.86</v>
      </c>
    </row>
    <row r="1388" spans="1:7" x14ac:dyDescent="0.25">
      <c r="A1388" s="509" t="s">
        <v>572</v>
      </c>
      <c r="B1388" s="509" t="s">
        <v>41</v>
      </c>
      <c r="C1388" s="510">
        <v>25</v>
      </c>
      <c r="D1388" s="510">
        <v>0</v>
      </c>
      <c r="E1388" s="510">
        <v>4.6399999999999997</v>
      </c>
      <c r="F1388" s="510">
        <v>0.16</v>
      </c>
      <c r="G1388" s="510">
        <v>4.4800000000000004</v>
      </c>
    </row>
    <row r="1389" spans="1:7" x14ac:dyDescent="0.25">
      <c r="A1389" s="509" t="s">
        <v>569</v>
      </c>
      <c r="B1389" s="509" t="s">
        <v>42</v>
      </c>
      <c r="C1389" s="510">
        <v>983</v>
      </c>
      <c r="D1389" s="510">
        <v>0</v>
      </c>
      <c r="E1389" s="510">
        <v>482.61</v>
      </c>
      <c r="F1389" s="510">
        <v>30.91</v>
      </c>
      <c r="G1389" s="510">
        <v>451.7</v>
      </c>
    </row>
    <row r="1390" spans="1:7" x14ac:dyDescent="0.25">
      <c r="A1390" s="509" t="s">
        <v>566</v>
      </c>
      <c r="B1390" s="509" t="s">
        <v>2252</v>
      </c>
      <c r="C1390" s="510">
        <v>28633</v>
      </c>
      <c r="D1390" s="510">
        <v>0</v>
      </c>
      <c r="E1390" s="510">
        <v>10273.81</v>
      </c>
      <c r="F1390" s="510">
        <v>762.55</v>
      </c>
      <c r="G1390" s="510">
        <v>9511.26</v>
      </c>
    </row>
    <row r="1391" spans="1:7" x14ac:dyDescent="0.25">
      <c r="A1391" s="509" t="s">
        <v>567</v>
      </c>
      <c r="B1391" s="509" t="s">
        <v>44</v>
      </c>
      <c r="C1391" s="510">
        <v>23654</v>
      </c>
      <c r="D1391" s="510">
        <v>0</v>
      </c>
      <c r="E1391" s="510">
        <v>8519.5499999999993</v>
      </c>
      <c r="F1391" s="510">
        <v>628.55999999999995</v>
      </c>
      <c r="G1391" s="510">
        <v>7890.99</v>
      </c>
    </row>
    <row r="1392" spans="1:7" x14ac:dyDescent="0.25">
      <c r="A1392" s="509" t="s">
        <v>579</v>
      </c>
      <c r="B1392" s="509" t="s">
        <v>183</v>
      </c>
      <c r="C1392" s="510">
        <v>14092</v>
      </c>
      <c r="D1392" s="510">
        <v>0</v>
      </c>
      <c r="E1392" s="510">
        <v>0</v>
      </c>
      <c r="F1392" s="510">
        <v>0</v>
      </c>
      <c r="G1392" s="510">
        <v>0</v>
      </c>
    </row>
    <row r="1393" spans="1:7" x14ac:dyDescent="0.25">
      <c r="A1393" s="509" t="s">
        <v>2773</v>
      </c>
      <c r="B1393" s="509" t="s">
        <v>2254</v>
      </c>
      <c r="C1393" s="510">
        <v>0</v>
      </c>
      <c r="D1393" s="510">
        <v>0</v>
      </c>
      <c r="E1393" s="510">
        <v>617</v>
      </c>
      <c r="F1393" s="510">
        <v>0</v>
      </c>
      <c r="G1393" s="510">
        <v>617</v>
      </c>
    </row>
    <row r="1394" spans="1:7" x14ac:dyDescent="0.25">
      <c r="A1394" s="509" t="s">
        <v>2774</v>
      </c>
      <c r="B1394" s="509" t="s">
        <v>2256</v>
      </c>
      <c r="C1394" s="510">
        <v>0</v>
      </c>
      <c r="D1394" s="510">
        <v>0</v>
      </c>
      <c r="E1394" s="510">
        <v>785.25</v>
      </c>
      <c r="F1394" s="510">
        <v>0</v>
      </c>
      <c r="G1394" s="510">
        <v>785.25</v>
      </c>
    </row>
    <row r="1395" spans="1:7" x14ac:dyDescent="0.25">
      <c r="A1395" s="509" t="s">
        <v>2775</v>
      </c>
      <c r="B1395" s="509" t="s">
        <v>1161</v>
      </c>
      <c r="C1395" s="510">
        <v>204</v>
      </c>
      <c r="D1395" s="510">
        <v>0</v>
      </c>
      <c r="E1395" s="510">
        <v>0</v>
      </c>
      <c r="F1395" s="510">
        <v>0</v>
      </c>
      <c r="G1395" s="510">
        <v>0</v>
      </c>
    </row>
    <row r="1396" spans="1:7" x14ac:dyDescent="0.25">
      <c r="A1396" s="509" t="s">
        <v>581</v>
      </c>
      <c r="B1396" s="509" t="s">
        <v>70</v>
      </c>
      <c r="C1396" s="510">
        <v>0</v>
      </c>
      <c r="D1396" s="510">
        <v>0</v>
      </c>
      <c r="E1396" s="510">
        <v>0</v>
      </c>
      <c r="F1396" s="510">
        <v>0</v>
      </c>
      <c r="G1396" s="510">
        <v>0</v>
      </c>
    </row>
    <row r="1397" spans="1:7" x14ac:dyDescent="0.25">
      <c r="A1397" s="509" t="s">
        <v>2776</v>
      </c>
      <c r="B1397" s="509" t="s">
        <v>47</v>
      </c>
      <c r="C1397" s="510">
        <v>0</v>
      </c>
      <c r="D1397" s="510">
        <v>0</v>
      </c>
      <c r="E1397" s="510">
        <v>0</v>
      </c>
      <c r="F1397" s="510">
        <v>0</v>
      </c>
      <c r="G1397" s="510">
        <v>0</v>
      </c>
    </row>
    <row r="1398" spans="1:7" x14ac:dyDescent="0.25">
      <c r="A1398" s="509" t="s">
        <v>578</v>
      </c>
      <c r="B1398" s="509" t="s">
        <v>48</v>
      </c>
      <c r="C1398" s="510">
        <v>0</v>
      </c>
      <c r="D1398" s="510">
        <v>0</v>
      </c>
      <c r="E1398" s="510">
        <v>0</v>
      </c>
      <c r="F1398" s="510">
        <v>0</v>
      </c>
      <c r="G1398" s="510">
        <v>0</v>
      </c>
    </row>
    <row r="1399" spans="1:7" x14ac:dyDescent="0.25">
      <c r="A1399" s="509" t="s">
        <v>2777</v>
      </c>
      <c r="B1399" s="509" t="s">
        <v>49</v>
      </c>
      <c r="C1399" s="510">
        <v>0</v>
      </c>
      <c r="D1399" s="510">
        <v>0</v>
      </c>
      <c r="E1399" s="510">
        <v>0</v>
      </c>
      <c r="F1399" s="510">
        <v>0</v>
      </c>
      <c r="G1399" s="510">
        <v>0</v>
      </c>
    </row>
    <row r="1400" spans="1:7" x14ac:dyDescent="0.25">
      <c r="A1400" s="509" t="s">
        <v>2778</v>
      </c>
      <c r="B1400" s="509" t="s">
        <v>50</v>
      </c>
      <c r="C1400" s="510">
        <v>0</v>
      </c>
      <c r="D1400" s="510">
        <v>0</v>
      </c>
      <c r="E1400" s="510">
        <v>0</v>
      </c>
      <c r="F1400" s="510">
        <v>0</v>
      </c>
      <c r="G1400" s="510">
        <v>0</v>
      </c>
    </row>
    <row r="1401" spans="1:7" x14ac:dyDescent="0.25">
      <c r="A1401" s="509" t="s">
        <v>2779</v>
      </c>
      <c r="B1401" s="509" t="s">
        <v>51</v>
      </c>
      <c r="C1401" s="510">
        <v>0</v>
      </c>
      <c r="D1401" s="510">
        <v>0</v>
      </c>
      <c r="E1401" s="510">
        <v>0</v>
      </c>
      <c r="F1401" s="510">
        <v>0</v>
      </c>
      <c r="G1401" s="510">
        <v>0</v>
      </c>
    </row>
    <row r="1402" spans="1:7" x14ac:dyDescent="0.25">
      <c r="A1402" s="509" t="s">
        <v>2780</v>
      </c>
      <c r="B1402" s="509" t="s">
        <v>1151</v>
      </c>
      <c r="C1402" s="510">
        <v>0</v>
      </c>
      <c r="D1402" s="510">
        <v>0</v>
      </c>
      <c r="E1402" s="510">
        <v>0</v>
      </c>
      <c r="F1402" s="510">
        <v>0</v>
      </c>
      <c r="G1402" s="510">
        <v>0</v>
      </c>
    </row>
    <row r="1403" spans="1:7" x14ac:dyDescent="0.25">
      <c r="A1403" s="509" t="s">
        <v>2781</v>
      </c>
      <c r="B1403" s="509" t="s">
        <v>1152</v>
      </c>
      <c r="C1403" s="510">
        <v>0</v>
      </c>
      <c r="D1403" s="510">
        <v>0</v>
      </c>
      <c r="E1403" s="510">
        <v>0</v>
      </c>
      <c r="F1403" s="510">
        <v>0</v>
      </c>
      <c r="G1403" s="510">
        <v>0</v>
      </c>
    </row>
    <row r="1404" spans="1:7" x14ac:dyDescent="0.25">
      <c r="A1404" s="509" t="s">
        <v>2782</v>
      </c>
      <c r="B1404" s="509" t="s">
        <v>53</v>
      </c>
      <c r="C1404" s="510">
        <v>0</v>
      </c>
      <c r="D1404" s="510">
        <v>0</v>
      </c>
      <c r="E1404" s="510">
        <v>0</v>
      </c>
      <c r="F1404" s="510">
        <v>0</v>
      </c>
      <c r="G1404" s="510">
        <v>0</v>
      </c>
    </row>
    <row r="1405" spans="1:7" x14ac:dyDescent="0.25">
      <c r="A1405" s="509" t="s">
        <v>577</v>
      </c>
      <c r="B1405" s="509" t="s">
        <v>54</v>
      </c>
      <c r="C1405" s="510">
        <v>382.5</v>
      </c>
      <c r="D1405" s="510">
        <v>0</v>
      </c>
      <c r="E1405" s="510">
        <v>0</v>
      </c>
      <c r="F1405" s="510">
        <v>0</v>
      </c>
      <c r="G1405" s="510">
        <v>0</v>
      </c>
    </row>
    <row r="1406" spans="1:7" x14ac:dyDescent="0.25">
      <c r="A1406" s="509" t="s">
        <v>1195</v>
      </c>
      <c r="B1406" s="509" t="s">
        <v>1176</v>
      </c>
      <c r="C1406" s="510">
        <v>0</v>
      </c>
      <c r="D1406" s="510">
        <v>0</v>
      </c>
      <c r="E1406" s="510">
        <v>0</v>
      </c>
      <c r="F1406" s="510">
        <v>0</v>
      </c>
      <c r="G1406" s="510">
        <v>0</v>
      </c>
    </row>
    <row r="1407" spans="1:7" x14ac:dyDescent="0.25">
      <c r="A1407" s="509" t="s">
        <v>570</v>
      </c>
      <c r="B1407" s="509" t="s">
        <v>152</v>
      </c>
      <c r="C1407" s="510">
        <v>102000</v>
      </c>
      <c r="D1407" s="510">
        <v>0</v>
      </c>
      <c r="E1407" s="510">
        <v>5981.97</v>
      </c>
      <c r="F1407" s="510">
        <v>0</v>
      </c>
      <c r="G1407" s="510">
        <v>5981.97</v>
      </c>
    </row>
    <row r="1408" spans="1:7" x14ac:dyDescent="0.25">
      <c r="A1408" s="509" t="s">
        <v>571</v>
      </c>
      <c r="B1408" s="509" t="s">
        <v>1177</v>
      </c>
      <c r="C1408" s="510">
        <v>51000</v>
      </c>
      <c r="D1408" s="510">
        <v>0</v>
      </c>
      <c r="E1408" s="510">
        <v>165101.35999999999</v>
      </c>
      <c r="F1408" s="510">
        <v>1471.5</v>
      </c>
      <c r="G1408" s="510">
        <v>163629.85999999999</v>
      </c>
    </row>
    <row r="1409" spans="1:7" x14ac:dyDescent="0.25">
      <c r="A1409" s="509" t="s">
        <v>2783</v>
      </c>
      <c r="B1409" s="509" t="s">
        <v>2334</v>
      </c>
      <c r="C1409" s="510">
        <v>0</v>
      </c>
      <c r="D1409" s="510">
        <v>0</v>
      </c>
      <c r="E1409" s="510">
        <v>0</v>
      </c>
      <c r="F1409" s="510">
        <v>0</v>
      </c>
      <c r="G1409" s="510">
        <v>0</v>
      </c>
    </row>
    <row r="1410" spans="1:7" x14ac:dyDescent="0.25">
      <c r="A1410" s="509" t="s">
        <v>2784</v>
      </c>
      <c r="B1410" s="509" t="s">
        <v>55</v>
      </c>
      <c r="C1410" s="510">
        <v>0</v>
      </c>
      <c r="D1410" s="510">
        <v>0</v>
      </c>
      <c r="E1410" s="510">
        <v>0</v>
      </c>
      <c r="F1410" s="510">
        <v>0</v>
      </c>
      <c r="G1410" s="510">
        <v>0</v>
      </c>
    </row>
    <row r="1411" spans="1:7" x14ac:dyDescent="0.25">
      <c r="A1411" s="509" t="s">
        <v>2785</v>
      </c>
      <c r="B1411" s="509" t="s">
        <v>1080</v>
      </c>
      <c r="C1411" s="510">
        <v>0</v>
      </c>
      <c r="D1411" s="510">
        <v>0</v>
      </c>
      <c r="E1411" s="510">
        <v>0</v>
      </c>
      <c r="F1411" s="510">
        <v>0</v>
      </c>
      <c r="G1411" s="510">
        <v>0</v>
      </c>
    </row>
    <row r="1412" spans="1:7" x14ac:dyDescent="0.25">
      <c r="A1412" s="509" t="s">
        <v>2786</v>
      </c>
      <c r="B1412" s="509" t="s">
        <v>1933</v>
      </c>
      <c r="C1412" s="510">
        <v>0</v>
      </c>
      <c r="D1412" s="510">
        <v>3100000</v>
      </c>
      <c r="E1412" s="510">
        <v>0</v>
      </c>
      <c r="F1412" s="510">
        <v>3100000</v>
      </c>
      <c r="G1412" s="510">
        <v>0</v>
      </c>
    </row>
    <row r="1413" spans="1:7" x14ac:dyDescent="0.25">
      <c r="A1413" s="509" t="s">
        <v>2787</v>
      </c>
      <c r="B1413" s="509" t="s">
        <v>1935</v>
      </c>
      <c r="C1413" s="510">
        <v>0</v>
      </c>
      <c r="D1413" s="510">
        <v>0</v>
      </c>
      <c r="E1413" s="510">
        <v>0</v>
      </c>
      <c r="F1413" s="510">
        <v>0</v>
      </c>
      <c r="G1413" s="510">
        <v>0</v>
      </c>
    </row>
    <row r="1414" spans="1:7" x14ac:dyDescent="0.25">
      <c r="A1414" s="509" t="s">
        <v>2788</v>
      </c>
      <c r="B1414" s="509" t="s">
        <v>1937</v>
      </c>
      <c r="C1414" s="510">
        <v>0</v>
      </c>
      <c r="D1414" s="510">
        <v>0</v>
      </c>
      <c r="E1414" s="510">
        <v>0</v>
      </c>
      <c r="F1414" s="510">
        <v>0</v>
      </c>
      <c r="G1414" s="510">
        <v>0</v>
      </c>
    </row>
    <row r="1415" spans="1:7" x14ac:dyDescent="0.25">
      <c r="A1415" s="509" t="s">
        <v>2789</v>
      </c>
      <c r="B1415" s="509" t="s">
        <v>1939</v>
      </c>
      <c r="C1415" s="510">
        <v>0</v>
      </c>
      <c r="D1415" s="510">
        <v>0</v>
      </c>
      <c r="E1415" s="510">
        <v>0</v>
      </c>
      <c r="F1415" s="510">
        <v>0</v>
      </c>
      <c r="G1415" s="510">
        <v>0</v>
      </c>
    </row>
    <row r="1416" spans="1:7" x14ac:dyDescent="0.25">
      <c r="A1416" s="509" t="s">
        <v>2790</v>
      </c>
      <c r="B1416" s="509" t="s">
        <v>1941</v>
      </c>
      <c r="C1416" s="510">
        <v>0</v>
      </c>
      <c r="D1416" s="510">
        <v>0</v>
      </c>
      <c r="E1416" s="510">
        <v>0</v>
      </c>
      <c r="F1416" s="510">
        <v>0</v>
      </c>
      <c r="G1416" s="510">
        <v>0</v>
      </c>
    </row>
    <row r="1417" spans="1:7" x14ac:dyDescent="0.25">
      <c r="A1417" s="509" t="s">
        <v>2791</v>
      </c>
      <c r="B1417" s="509" t="s">
        <v>1943</v>
      </c>
      <c r="C1417" s="510">
        <v>0</v>
      </c>
      <c r="D1417" s="510">
        <v>0</v>
      </c>
      <c r="E1417" s="510">
        <v>0</v>
      </c>
      <c r="F1417" s="510">
        <v>0</v>
      </c>
      <c r="G1417" s="510">
        <v>0</v>
      </c>
    </row>
    <row r="1418" spans="1:7" x14ac:dyDescent="0.25">
      <c r="A1418" s="509" t="s">
        <v>2792</v>
      </c>
      <c r="B1418" s="509" t="s">
        <v>1945</v>
      </c>
      <c r="C1418" s="510">
        <v>0</v>
      </c>
      <c r="D1418" s="510">
        <v>-32126603.02</v>
      </c>
      <c r="E1418" s="510">
        <v>0</v>
      </c>
      <c r="F1418" s="510">
        <v>0</v>
      </c>
      <c r="G1418" s="510">
        <v>-32126603.02</v>
      </c>
    </row>
    <row r="1419" spans="1:7" x14ac:dyDescent="0.25">
      <c r="A1419" s="509" t="s">
        <v>2793</v>
      </c>
      <c r="B1419" s="509" t="s">
        <v>1947</v>
      </c>
      <c r="C1419" s="510">
        <v>0</v>
      </c>
      <c r="D1419" s="510">
        <v>-643940.80000000005</v>
      </c>
      <c r="E1419" s="510">
        <v>0</v>
      </c>
      <c r="F1419" s="510">
        <v>0</v>
      </c>
      <c r="G1419" s="510">
        <v>-643940.80000000005</v>
      </c>
    </row>
    <row r="1420" spans="1:7" x14ac:dyDescent="0.25">
      <c r="A1420" s="509" t="s">
        <v>2794</v>
      </c>
      <c r="B1420" s="509" t="s">
        <v>1949</v>
      </c>
      <c r="C1420" s="510">
        <v>0</v>
      </c>
      <c r="D1420" s="510">
        <v>397078.15</v>
      </c>
      <c r="E1420" s="510">
        <v>0</v>
      </c>
      <c r="F1420" s="510">
        <v>0</v>
      </c>
      <c r="G1420" s="510">
        <v>397078.15</v>
      </c>
    </row>
    <row r="1421" spans="1:7" x14ac:dyDescent="0.25">
      <c r="A1421" s="509" t="s">
        <v>2795</v>
      </c>
      <c r="B1421" s="509" t="s">
        <v>1951</v>
      </c>
      <c r="C1421" s="510">
        <v>0</v>
      </c>
      <c r="D1421" s="510">
        <v>0</v>
      </c>
      <c r="E1421" s="510">
        <v>0</v>
      </c>
      <c r="F1421" s="510">
        <v>0</v>
      </c>
      <c r="G1421" s="510">
        <v>0</v>
      </c>
    </row>
    <row r="1422" spans="1:7" x14ac:dyDescent="0.25">
      <c r="A1422" s="509" t="s">
        <v>2796</v>
      </c>
      <c r="B1422" s="509" t="s">
        <v>1953</v>
      </c>
      <c r="C1422" s="510">
        <v>0</v>
      </c>
      <c r="D1422" s="510">
        <v>3117.11</v>
      </c>
      <c r="E1422" s="510">
        <v>4533040.68</v>
      </c>
      <c r="F1422" s="510">
        <v>803385.13</v>
      </c>
      <c r="G1422" s="510">
        <v>3732772.66</v>
      </c>
    </row>
    <row r="1423" spans="1:7" x14ac:dyDescent="0.25">
      <c r="A1423" s="509" t="s">
        <v>2797</v>
      </c>
      <c r="B1423" s="509" t="s">
        <v>1955</v>
      </c>
      <c r="C1423" s="510">
        <v>0</v>
      </c>
      <c r="D1423" s="510">
        <v>0</v>
      </c>
      <c r="E1423" s="510">
        <v>0</v>
      </c>
      <c r="F1423" s="510">
        <v>0</v>
      </c>
      <c r="G1423" s="510">
        <v>0</v>
      </c>
    </row>
    <row r="1424" spans="1:7" x14ac:dyDescent="0.25">
      <c r="A1424" s="509" t="s">
        <v>2798</v>
      </c>
      <c r="B1424" s="509" t="s">
        <v>2540</v>
      </c>
      <c r="C1424" s="510">
        <v>0</v>
      </c>
      <c r="D1424" s="510">
        <v>158870.89000000001</v>
      </c>
      <c r="E1424" s="510">
        <v>0</v>
      </c>
      <c r="F1424" s="510">
        <v>0</v>
      </c>
      <c r="G1424" s="510">
        <v>158870.89000000001</v>
      </c>
    </row>
    <row r="1425" spans="1:7" x14ac:dyDescent="0.25">
      <c r="A1425" s="509" t="s">
        <v>2799</v>
      </c>
      <c r="B1425" s="509" t="s">
        <v>1961</v>
      </c>
      <c r="C1425" s="510">
        <v>0</v>
      </c>
      <c r="D1425" s="510">
        <v>606104.35</v>
      </c>
      <c r="E1425" s="510">
        <v>0</v>
      </c>
      <c r="F1425" s="510">
        <v>0</v>
      </c>
      <c r="G1425" s="510">
        <v>606104.35</v>
      </c>
    </row>
    <row r="1426" spans="1:7" x14ac:dyDescent="0.25">
      <c r="A1426" s="509" t="s">
        <v>2800</v>
      </c>
      <c r="B1426" s="509" t="s">
        <v>2543</v>
      </c>
      <c r="C1426" s="510">
        <v>0</v>
      </c>
      <c r="D1426" s="510">
        <v>94276.74</v>
      </c>
      <c r="E1426" s="510">
        <v>18724.46</v>
      </c>
      <c r="F1426" s="510">
        <v>89.33</v>
      </c>
      <c r="G1426" s="510">
        <v>112911.87</v>
      </c>
    </row>
    <row r="1427" spans="1:7" x14ac:dyDescent="0.25">
      <c r="A1427" s="509" t="s">
        <v>2801</v>
      </c>
      <c r="B1427" s="509" t="s">
        <v>1963</v>
      </c>
      <c r="C1427" s="510">
        <v>0</v>
      </c>
      <c r="D1427" s="510">
        <v>0</v>
      </c>
      <c r="E1427" s="510">
        <v>0</v>
      </c>
      <c r="F1427" s="510">
        <v>0</v>
      </c>
      <c r="G1427" s="510">
        <v>0</v>
      </c>
    </row>
    <row r="1428" spans="1:7" x14ac:dyDescent="0.25">
      <c r="A1428" s="509" t="s">
        <v>2802</v>
      </c>
      <c r="B1428" s="509" t="s">
        <v>1965</v>
      </c>
      <c r="C1428" s="510">
        <v>0</v>
      </c>
      <c r="D1428" s="510">
        <v>0</v>
      </c>
      <c r="E1428" s="510">
        <v>0</v>
      </c>
      <c r="F1428" s="510">
        <v>0</v>
      </c>
      <c r="G1428" s="510">
        <v>0</v>
      </c>
    </row>
    <row r="1429" spans="1:7" x14ac:dyDescent="0.25">
      <c r="A1429" s="509" t="s">
        <v>2803</v>
      </c>
      <c r="B1429" s="509" t="s">
        <v>1967</v>
      </c>
      <c r="C1429" s="510">
        <v>0</v>
      </c>
      <c r="D1429" s="510">
        <v>0</v>
      </c>
      <c r="E1429" s="510">
        <v>0</v>
      </c>
      <c r="F1429" s="510">
        <v>0</v>
      </c>
      <c r="G1429" s="510">
        <v>0</v>
      </c>
    </row>
    <row r="1430" spans="1:7" x14ac:dyDescent="0.25">
      <c r="A1430" s="509" t="s">
        <v>2804</v>
      </c>
      <c r="B1430" s="509" t="s">
        <v>1969</v>
      </c>
      <c r="C1430" s="510">
        <v>0</v>
      </c>
      <c r="D1430" s="510">
        <v>0</v>
      </c>
      <c r="E1430" s="510">
        <v>0</v>
      </c>
      <c r="F1430" s="510">
        <v>0</v>
      </c>
      <c r="G1430" s="510">
        <v>0</v>
      </c>
    </row>
    <row r="1431" spans="1:7" x14ac:dyDescent="0.25">
      <c r="A1431" s="509" t="s">
        <v>2805</v>
      </c>
      <c r="B1431" s="509" t="s">
        <v>1971</v>
      </c>
      <c r="C1431" s="510">
        <v>0</v>
      </c>
      <c r="D1431" s="510">
        <v>398859.64</v>
      </c>
      <c r="E1431" s="510">
        <v>744.54</v>
      </c>
      <c r="F1431" s="510">
        <v>0</v>
      </c>
      <c r="G1431" s="510">
        <v>399604.18</v>
      </c>
    </row>
    <row r="1432" spans="1:7" x14ac:dyDescent="0.25">
      <c r="A1432" s="509" t="s">
        <v>2806</v>
      </c>
      <c r="B1432" s="509" t="s">
        <v>1973</v>
      </c>
      <c r="C1432" s="510">
        <v>0</v>
      </c>
      <c r="D1432" s="510">
        <v>0</v>
      </c>
      <c r="E1432" s="510">
        <v>0</v>
      </c>
      <c r="F1432" s="510">
        <v>0</v>
      </c>
      <c r="G1432" s="510">
        <v>0</v>
      </c>
    </row>
    <row r="1433" spans="1:7" x14ac:dyDescent="0.25">
      <c r="A1433" s="509" t="s">
        <v>2807</v>
      </c>
      <c r="B1433" s="509" t="s">
        <v>1975</v>
      </c>
      <c r="C1433" s="510">
        <v>0</v>
      </c>
      <c r="D1433" s="510">
        <v>782974.45</v>
      </c>
      <c r="E1433" s="510">
        <v>1011.45</v>
      </c>
      <c r="F1433" s="510">
        <v>0</v>
      </c>
      <c r="G1433" s="510">
        <v>783985.9</v>
      </c>
    </row>
    <row r="1434" spans="1:7" x14ac:dyDescent="0.25">
      <c r="A1434" s="509" t="s">
        <v>2808</v>
      </c>
      <c r="B1434" s="509" t="s">
        <v>1977</v>
      </c>
      <c r="C1434" s="510">
        <v>0</v>
      </c>
      <c r="D1434" s="510">
        <v>0</v>
      </c>
      <c r="E1434" s="510">
        <v>0</v>
      </c>
      <c r="F1434" s="510">
        <v>0</v>
      </c>
      <c r="G1434" s="510">
        <v>0</v>
      </c>
    </row>
    <row r="1435" spans="1:7" x14ac:dyDescent="0.25">
      <c r="A1435" s="509" t="s">
        <v>2809</v>
      </c>
      <c r="B1435" s="509" t="s">
        <v>1979</v>
      </c>
      <c r="C1435" s="510">
        <v>0</v>
      </c>
      <c r="D1435" s="510">
        <v>649091</v>
      </c>
      <c r="E1435" s="510">
        <v>15897.4</v>
      </c>
      <c r="F1435" s="510">
        <v>15897.45</v>
      </c>
      <c r="G1435" s="510">
        <v>649090.94999999995</v>
      </c>
    </row>
    <row r="1436" spans="1:7" x14ac:dyDescent="0.25">
      <c r="A1436" s="509" t="s">
        <v>2810</v>
      </c>
      <c r="B1436" s="509" t="s">
        <v>1981</v>
      </c>
      <c r="C1436" s="510">
        <v>0</v>
      </c>
      <c r="D1436" s="510">
        <v>0</v>
      </c>
      <c r="E1436" s="510">
        <v>0</v>
      </c>
      <c r="F1436" s="510">
        <v>0</v>
      </c>
      <c r="G1436" s="510">
        <v>0</v>
      </c>
    </row>
    <row r="1437" spans="1:7" x14ac:dyDescent="0.25">
      <c r="A1437" s="509" t="s">
        <v>2811</v>
      </c>
      <c r="B1437" s="509" t="s">
        <v>1983</v>
      </c>
      <c r="C1437" s="510">
        <v>0</v>
      </c>
      <c r="D1437" s="510">
        <v>0</v>
      </c>
      <c r="E1437" s="510">
        <v>0</v>
      </c>
      <c r="F1437" s="510">
        <v>0</v>
      </c>
      <c r="G1437" s="510">
        <v>0</v>
      </c>
    </row>
    <row r="1438" spans="1:7" x14ac:dyDescent="0.25">
      <c r="A1438" s="509" t="s">
        <v>2812</v>
      </c>
      <c r="B1438" s="509" t="s">
        <v>1985</v>
      </c>
      <c r="C1438" s="510">
        <v>0</v>
      </c>
      <c r="D1438" s="510">
        <v>0</v>
      </c>
      <c r="E1438" s="510">
        <v>188996.88</v>
      </c>
      <c r="F1438" s="510">
        <v>188996.88</v>
      </c>
      <c r="G1438" s="510">
        <v>0</v>
      </c>
    </row>
    <row r="1439" spans="1:7" x14ac:dyDescent="0.25">
      <c r="A1439" s="509" t="s">
        <v>2813</v>
      </c>
      <c r="B1439" s="509" t="s">
        <v>1987</v>
      </c>
      <c r="C1439" s="510">
        <v>0</v>
      </c>
      <c r="D1439" s="510">
        <v>0</v>
      </c>
      <c r="E1439" s="510">
        <v>0</v>
      </c>
      <c r="F1439" s="510">
        <v>0</v>
      </c>
      <c r="G1439" s="510">
        <v>0</v>
      </c>
    </row>
    <row r="1440" spans="1:7" x14ac:dyDescent="0.25">
      <c r="A1440" s="509" t="s">
        <v>2814</v>
      </c>
      <c r="B1440" s="509" t="s">
        <v>1989</v>
      </c>
      <c r="C1440" s="510">
        <v>0</v>
      </c>
      <c r="D1440" s="510">
        <v>0</v>
      </c>
      <c r="E1440" s="510">
        <v>0</v>
      </c>
      <c r="F1440" s="510">
        <v>0</v>
      </c>
      <c r="G1440" s="510">
        <v>0</v>
      </c>
    </row>
    <row r="1441" spans="1:7" x14ac:dyDescent="0.25">
      <c r="A1441" s="509" t="s">
        <v>2815</v>
      </c>
      <c r="B1441" s="509" t="s">
        <v>1991</v>
      </c>
      <c r="C1441" s="510">
        <v>0</v>
      </c>
      <c r="D1441" s="510">
        <v>0</v>
      </c>
      <c r="E1441" s="510">
        <v>0</v>
      </c>
      <c r="F1441" s="510">
        <v>0</v>
      </c>
      <c r="G1441" s="510">
        <v>0</v>
      </c>
    </row>
    <row r="1442" spans="1:7" x14ac:dyDescent="0.25">
      <c r="A1442" s="509" t="s">
        <v>2816</v>
      </c>
      <c r="B1442" s="509" t="s">
        <v>1993</v>
      </c>
      <c r="C1442" s="510">
        <v>0</v>
      </c>
      <c r="D1442" s="510">
        <v>0.34</v>
      </c>
      <c r="E1442" s="510">
        <v>18259.3</v>
      </c>
      <c r="F1442" s="510">
        <v>18259.5</v>
      </c>
      <c r="G1442" s="510">
        <v>0.14000000000000001</v>
      </c>
    </row>
    <row r="1443" spans="1:7" x14ac:dyDescent="0.25">
      <c r="A1443" s="509" t="s">
        <v>2817</v>
      </c>
      <c r="B1443" s="509" t="s">
        <v>1995</v>
      </c>
      <c r="C1443" s="510">
        <v>0</v>
      </c>
      <c r="D1443" s="510">
        <v>118931.92</v>
      </c>
      <c r="E1443" s="510">
        <v>8.5</v>
      </c>
      <c r="F1443" s="510">
        <v>5.89</v>
      </c>
      <c r="G1443" s="510">
        <v>118934.53</v>
      </c>
    </row>
    <row r="1444" spans="1:7" x14ac:dyDescent="0.25">
      <c r="A1444" s="509" t="s">
        <v>2818</v>
      </c>
      <c r="B1444" s="509" t="s">
        <v>1997</v>
      </c>
      <c r="C1444" s="510">
        <v>0</v>
      </c>
      <c r="D1444" s="510">
        <v>0</v>
      </c>
      <c r="E1444" s="510">
        <v>0</v>
      </c>
      <c r="F1444" s="510">
        <v>0</v>
      </c>
      <c r="G1444" s="510">
        <v>0</v>
      </c>
    </row>
    <row r="1445" spans="1:7" x14ac:dyDescent="0.25">
      <c r="A1445" s="509" t="s">
        <v>2819</v>
      </c>
      <c r="B1445" s="509" t="s">
        <v>1999</v>
      </c>
      <c r="C1445" s="510">
        <v>0</v>
      </c>
      <c r="D1445" s="510">
        <v>0</v>
      </c>
      <c r="E1445" s="510">
        <v>0</v>
      </c>
      <c r="F1445" s="510">
        <v>0</v>
      </c>
      <c r="G1445" s="510">
        <v>0</v>
      </c>
    </row>
    <row r="1446" spans="1:7" x14ac:dyDescent="0.25">
      <c r="A1446" s="509" t="s">
        <v>2820</v>
      </c>
      <c r="B1446" s="509" t="s">
        <v>2371</v>
      </c>
      <c r="C1446" s="510">
        <v>0</v>
      </c>
      <c r="D1446" s="510">
        <v>0</v>
      </c>
      <c r="E1446" s="510">
        <v>0</v>
      </c>
      <c r="F1446" s="510">
        <v>0</v>
      </c>
      <c r="G1446" s="510">
        <v>0</v>
      </c>
    </row>
    <row r="1447" spans="1:7" x14ac:dyDescent="0.25">
      <c r="A1447" s="509" t="s">
        <v>2821</v>
      </c>
      <c r="B1447" s="509" t="s">
        <v>2003</v>
      </c>
      <c r="C1447" s="510">
        <v>0</v>
      </c>
      <c r="D1447" s="510">
        <v>0</v>
      </c>
      <c r="E1447" s="510">
        <v>0</v>
      </c>
      <c r="F1447" s="510">
        <v>0</v>
      </c>
      <c r="G1447" s="510">
        <v>0</v>
      </c>
    </row>
    <row r="1448" spans="1:7" x14ac:dyDescent="0.25">
      <c r="A1448" s="509" t="s">
        <v>1829</v>
      </c>
      <c r="B1448" s="509" t="s">
        <v>2004</v>
      </c>
      <c r="C1448" s="510">
        <v>0</v>
      </c>
      <c r="D1448" s="510">
        <v>57684.06</v>
      </c>
      <c r="E1448" s="510">
        <v>45.71</v>
      </c>
      <c r="F1448" s="510">
        <v>44435.49</v>
      </c>
      <c r="G1448" s="510">
        <v>13294.28</v>
      </c>
    </row>
    <row r="1449" spans="1:7" x14ac:dyDescent="0.25">
      <c r="A1449" s="509" t="s">
        <v>1831</v>
      </c>
      <c r="B1449" s="509" t="s">
        <v>2005</v>
      </c>
      <c r="C1449" s="510">
        <v>0</v>
      </c>
      <c r="D1449" s="510">
        <v>115543.7</v>
      </c>
      <c r="E1449" s="510">
        <v>44590.94</v>
      </c>
      <c r="F1449" s="510">
        <v>0</v>
      </c>
      <c r="G1449" s="510">
        <v>160134.64000000001</v>
      </c>
    </row>
    <row r="1450" spans="1:7" x14ac:dyDescent="0.25">
      <c r="A1450" s="509" t="s">
        <v>1833</v>
      </c>
      <c r="B1450" s="509" t="s">
        <v>2006</v>
      </c>
      <c r="C1450" s="510">
        <v>0</v>
      </c>
      <c r="D1450" s="510">
        <v>710137.25</v>
      </c>
      <c r="E1450" s="510">
        <v>824.6</v>
      </c>
      <c r="F1450" s="510">
        <v>0</v>
      </c>
      <c r="G1450" s="510">
        <v>710961.85</v>
      </c>
    </row>
    <row r="1451" spans="1:7" x14ac:dyDescent="0.25">
      <c r="A1451" s="509" t="s">
        <v>2822</v>
      </c>
      <c r="B1451" s="509" t="s">
        <v>2008</v>
      </c>
      <c r="C1451" s="510">
        <v>0</v>
      </c>
      <c r="D1451" s="510">
        <v>801729.3</v>
      </c>
      <c r="E1451" s="510">
        <v>0</v>
      </c>
      <c r="F1451" s="510">
        <v>0</v>
      </c>
      <c r="G1451" s="510">
        <v>801729.3</v>
      </c>
    </row>
    <row r="1452" spans="1:7" x14ac:dyDescent="0.25">
      <c r="A1452" s="509" t="s">
        <v>2823</v>
      </c>
      <c r="B1452" s="509" t="s">
        <v>2010</v>
      </c>
      <c r="C1452" s="510">
        <v>0</v>
      </c>
      <c r="D1452" s="510">
        <v>0</v>
      </c>
      <c r="E1452" s="510">
        <v>0</v>
      </c>
      <c r="F1452" s="510">
        <v>0</v>
      </c>
      <c r="G1452" s="510">
        <v>0</v>
      </c>
    </row>
    <row r="1453" spans="1:7" x14ac:dyDescent="0.25">
      <c r="A1453" s="509" t="s">
        <v>2824</v>
      </c>
      <c r="B1453" s="509" t="s">
        <v>2012</v>
      </c>
      <c r="C1453" s="510">
        <v>0</v>
      </c>
      <c r="D1453" s="510">
        <v>2381.94</v>
      </c>
      <c r="E1453" s="510">
        <v>253.44</v>
      </c>
      <c r="F1453" s="510">
        <v>0</v>
      </c>
      <c r="G1453" s="510">
        <v>2635.38</v>
      </c>
    </row>
    <row r="1454" spans="1:7" x14ac:dyDescent="0.25">
      <c r="A1454" s="509" t="s">
        <v>2825</v>
      </c>
      <c r="B1454" s="509" t="s">
        <v>2016</v>
      </c>
      <c r="C1454" s="510">
        <v>0</v>
      </c>
      <c r="D1454" s="510">
        <v>3221.12</v>
      </c>
      <c r="E1454" s="510">
        <v>0</v>
      </c>
      <c r="F1454" s="510">
        <v>0</v>
      </c>
      <c r="G1454" s="510">
        <v>3221.12</v>
      </c>
    </row>
    <row r="1455" spans="1:7" x14ac:dyDescent="0.25">
      <c r="A1455" s="509" t="s">
        <v>2826</v>
      </c>
      <c r="B1455" s="509" t="s">
        <v>2018</v>
      </c>
      <c r="C1455" s="510">
        <v>0</v>
      </c>
      <c r="D1455" s="510">
        <v>3181.22</v>
      </c>
      <c r="E1455" s="510">
        <v>1105.22</v>
      </c>
      <c r="F1455" s="510">
        <v>3719.76</v>
      </c>
      <c r="G1455" s="510">
        <v>566.67999999999995</v>
      </c>
    </row>
    <row r="1456" spans="1:7" x14ac:dyDescent="0.25">
      <c r="A1456" s="509" t="s">
        <v>2827</v>
      </c>
      <c r="B1456" s="509" t="s">
        <v>2020</v>
      </c>
      <c r="C1456" s="510">
        <v>0</v>
      </c>
      <c r="D1456" s="510">
        <v>0</v>
      </c>
      <c r="E1456" s="510">
        <v>0</v>
      </c>
      <c r="F1456" s="510">
        <v>0</v>
      </c>
      <c r="G1456" s="510">
        <v>0</v>
      </c>
    </row>
    <row r="1457" spans="1:7" x14ac:dyDescent="0.25">
      <c r="A1457" s="509" t="s">
        <v>2828</v>
      </c>
      <c r="B1457" s="509" t="s">
        <v>2022</v>
      </c>
      <c r="C1457" s="510">
        <v>0</v>
      </c>
      <c r="D1457" s="510">
        <v>2781.84</v>
      </c>
      <c r="E1457" s="510">
        <v>10784.4</v>
      </c>
      <c r="F1457" s="510">
        <v>5477.94</v>
      </c>
      <c r="G1457" s="510">
        <v>8088.3</v>
      </c>
    </row>
    <row r="1458" spans="1:7" x14ac:dyDescent="0.25">
      <c r="A1458" s="509" t="s">
        <v>2829</v>
      </c>
      <c r="B1458" s="509" t="s">
        <v>2024</v>
      </c>
      <c r="C1458" s="510">
        <v>0</v>
      </c>
      <c r="D1458" s="510">
        <v>2214.54</v>
      </c>
      <c r="E1458" s="510">
        <v>0</v>
      </c>
      <c r="F1458" s="510">
        <v>1476.36</v>
      </c>
      <c r="G1458" s="510">
        <v>738.18</v>
      </c>
    </row>
    <row r="1459" spans="1:7" x14ac:dyDescent="0.25">
      <c r="A1459" s="509" t="s">
        <v>2830</v>
      </c>
      <c r="B1459" s="509" t="s">
        <v>2026</v>
      </c>
      <c r="C1459" s="510">
        <v>0</v>
      </c>
      <c r="D1459" s="510">
        <v>478.33</v>
      </c>
      <c r="E1459" s="510">
        <v>0</v>
      </c>
      <c r="F1459" s="510">
        <v>318.89999999999998</v>
      </c>
      <c r="G1459" s="510">
        <v>159.43</v>
      </c>
    </row>
    <row r="1460" spans="1:7" x14ac:dyDescent="0.25">
      <c r="A1460" s="509" t="s">
        <v>2831</v>
      </c>
      <c r="B1460" s="509" t="s">
        <v>2028</v>
      </c>
      <c r="C1460" s="510">
        <v>0</v>
      </c>
      <c r="D1460" s="510">
        <v>0</v>
      </c>
      <c r="E1460" s="510">
        <v>0</v>
      </c>
      <c r="F1460" s="510">
        <v>0</v>
      </c>
      <c r="G1460" s="510">
        <v>0</v>
      </c>
    </row>
    <row r="1461" spans="1:7" x14ac:dyDescent="0.25">
      <c r="A1461" s="509" t="s">
        <v>2832</v>
      </c>
      <c r="B1461" s="509" t="s">
        <v>2030</v>
      </c>
      <c r="C1461" s="510">
        <v>0</v>
      </c>
      <c r="D1461" s="510">
        <v>0</v>
      </c>
      <c r="E1461" s="510">
        <v>0</v>
      </c>
      <c r="F1461" s="510">
        <v>0</v>
      </c>
      <c r="G1461" s="510">
        <v>0</v>
      </c>
    </row>
    <row r="1462" spans="1:7" x14ac:dyDescent="0.25">
      <c r="A1462" s="509" t="s">
        <v>2833</v>
      </c>
      <c r="B1462" s="509" t="s">
        <v>2032</v>
      </c>
      <c r="C1462" s="510">
        <v>0</v>
      </c>
      <c r="D1462" s="510">
        <v>9839.7999999999993</v>
      </c>
      <c r="E1462" s="510">
        <v>2182.2800000000002</v>
      </c>
      <c r="F1462" s="510">
        <v>10930.92</v>
      </c>
      <c r="G1462" s="510">
        <v>1091.1600000000001</v>
      </c>
    </row>
    <row r="1463" spans="1:7" x14ac:dyDescent="0.25">
      <c r="A1463" s="509" t="s">
        <v>2834</v>
      </c>
      <c r="B1463" s="509" t="s">
        <v>2835</v>
      </c>
      <c r="C1463" s="510">
        <v>0</v>
      </c>
      <c r="D1463" s="510">
        <v>206745.71</v>
      </c>
      <c r="E1463" s="510">
        <v>911146.44</v>
      </c>
      <c r="F1463" s="510">
        <v>909525.47</v>
      </c>
      <c r="G1463" s="510">
        <v>208366.68</v>
      </c>
    </row>
    <row r="1464" spans="1:7" x14ac:dyDescent="0.25">
      <c r="A1464" s="509" t="s">
        <v>2836</v>
      </c>
      <c r="B1464" s="509" t="s">
        <v>2036</v>
      </c>
      <c r="C1464" s="510">
        <v>0</v>
      </c>
      <c r="D1464" s="510">
        <v>-16481.55</v>
      </c>
      <c r="E1464" s="510">
        <v>0</v>
      </c>
      <c r="F1464" s="510">
        <v>0</v>
      </c>
      <c r="G1464" s="510">
        <v>-16481.55</v>
      </c>
    </row>
    <row r="1465" spans="1:7" x14ac:dyDescent="0.25">
      <c r="A1465" s="509" t="s">
        <v>2837</v>
      </c>
      <c r="B1465" s="509" t="s">
        <v>2038</v>
      </c>
      <c r="C1465" s="510">
        <v>0</v>
      </c>
      <c r="D1465" s="510">
        <v>0</v>
      </c>
      <c r="E1465" s="510">
        <v>0</v>
      </c>
      <c r="F1465" s="510">
        <v>0</v>
      </c>
      <c r="G1465" s="510">
        <v>0</v>
      </c>
    </row>
    <row r="1466" spans="1:7" x14ac:dyDescent="0.25">
      <c r="A1466" s="509" t="s">
        <v>2838</v>
      </c>
      <c r="B1466" s="509" t="s">
        <v>2040</v>
      </c>
      <c r="C1466" s="510">
        <v>0</v>
      </c>
      <c r="D1466" s="510">
        <v>6754.48</v>
      </c>
      <c r="E1466" s="510">
        <v>183792.8</v>
      </c>
      <c r="F1466" s="510">
        <v>684434.08</v>
      </c>
      <c r="G1466" s="510">
        <v>-493886.8</v>
      </c>
    </row>
    <row r="1467" spans="1:7" x14ac:dyDescent="0.25">
      <c r="A1467" s="509" t="s">
        <v>2839</v>
      </c>
      <c r="B1467" s="509" t="s">
        <v>2042</v>
      </c>
      <c r="C1467" s="510">
        <v>0</v>
      </c>
      <c r="D1467" s="510">
        <v>0</v>
      </c>
      <c r="E1467" s="510">
        <v>0</v>
      </c>
      <c r="F1467" s="510">
        <v>0</v>
      </c>
      <c r="G1467" s="510">
        <v>0</v>
      </c>
    </row>
    <row r="1468" spans="1:7" x14ac:dyDescent="0.25">
      <c r="A1468" s="509" t="s">
        <v>2840</v>
      </c>
      <c r="B1468" s="509" t="s">
        <v>2044</v>
      </c>
      <c r="C1468" s="510">
        <v>0</v>
      </c>
      <c r="D1468" s="510">
        <v>0</v>
      </c>
      <c r="E1468" s="510">
        <v>0</v>
      </c>
      <c r="F1468" s="510">
        <v>0</v>
      </c>
      <c r="G1468" s="510">
        <v>0</v>
      </c>
    </row>
    <row r="1469" spans="1:7" x14ac:dyDescent="0.25">
      <c r="A1469" s="509" t="s">
        <v>2841</v>
      </c>
      <c r="B1469" s="509" t="s">
        <v>2050</v>
      </c>
      <c r="C1469" s="510">
        <v>0</v>
      </c>
      <c r="D1469" s="510">
        <v>0</v>
      </c>
      <c r="E1469" s="510">
        <v>0</v>
      </c>
      <c r="F1469" s="510">
        <v>0</v>
      </c>
      <c r="G1469" s="510">
        <v>0</v>
      </c>
    </row>
    <row r="1470" spans="1:7" x14ac:dyDescent="0.25">
      <c r="A1470" s="509" t="s">
        <v>1698</v>
      </c>
      <c r="B1470" s="509" t="s">
        <v>1468</v>
      </c>
      <c r="C1470" s="510">
        <v>0</v>
      </c>
      <c r="D1470" s="510">
        <v>0</v>
      </c>
      <c r="E1470" s="510">
        <v>0</v>
      </c>
      <c r="F1470" s="510">
        <v>0</v>
      </c>
      <c r="G1470" s="510">
        <v>0</v>
      </c>
    </row>
    <row r="1471" spans="1:7" x14ac:dyDescent="0.25">
      <c r="A1471" s="509" t="s">
        <v>1699</v>
      </c>
      <c r="B1471" s="509" t="s">
        <v>1470</v>
      </c>
      <c r="C1471" s="510">
        <v>0</v>
      </c>
      <c r="D1471" s="510">
        <v>157231.51</v>
      </c>
      <c r="E1471" s="510">
        <v>0</v>
      </c>
      <c r="F1471" s="510">
        <v>0</v>
      </c>
      <c r="G1471" s="510">
        <v>157231.51</v>
      </c>
    </row>
    <row r="1472" spans="1:7" x14ac:dyDescent="0.25">
      <c r="A1472" s="509" t="s">
        <v>1700</v>
      </c>
      <c r="B1472" s="509" t="s">
        <v>1472</v>
      </c>
      <c r="C1472" s="510">
        <v>0</v>
      </c>
      <c r="D1472" s="510">
        <v>30067.46</v>
      </c>
      <c r="E1472" s="510">
        <v>0</v>
      </c>
      <c r="F1472" s="510">
        <v>0</v>
      </c>
      <c r="G1472" s="510">
        <v>30067.46</v>
      </c>
    </row>
    <row r="1473" spans="1:7" x14ac:dyDescent="0.25">
      <c r="A1473" s="509" t="s">
        <v>1701</v>
      </c>
      <c r="B1473" s="509" t="s">
        <v>1568</v>
      </c>
      <c r="C1473" s="510">
        <v>0</v>
      </c>
      <c r="D1473" s="510">
        <v>15300000</v>
      </c>
      <c r="E1473" s="510">
        <v>0</v>
      </c>
      <c r="F1473" s="510">
        <v>0</v>
      </c>
      <c r="G1473" s="510">
        <v>15300000</v>
      </c>
    </row>
    <row r="1474" spans="1:7" x14ac:dyDescent="0.25">
      <c r="A1474" s="509" t="s">
        <v>1702</v>
      </c>
      <c r="B1474" s="509" t="s">
        <v>1476</v>
      </c>
      <c r="C1474" s="510">
        <v>0</v>
      </c>
      <c r="D1474" s="510">
        <v>10800000</v>
      </c>
      <c r="E1474" s="510">
        <v>0</v>
      </c>
      <c r="F1474" s="510">
        <v>0</v>
      </c>
      <c r="G1474" s="510">
        <v>10800000</v>
      </c>
    </row>
    <row r="1475" spans="1:7" x14ac:dyDescent="0.25">
      <c r="A1475" s="509" t="s">
        <v>1703</v>
      </c>
      <c r="B1475" s="509" t="s">
        <v>1478</v>
      </c>
      <c r="C1475" s="510">
        <v>0</v>
      </c>
      <c r="D1475" s="510">
        <v>1029250.04</v>
      </c>
      <c r="E1475" s="510">
        <v>0</v>
      </c>
      <c r="F1475" s="510">
        <v>0</v>
      </c>
      <c r="G1475" s="510">
        <v>1029250.04</v>
      </c>
    </row>
    <row r="1476" spans="1:7" x14ac:dyDescent="0.25">
      <c r="A1476" s="509" t="s">
        <v>1704</v>
      </c>
      <c r="B1476" s="509" t="s">
        <v>1482</v>
      </c>
      <c r="C1476" s="510">
        <v>0</v>
      </c>
      <c r="D1476" s="510">
        <v>0</v>
      </c>
      <c r="E1476" s="510">
        <v>0</v>
      </c>
      <c r="F1476" s="510">
        <v>0</v>
      </c>
      <c r="G1476" s="510">
        <v>0</v>
      </c>
    </row>
    <row r="1477" spans="1:7" x14ac:dyDescent="0.25">
      <c r="A1477" s="509" t="s">
        <v>1705</v>
      </c>
      <c r="B1477" s="509" t="s">
        <v>1484</v>
      </c>
      <c r="C1477" s="510">
        <v>0</v>
      </c>
      <c r="D1477" s="510">
        <v>0</v>
      </c>
      <c r="E1477" s="510">
        <v>0</v>
      </c>
      <c r="F1477" s="510">
        <v>0</v>
      </c>
      <c r="G1477" s="510">
        <v>0</v>
      </c>
    </row>
    <row r="1478" spans="1:7" x14ac:dyDescent="0.25">
      <c r="A1478" s="509" t="s">
        <v>2842</v>
      </c>
      <c r="B1478" s="509" t="s">
        <v>2052</v>
      </c>
      <c r="C1478" s="510">
        <v>0</v>
      </c>
      <c r="D1478" s="510">
        <v>0</v>
      </c>
      <c r="E1478" s="510">
        <v>0</v>
      </c>
      <c r="F1478" s="510">
        <v>0</v>
      </c>
      <c r="G1478" s="510">
        <v>0</v>
      </c>
    </row>
    <row r="1479" spans="1:7" x14ac:dyDescent="0.25">
      <c r="A1479" s="509" t="s">
        <v>1706</v>
      </c>
      <c r="B1479" s="509" t="s">
        <v>1486</v>
      </c>
      <c r="C1479" s="510">
        <v>0</v>
      </c>
      <c r="D1479" s="510">
        <v>27324.69</v>
      </c>
      <c r="E1479" s="510">
        <v>1136.45</v>
      </c>
      <c r="F1479" s="510">
        <v>0</v>
      </c>
      <c r="G1479" s="510">
        <v>28461.14</v>
      </c>
    </row>
    <row r="1480" spans="1:7" x14ac:dyDescent="0.25">
      <c r="A1480" s="509" t="s">
        <v>1707</v>
      </c>
      <c r="B1480" s="509" t="s">
        <v>1488</v>
      </c>
      <c r="C1480" s="510">
        <v>0</v>
      </c>
      <c r="D1480" s="510">
        <v>2397.31</v>
      </c>
      <c r="E1480" s="510">
        <v>0</v>
      </c>
      <c r="F1480" s="510">
        <v>0</v>
      </c>
      <c r="G1480" s="510">
        <v>2397.31</v>
      </c>
    </row>
    <row r="1481" spans="1:7" x14ac:dyDescent="0.25">
      <c r="A1481" s="509" t="s">
        <v>1708</v>
      </c>
      <c r="B1481" s="509" t="s">
        <v>1491</v>
      </c>
      <c r="C1481" s="510">
        <v>0</v>
      </c>
      <c r="D1481" s="510">
        <v>1278000</v>
      </c>
      <c r="E1481" s="510">
        <v>0</v>
      </c>
      <c r="F1481" s="510">
        <v>0</v>
      </c>
      <c r="G1481" s="510">
        <v>1278000</v>
      </c>
    </row>
    <row r="1482" spans="1:7" x14ac:dyDescent="0.25">
      <c r="A1482" s="509" t="s">
        <v>1709</v>
      </c>
      <c r="B1482" s="509" t="s">
        <v>1493</v>
      </c>
      <c r="C1482" s="510">
        <v>0</v>
      </c>
      <c r="D1482" s="510">
        <v>58766.68</v>
      </c>
      <c r="E1482" s="510">
        <v>2243.77</v>
      </c>
      <c r="F1482" s="510">
        <v>0</v>
      </c>
      <c r="G1482" s="510">
        <v>61010.45</v>
      </c>
    </row>
    <row r="1483" spans="1:7" x14ac:dyDescent="0.25">
      <c r="A1483" s="509" t="s">
        <v>1710</v>
      </c>
      <c r="B1483" s="509" t="s">
        <v>1495</v>
      </c>
      <c r="C1483" s="510">
        <v>0</v>
      </c>
      <c r="D1483" s="510">
        <v>0</v>
      </c>
      <c r="E1483" s="510">
        <v>0</v>
      </c>
      <c r="F1483" s="510">
        <v>0</v>
      </c>
      <c r="G1483" s="510">
        <v>0</v>
      </c>
    </row>
    <row r="1484" spans="1:7" x14ac:dyDescent="0.25">
      <c r="A1484" s="509" t="s">
        <v>1711</v>
      </c>
      <c r="B1484" s="509" t="s">
        <v>1497</v>
      </c>
      <c r="C1484" s="510">
        <v>0</v>
      </c>
      <c r="D1484" s="510">
        <v>238505.11</v>
      </c>
      <c r="E1484" s="510">
        <v>0</v>
      </c>
      <c r="F1484" s="510">
        <v>0</v>
      </c>
      <c r="G1484" s="510">
        <v>238505.11</v>
      </c>
    </row>
    <row r="1485" spans="1:7" x14ac:dyDescent="0.25">
      <c r="A1485" s="509" t="s">
        <v>1712</v>
      </c>
      <c r="B1485" s="509" t="s">
        <v>1499</v>
      </c>
      <c r="C1485" s="510">
        <v>0</v>
      </c>
      <c r="D1485" s="510">
        <v>669629.28</v>
      </c>
      <c r="E1485" s="510">
        <v>0</v>
      </c>
      <c r="F1485" s="510">
        <v>0</v>
      </c>
      <c r="G1485" s="510">
        <v>669629.28</v>
      </c>
    </row>
    <row r="1486" spans="1:7" x14ac:dyDescent="0.25">
      <c r="A1486" s="509" t="s">
        <v>2843</v>
      </c>
      <c r="B1486" s="509" t="s">
        <v>2054</v>
      </c>
      <c r="C1486" s="510">
        <v>0</v>
      </c>
      <c r="D1486" s="510">
        <v>0</v>
      </c>
      <c r="E1486" s="510">
        <v>0</v>
      </c>
      <c r="F1486" s="510">
        <v>0</v>
      </c>
      <c r="G1486" s="510">
        <v>0</v>
      </c>
    </row>
    <row r="1487" spans="1:7" x14ac:dyDescent="0.25">
      <c r="A1487" s="509" t="s">
        <v>2844</v>
      </c>
      <c r="B1487" s="509" t="s">
        <v>846</v>
      </c>
      <c r="C1487" s="510">
        <v>0</v>
      </c>
      <c r="D1487" s="510">
        <v>0</v>
      </c>
      <c r="E1487" s="510">
        <v>0</v>
      </c>
      <c r="F1487" s="510">
        <v>0</v>
      </c>
      <c r="G1487" s="510">
        <v>0</v>
      </c>
    </row>
    <row r="1488" spans="1:7" x14ac:dyDescent="0.25">
      <c r="A1488" s="509" t="s">
        <v>1713</v>
      </c>
      <c r="B1488" s="509" t="s">
        <v>1714</v>
      </c>
      <c r="C1488" s="510">
        <v>0</v>
      </c>
      <c r="D1488" s="510">
        <v>126469.55</v>
      </c>
      <c r="E1488" s="510">
        <v>0</v>
      </c>
      <c r="F1488" s="510">
        <v>0</v>
      </c>
      <c r="G1488" s="510">
        <v>126469.55</v>
      </c>
    </row>
    <row r="1489" spans="1:7" x14ac:dyDescent="0.25">
      <c r="A1489" s="509" t="s">
        <v>1715</v>
      </c>
      <c r="B1489" s="509" t="s">
        <v>1716</v>
      </c>
      <c r="C1489" s="510">
        <v>0</v>
      </c>
      <c r="D1489" s="510">
        <v>590000</v>
      </c>
      <c r="E1489" s="510">
        <v>0</v>
      </c>
      <c r="F1489" s="510">
        <v>0</v>
      </c>
      <c r="G1489" s="510">
        <v>590000</v>
      </c>
    </row>
    <row r="1490" spans="1:7" x14ac:dyDescent="0.25">
      <c r="A1490" s="509" t="s">
        <v>1717</v>
      </c>
      <c r="B1490" s="509" t="s">
        <v>1718</v>
      </c>
      <c r="C1490" s="510">
        <v>0</v>
      </c>
      <c r="D1490" s="510">
        <v>1294062.26</v>
      </c>
      <c r="E1490" s="510">
        <v>0</v>
      </c>
      <c r="F1490" s="510">
        <v>0</v>
      </c>
      <c r="G1490" s="510">
        <v>1294062.26</v>
      </c>
    </row>
    <row r="1491" spans="1:7" x14ac:dyDescent="0.25">
      <c r="A1491" s="509" t="s">
        <v>1719</v>
      </c>
      <c r="B1491" s="509" t="s">
        <v>1720</v>
      </c>
      <c r="C1491" s="510">
        <v>0</v>
      </c>
      <c r="D1491" s="510">
        <v>0</v>
      </c>
      <c r="E1491" s="510">
        <v>0</v>
      </c>
      <c r="F1491" s="510">
        <v>0</v>
      </c>
      <c r="G1491" s="510">
        <v>0</v>
      </c>
    </row>
    <row r="1492" spans="1:7" x14ac:dyDescent="0.25">
      <c r="A1492" s="509" t="s">
        <v>1721</v>
      </c>
      <c r="B1492" s="509" t="s">
        <v>1722</v>
      </c>
      <c r="C1492" s="510">
        <v>0</v>
      </c>
      <c r="D1492" s="510">
        <v>0</v>
      </c>
      <c r="E1492" s="510">
        <v>0</v>
      </c>
      <c r="F1492" s="510">
        <v>0</v>
      </c>
      <c r="G1492" s="510">
        <v>0</v>
      </c>
    </row>
    <row r="1493" spans="1:7" x14ac:dyDescent="0.25">
      <c r="A1493" s="509" t="s">
        <v>1723</v>
      </c>
      <c r="B1493" s="509" t="s">
        <v>1724</v>
      </c>
      <c r="C1493" s="510">
        <v>0</v>
      </c>
      <c r="D1493" s="510">
        <v>0</v>
      </c>
      <c r="E1493" s="510">
        <v>0</v>
      </c>
      <c r="F1493" s="510">
        <v>0</v>
      </c>
      <c r="G1493" s="510">
        <v>0</v>
      </c>
    </row>
    <row r="1494" spans="1:7" x14ac:dyDescent="0.25">
      <c r="A1494" s="509" t="s">
        <v>1725</v>
      </c>
      <c r="B1494" s="509" t="s">
        <v>1726</v>
      </c>
      <c r="C1494" s="510">
        <v>0</v>
      </c>
      <c r="D1494" s="510">
        <v>0</v>
      </c>
      <c r="E1494" s="510">
        <v>3275.61</v>
      </c>
      <c r="F1494" s="510">
        <v>0</v>
      </c>
      <c r="G1494" s="510">
        <v>3275.61</v>
      </c>
    </row>
    <row r="1495" spans="1:7" x14ac:dyDescent="0.25">
      <c r="A1495" s="509" t="s">
        <v>1727</v>
      </c>
      <c r="B1495" s="509" t="s">
        <v>1728</v>
      </c>
      <c r="C1495" s="510">
        <v>0</v>
      </c>
      <c r="D1495" s="510">
        <v>70083.13</v>
      </c>
      <c r="E1495" s="510">
        <v>0</v>
      </c>
      <c r="F1495" s="510">
        <v>0</v>
      </c>
      <c r="G1495" s="510">
        <v>70083.13</v>
      </c>
    </row>
    <row r="1496" spans="1:7" x14ac:dyDescent="0.25">
      <c r="A1496" s="509" t="s">
        <v>3458</v>
      </c>
      <c r="B1496" s="509" t="s">
        <v>3459</v>
      </c>
      <c r="C1496" s="510">
        <v>0</v>
      </c>
      <c r="D1496" s="510">
        <v>0</v>
      </c>
      <c r="E1496" s="510">
        <v>0</v>
      </c>
      <c r="F1496" s="510">
        <v>0</v>
      </c>
      <c r="G1496" s="510">
        <v>0</v>
      </c>
    </row>
    <row r="1497" spans="1:7" x14ac:dyDescent="0.25">
      <c r="A1497" s="509" t="s">
        <v>1729</v>
      </c>
      <c r="B1497" s="509" t="s">
        <v>2845</v>
      </c>
      <c r="C1497" s="510">
        <v>0</v>
      </c>
      <c r="D1497" s="510">
        <v>0</v>
      </c>
      <c r="E1497" s="510">
        <v>711</v>
      </c>
      <c r="F1497" s="510">
        <v>0</v>
      </c>
      <c r="G1497" s="510">
        <v>711</v>
      </c>
    </row>
    <row r="1498" spans="1:7" x14ac:dyDescent="0.25">
      <c r="A1498" s="509" t="s">
        <v>1730</v>
      </c>
      <c r="B1498" s="509" t="s">
        <v>1641</v>
      </c>
      <c r="C1498" s="510">
        <v>0</v>
      </c>
      <c r="D1498" s="510">
        <v>207615.5</v>
      </c>
      <c r="E1498" s="510">
        <v>0</v>
      </c>
      <c r="F1498" s="510">
        <v>0</v>
      </c>
      <c r="G1498" s="510">
        <v>207615.5</v>
      </c>
    </row>
    <row r="1499" spans="1:7" x14ac:dyDescent="0.25">
      <c r="A1499" s="509" t="s">
        <v>1731</v>
      </c>
      <c r="B1499" s="509" t="s">
        <v>1643</v>
      </c>
      <c r="C1499" s="510">
        <v>0</v>
      </c>
      <c r="D1499" s="510">
        <v>0</v>
      </c>
      <c r="E1499" s="510">
        <v>0</v>
      </c>
      <c r="F1499" s="510">
        <v>0</v>
      </c>
      <c r="G1499" s="510">
        <v>0</v>
      </c>
    </row>
    <row r="1500" spans="1:7" x14ac:dyDescent="0.25">
      <c r="A1500" s="509" t="s">
        <v>1732</v>
      </c>
      <c r="B1500" s="509" t="s">
        <v>1733</v>
      </c>
      <c r="C1500" s="510">
        <v>0</v>
      </c>
      <c r="D1500" s="510">
        <v>0</v>
      </c>
      <c r="E1500" s="510">
        <v>0</v>
      </c>
      <c r="F1500" s="510">
        <v>0</v>
      </c>
      <c r="G1500" s="510">
        <v>0</v>
      </c>
    </row>
    <row r="1501" spans="1:7" x14ac:dyDescent="0.25">
      <c r="A1501" s="509" t="s">
        <v>1734</v>
      </c>
      <c r="B1501" s="509" t="s">
        <v>1531</v>
      </c>
      <c r="C1501" s="510">
        <v>0</v>
      </c>
      <c r="D1501" s="510">
        <v>222854.39</v>
      </c>
      <c r="E1501" s="510">
        <v>0</v>
      </c>
      <c r="F1501" s="510">
        <v>0</v>
      </c>
      <c r="G1501" s="510">
        <v>222854.39</v>
      </c>
    </row>
    <row r="1502" spans="1:7" x14ac:dyDescent="0.25">
      <c r="A1502" s="509" t="s">
        <v>1735</v>
      </c>
      <c r="B1502" s="509" t="s">
        <v>1736</v>
      </c>
      <c r="C1502" s="510">
        <v>0</v>
      </c>
      <c r="D1502" s="510">
        <v>2310593.77</v>
      </c>
      <c r="E1502" s="510">
        <v>0</v>
      </c>
      <c r="F1502" s="510">
        <v>0</v>
      </c>
      <c r="G1502" s="510">
        <v>2310593.77</v>
      </c>
    </row>
    <row r="1503" spans="1:7" x14ac:dyDescent="0.25">
      <c r="A1503" s="509" t="s">
        <v>1737</v>
      </c>
      <c r="B1503" s="509" t="s">
        <v>1537</v>
      </c>
      <c r="C1503" s="510">
        <v>0</v>
      </c>
      <c r="D1503" s="510">
        <v>38675.440000000002</v>
      </c>
      <c r="E1503" s="510">
        <v>0</v>
      </c>
      <c r="F1503" s="510">
        <v>0</v>
      </c>
      <c r="G1503" s="510">
        <v>38675.440000000002</v>
      </c>
    </row>
    <row r="1504" spans="1:7" x14ac:dyDescent="0.25">
      <c r="A1504" s="509" t="s">
        <v>1738</v>
      </c>
      <c r="B1504" s="509" t="s">
        <v>1539</v>
      </c>
      <c r="C1504" s="510">
        <v>0</v>
      </c>
      <c r="D1504" s="510">
        <v>0</v>
      </c>
      <c r="E1504" s="510">
        <v>0</v>
      </c>
      <c r="F1504" s="510">
        <v>0</v>
      </c>
      <c r="G1504" s="510">
        <v>0</v>
      </c>
    </row>
    <row r="1505" spans="1:7" x14ac:dyDescent="0.25">
      <c r="A1505" s="509" t="s">
        <v>1739</v>
      </c>
      <c r="B1505" s="509" t="s">
        <v>1543</v>
      </c>
      <c r="C1505" s="510">
        <v>0</v>
      </c>
      <c r="D1505" s="510">
        <v>0</v>
      </c>
      <c r="E1505" s="510">
        <v>0</v>
      </c>
      <c r="F1505" s="510">
        <v>0</v>
      </c>
      <c r="G1505" s="510">
        <v>0</v>
      </c>
    </row>
    <row r="1506" spans="1:7" x14ac:dyDescent="0.25">
      <c r="A1506" s="509" t="s">
        <v>1740</v>
      </c>
      <c r="B1506" s="509" t="s">
        <v>1545</v>
      </c>
      <c r="C1506" s="510">
        <v>0</v>
      </c>
      <c r="D1506" s="510">
        <v>49613.2</v>
      </c>
      <c r="E1506" s="510">
        <v>0</v>
      </c>
      <c r="F1506" s="510">
        <v>0</v>
      </c>
      <c r="G1506" s="510">
        <v>49613.2</v>
      </c>
    </row>
    <row r="1507" spans="1:7" x14ac:dyDescent="0.25">
      <c r="A1507" s="509" t="s">
        <v>1741</v>
      </c>
      <c r="B1507" s="509" t="s">
        <v>1547</v>
      </c>
      <c r="C1507" s="510">
        <v>0</v>
      </c>
      <c r="D1507" s="510">
        <v>420860.89</v>
      </c>
      <c r="E1507" s="510">
        <v>630.07000000000005</v>
      </c>
      <c r="F1507" s="510">
        <v>630.07000000000005</v>
      </c>
      <c r="G1507" s="510">
        <v>420860.89</v>
      </c>
    </row>
    <row r="1508" spans="1:7" x14ac:dyDescent="0.25">
      <c r="A1508" s="509" t="s">
        <v>1742</v>
      </c>
      <c r="B1508" s="509" t="s">
        <v>2060</v>
      </c>
      <c r="C1508" s="510">
        <v>0</v>
      </c>
      <c r="D1508" s="510">
        <v>0</v>
      </c>
      <c r="E1508" s="510">
        <v>6843.42</v>
      </c>
      <c r="F1508" s="510">
        <v>0</v>
      </c>
      <c r="G1508" s="510">
        <v>6843.42</v>
      </c>
    </row>
    <row r="1509" spans="1:7" x14ac:dyDescent="0.25">
      <c r="A1509" s="509" t="s">
        <v>1743</v>
      </c>
      <c r="B1509" s="509" t="s">
        <v>1606</v>
      </c>
      <c r="C1509" s="510">
        <v>0</v>
      </c>
      <c r="D1509" s="510">
        <v>0</v>
      </c>
      <c r="E1509" s="510">
        <v>0</v>
      </c>
      <c r="F1509" s="510">
        <v>0</v>
      </c>
      <c r="G1509" s="510">
        <v>0</v>
      </c>
    </row>
    <row r="1510" spans="1:7" x14ac:dyDescent="0.25">
      <c r="A1510" s="509" t="s">
        <v>2846</v>
      </c>
      <c r="B1510" s="509" t="s">
        <v>2398</v>
      </c>
      <c r="C1510" s="510">
        <v>0</v>
      </c>
      <c r="D1510" s="510">
        <v>0</v>
      </c>
      <c r="E1510" s="510">
        <v>0</v>
      </c>
      <c r="F1510" s="510">
        <v>0</v>
      </c>
      <c r="G1510" s="510">
        <v>0</v>
      </c>
    </row>
    <row r="1511" spans="1:7" x14ac:dyDescent="0.25">
      <c r="A1511" s="509" t="s">
        <v>2847</v>
      </c>
      <c r="B1511" s="509" t="s">
        <v>187</v>
      </c>
      <c r="C1511" s="510">
        <v>0</v>
      </c>
      <c r="D1511" s="510">
        <v>0</v>
      </c>
      <c r="E1511" s="510">
        <v>0</v>
      </c>
      <c r="F1511" s="510">
        <v>0</v>
      </c>
      <c r="G1511" s="510">
        <v>0</v>
      </c>
    </row>
    <row r="1512" spans="1:7" x14ac:dyDescent="0.25">
      <c r="A1512" s="509" t="s">
        <v>2848</v>
      </c>
      <c r="B1512" s="509" t="s">
        <v>1609</v>
      </c>
      <c r="C1512" s="510">
        <v>0</v>
      </c>
      <c r="D1512" s="510">
        <v>0</v>
      </c>
      <c r="E1512" s="510">
        <v>0</v>
      </c>
      <c r="F1512" s="510">
        <v>0</v>
      </c>
      <c r="G1512" s="510">
        <v>0</v>
      </c>
    </row>
    <row r="1513" spans="1:7" x14ac:dyDescent="0.25">
      <c r="A1513" s="509" t="s">
        <v>2849</v>
      </c>
      <c r="B1513" s="509" t="s">
        <v>2066</v>
      </c>
      <c r="C1513" s="510">
        <v>0</v>
      </c>
      <c r="D1513" s="510">
        <v>0</v>
      </c>
      <c r="E1513" s="510">
        <v>0</v>
      </c>
      <c r="F1513" s="510">
        <v>0</v>
      </c>
      <c r="G1513" s="510">
        <v>0</v>
      </c>
    </row>
    <row r="1514" spans="1:7" x14ac:dyDescent="0.25">
      <c r="A1514" s="509" t="s">
        <v>2850</v>
      </c>
      <c r="B1514" s="509" t="s">
        <v>2068</v>
      </c>
      <c r="C1514" s="510">
        <v>0</v>
      </c>
      <c r="D1514" s="510">
        <v>0</v>
      </c>
      <c r="E1514" s="510">
        <v>0</v>
      </c>
      <c r="F1514" s="510">
        <v>0</v>
      </c>
      <c r="G1514" s="510">
        <v>0</v>
      </c>
    </row>
    <row r="1515" spans="1:7" x14ac:dyDescent="0.25">
      <c r="A1515" s="509" t="s">
        <v>2851</v>
      </c>
      <c r="B1515" s="509" t="s">
        <v>2070</v>
      </c>
      <c r="C1515" s="510">
        <v>0</v>
      </c>
      <c r="D1515" s="510">
        <v>44219.57</v>
      </c>
      <c r="E1515" s="510">
        <v>0</v>
      </c>
      <c r="F1515" s="510">
        <v>0</v>
      </c>
      <c r="G1515" s="510">
        <v>44219.57</v>
      </c>
    </row>
    <row r="1516" spans="1:7" x14ac:dyDescent="0.25">
      <c r="A1516" s="509" t="s">
        <v>2852</v>
      </c>
      <c r="B1516" s="509" t="s">
        <v>2072</v>
      </c>
      <c r="C1516" s="510">
        <v>0</v>
      </c>
      <c r="D1516" s="510">
        <v>-44219.57</v>
      </c>
      <c r="E1516" s="510">
        <v>0</v>
      </c>
      <c r="F1516" s="510">
        <v>0</v>
      </c>
      <c r="G1516" s="510">
        <v>-44219.57</v>
      </c>
    </row>
    <row r="1517" spans="1:7" x14ac:dyDescent="0.25">
      <c r="A1517" s="509" t="s">
        <v>2853</v>
      </c>
      <c r="B1517" s="509" t="s">
        <v>2074</v>
      </c>
      <c r="C1517" s="510">
        <v>0</v>
      </c>
      <c r="D1517" s="510">
        <v>0</v>
      </c>
      <c r="E1517" s="510">
        <v>0</v>
      </c>
      <c r="F1517" s="510">
        <v>0</v>
      </c>
      <c r="G1517" s="510">
        <v>0</v>
      </c>
    </row>
    <row r="1518" spans="1:7" x14ac:dyDescent="0.25">
      <c r="A1518" s="509" t="s">
        <v>1744</v>
      </c>
      <c r="B1518" s="509" t="s">
        <v>1611</v>
      </c>
      <c r="C1518" s="510">
        <v>0</v>
      </c>
      <c r="D1518" s="510">
        <v>330122.75</v>
      </c>
      <c r="E1518" s="510">
        <v>0</v>
      </c>
      <c r="F1518" s="510">
        <v>0</v>
      </c>
      <c r="G1518" s="510">
        <v>330122.75</v>
      </c>
    </row>
    <row r="1519" spans="1:7" x14ac:dyDescent="0.25">
      <c r="A1519" s="509" t="s">
        <v>1745</v>
      </c>
      <c r="B1519" s="509" t="s">
        <v>1560</v>
      </c>
      <c r="C1519" s="510">
        <v>0</v>
      </c>
      <c r="D1519" s="510">
        <v>0</v>
      </c>
      <c r="E1519" s="510">
        <v>0</v>
      </c>
      <c r="F1519" s="510">
        <v>0</v>
      </c>
      <c r="G1519" s="510">
        <v>0</v>
      </c>
    </row>
    <row r="1520" spans="1:7" x14ac:dyDescent="0.25">
      <c r="A1520" s="509" t="s">
        <v>1746</v>
      </c>
      <c r="B1520" s="509" t="s">
        <v>104</v>
      </c>
      <c r="C1520" s="510">
        <v>0</v>
      </c>
      <c r="D1520" s="510">
        <v>0</v>
      </c>
      <c r="E1520" s="510">
        <v>0</v>
      </c>
      <c r="F1520" s="510">
        <v>0</v>
      </c>
      <c r="G1520" s="510">
        <v>0</v>
      </c>
    </row>
    <row r="1521" spans="1:7" x14ac:dyDescent="0.25">
      <c r="A1521" s="509" t="s">
        <v>2854</v>
      </c>
      <c r="B1521" s="509" t="s">
        <v>2080</v>
      </c>
      <c r="C1521" s="510">
        <v>0</v>
      </c>
      <c r="D1521" s="510">
        <v>-3230089.22</v>
      </c>
      <c r="E1521" s="510">
        <v>0</v>
      </c>
      <c r="F1521" s="510">
        <v>0</v>
      </c>
      <c r="G1521" s="510">
        <v>-3230089.22</v>
      </c>
    </row>
    <row r="1522" spans="1:7" x14ac:dyDescent="0.25">
      <c r="A1522" s="509" t="s">
        <v>2855</v>
      </c>
      <c r="B1522" s="509" t="s">
        <v>2082</v>
      </c>
      <c r="C1522" s="510">
        <v>0</v>
      </c>
      <c r="D1522" s="510">
        <v>-36414.07</v>
      </c>
      <c r="E1522" s="510">
        <v>398800.12</v>
      </c>
      <c r="F1522" s="510">
        <v>397116.06</v>
      </c>
      <c r="G1522" s="510">
        <v>-34730.01</v>
      </c>
    </row>
    <row r="1523" spans="1:7" x14ac:dyDescent="0.25">
      <c r="A1523" s="509" t="s">
        <v>2856</v>
      </c>
      <c r="B1523" s="509" t="s">
        <v>2084</v>
      </c>
      <c r="C1523" s="510">
        <v>0</v>
      </c>
      <c r="D1523" s="510">
        <v>0</v>
      </c>
      <c r="E1523" s="510">
        <v>184.69</v>
      </c>
      <c r="F1523" s="510">
        <v>556.95000000000005</v>
      </c>
      <c r="G1523" s="510">
        <v>-372.26</v>
      </c>
    </row>
    <row r="1524" spans="1:7" x14ac:dyDescent="0.25">
      <c r="A1524" s="509" t="s">
        <v>2857</v>
      </c>
      <c r="B1524" s="509" t="s">
        <v>2090</v>
      </c>
      <c r="C1524" s="510">
        <v>0</v>
      </c>
      <c r="D1524" s="510">
        <v>0</v>
      </c>
      <c r="E1524" s="510">
        <v>0</v>
      </c>
      <c r="F1524" s="510">
        <v>0</v>
      </c>
      <c r="G1524" s="510">
        <v>0</v>
      </c>
    </row>
    <row r="1525" spans="1:7" x14ac:dyDescent="0.25">
      <c r="A1525" s="509" t="s">
        <v>2858</v>
      </c>
      <c r="B1525" s="509" t="s">
        <v>2092</v>
      </c>
      <c r="C1525" s="510">
        <v>0</v>
      </c>
      <c r="D1525" s="510">
        <v>0</v>
      </c>
      <c r="E1525" s="510">
        <v>0</v>
      </c>
      <c r="F1525" s="510">
        <v>0</v>
      </c>
      <c r="G1525" s="510">
        <v>0</v>
      </c>
    </row>
    <row r="1526" spans="1:7" x14ac:dyDescent="0.25">
      <c r="A1526" s="509" t="s">
        <v>2859</v>
      </c>
      <c r="B1526" s="509" t="s">
        <v>2094</v>
      </c>
      <c r="C1526" s="510">
        <v>0</v>
      </c>
      <c r="D1526" s="510">
        <v>0</v>
      </c>
      <c r="E1526" s="510">
        <v>0</v>
      </c>
      <c r="F1526" s="510">
        <v>0</v>
      </c>
      <c r="G1526" s="510">
        <v>0</v>
      </c>
    </row>
    <row r="1527" spans="1:7" x14ac:dyDescent="0.25">
      <c r="A1527" s="509" t="s">
        <v>2860</v>
      </c>
      <c r="B1527" s="509" t="s">
        <v>2411</v>
      </c>
      <c r="C1527" s="510">
        <v>0</v>
      </c>
      <c r="D1527" s="510">
        <v>0</v>
      </c>
      <c r="E1527" s="510">
        <v>0</v>
      </c>
      <c r="F1527" s="510">
        <v>0</v>
      </c>
      <c r="G1527" s="510">
        <v>0</v>
      </c>
    </row>
    <row r="1528" spans="1:7" x14ac:dyDescent="0.25">
      <c r="A1528" s="509" t="s">
        <v>2861</v>
      </c>
      <c r="B1528" s="509" t="s">
        <v>2096</v>
      </c>
      <c r="C1528" s="510">
        <v>0</v>
      </c>
      <c r="D1528" s="510">
        <v>0</v>
      </c>
      <c r="E1528" s="510">
        <v>0</v>
      </c>
      <c r="F1528" s="510">
        <v>0</v>
      </c>
      <c r="G1528" s="510">
        <v>0</v>
      </c>
    </row>
    <row r="1529" spans="1:7" x14ac:dyDescent="0.25">
      <c r="A1529" s="509" t="s">
        <v>2862</v>
      </c>
      <c r="B1529" s="509" t="s">
        <v>2098</v>
      </c>
      <c r="C1529" s="510">
        <v>0</v>
      </c>
      <c r="D1529" s="510">
        <v>0</v>
      </c>
      <c r="E1529" s="510">
        <v>0</v>
      </c>
      <c r="F1529" s="510">
        <v>0</v>
      </c>
      <c r="G1529" s="510">
        <v>0</v>
      </c>
    </row>
    <row r="1530" spans="1:7" x14ac:dyDescent="0.25">
      <c r="A1530" s="509" t="s">
        <v>2863</v>
      </c>
      <c r="B1530" s="509" t="s">
        <v>2606</v>
      </c>
      <c r="C1530" s="510">
        <v>0</v>
      </c>
      <c r="D1530" s="510">
        <v>0</v>
      </c>
      <c r="E1530" s="510">
        <v>0</v>
      </c>
      <c r="F1530" s="510">
        <v>0</v>
      </c>
      <c r="G1530" s="510">
        <v>0</v>
      </c>
    </row>
    <row r="1531" spans="1:7" x14ac:dyDescent="0.25">
      <c r="A1531" s="509" t="s">
        <v>2864</v>
      </c>
      <c r="B1531" s="509" t="s">
        <v>2106</v>
      </c>
      <c r="C1531" s="510">
        <v>0</v>
      </c>
      <c r="D1531" s="510">
        <v>0</v>
      </c>
      <c r="E1531" s="510">
        <v>0</v>
      </c>
      <c r="F1531" s="510">
        <v>0</v>
      </c>
      <c r="G1531" s="510">
        <v>0</v>
      </c>
    </row>
    <row r="1532" spans="1:7" x14ac:dyDescent="0.25">
      <c r="A1532" s="509" t="s">
        <v>2865</v>
      </c>
      <c r="B1532" s="509" t="s">
        <v>2108</v>
      </c>
      <c r="C1532" s="510">
        <v>0</v>
      </c>
      <c r="D1532" s="510">
        <v>-32116</v>
      </c>
      <c r="E1532" s="510">
        <v>32116</v>
      </c>
      <c r="F1532" s="510">
        <v>0</v>
      </c>
      <c r="G1532" s="510">
        <v>0</v>
      </c>
    </row>
    <row r="1533" spans="1:7" x14ac:dyDescent="0.25">
      <c r="A1533" s="509" t="s">
        <v>2866</v>
      </c>
      <c r="B1533" s="509" t="s">
        <v>2110</v>
      </c>
      <c r="C1533" s="510">
        <v>0</v>
      </c>
      <c r="D1533" s="510">
        <v>-3043.32</v>
      </c>
      <c r="E1533" s="510">
        <v>3043.32</v>
      </c>
      <c r="F1533" s="510">
        <v>0</v>
      </c>
      <c r="G1533" s="510">
        <v>0</v>
      </c>
    </row>
    <row r="1534" spans="1:7" x14ac:dyDescent="0.25">
      <c r="A1534" s="509" t="s">
        <v>2867</v>
      </c>
      <c r="B1534" s="509" t="s">
        <v>2112</v>
      </c>
      <c r="C1534" s="510">
        <v>0</v>
      </c>
      <c r="D1534" s="510">
        <v>0</v>
      </c>
      <c r="E1534" s="510">
        <v>0</v>
      </c>
      <c r="F1534" s="510">
        <v>0</v>
      </c>
      <c r="G1534" s="510">
        <v>0</v>
      </c>
    </row>
    <row r="1535" spans="1:7" x14ac:dyDescent="0.25">
      <c r="A1535" s="509" t="s">
        <v>2868</v>
      </c>
      <c r="B1535" s="509" t="s">
        <v>2114</v>
      </c>
      <c r="C1535" s="510">
        <v>0</v>
      </c>
      <c r="D1535" s="510">
        <v>0</v>
      </c>
      <c r="E1535" s="510">
        <v>0</v>
      </c>
      <c r="F1535" s="510">
        <v>0</v>
      </c>
      <c r="G1535" s="510">
        <v>0</v>
      </c>
    </row>
    <row r="1536" spans="1:7" x14ac:dyDescent="0.25">
      <c r="A1536" s="509" t="s">
        <v>2869</v>
      </c>
      <c r="B1536" s="509" t="s">
        <v>2116</v>
      </c>
      <c r="C1536" s="510">
        <v>0</v>
      </c>
      <c r="D1536" s="510">
        <v>-178899.49</v>
      </c>
      <c r="E1536" s="510">
        <v>178899.49</v>
      </c>
      <c r="F1536" s="510">
        <v>0</v>
      </c>
      <c r="G1536" s="510">
        <v>0</v>
      </c>
    </row>
    <row r="1537" spans="1:7" x14ac:dyDescent="0.25">
      <c r="A1537" s="509" t="s">
        <v>2870</v>
      </c>
      <c r="B1537" s="509" t="s">
        <v>2118</v>
      </c>
      <c r="C1537" s="510">
        <v>0</v>
      </c>
      <c r="D1537" s="510">
        <v>0</v>
      </c>
      <c r="E1537" s="510">
        <v>0</v>
      </c>
      <c r="F1537" s="510">
        <v>0</v>
      </c>
      <c r="G1537" s="510">
        <v>0</v>
      </c>
    </row>
    <row r="1538" spans="1:7" x14ac:dyDescent="0.25">
      <c r="A1538" s="509" t="s">
        <v>2871</v>
      </c>
      <c r="B1538" s="509" t="s">
        <v>2872</v>
      </c>
      <c r="C1538" s="510">
        <v>0</v>
      </c>
      <c r="D1538" s="510">
        <v>0</v>
      </c>
      <c r="E1538" s="510">
        <v>0</v>
      </c>
      <c r="F1538" s="510">
        <v>0</v>
      </c>
      <c r="G1538" s="510">
        <v>0</v>
      </c>
    </row>
    <row r="1539" spans="1:7" x14ac:dyDescent="0.25">
      <c r="A1539" s="509" t="s">
        <v>2873</v>
      </c>
      <c r="B1539" s="509" t="s">
        <v>2619</v>
      </c>
      <c r="C1539" s="510">
        <v>0</v>
      </c>
      <c r="D1539" s="510">
        <v>0</v>
      </c>
      <c r="E1539" s="510">
        <v>0</v>
      </c>
      <c r="F1539" s="510">
        <v>0</v>
      </c>
      <c r="G1539" s="510">
        <v>0</v>
      </c>
    </row>
    <row r="1540" spans="1:7" x14ac:dyDescent="0.25">
      <c r="A1540" s="509" t="s">
        <v>2874</v>
      </c>
      <c r="B1540" s="509" t="s">
        <v>2621</v>
      </c>
      <c r="C1540" s="510">
        <v>0</v>
      </c>
      <c r="D1540" s="510">
        <v>0</v>
      </c>
      <c r="E1540" s="510">
        <v>0</v>
      </c>
      <c r="F1540" s="510">
        <v>0</v>
      </c>
      <c r="G1540" s="510">
        <v>0</v>
      </c>
    </row>
    <row r="1541" spans="1:7" x14ac:dyDescent="0.25">
      <c r="A1541" s="509" t="s">
        <v>2875</v>
      </c>
      <c r="B1541" s="509" t="s">
        <v>2623</v>
      </c>
      <c r="C1541" s="510">
        <v>0</v>
      </c>
      <c r="D1541" s="510">
        <v>0</v>
      </c>
      <c r="E1541" s="510">
        <v>0</v>
      </c>
      <c r="F1541" s="510">
        <v>0</v>
      </c>
      <c r="G1541" s="510">
        <v>0</v>
      </c>
    </row>
    <row r="1542" spans="1:7" x14ac:dyDescent="0.25">
      <c r="A1542" s="509" t="s">
        <v>2876</v>
      </c>
      <c r="B1542" s="509" t="s">
        <v>2625</v>
      </c>
      <c r="C1542" s="510">
        <v>0</v>
      </c>
      <c r="D1542" s="510">
        <v>0</v>
      </c>
      <c r="E1542" s="510">
        <v>0</v>
      </c>
      <c r="F1542" s="510">
        <v>0</v>
      </c>
      <c r="G1542" s="510">
        <v>0</v>
      </c>
    </row>
    <row r="1543" spans="1:7" x14ac:dyDescent="0.25">
      <c r="A1543" s="509" t="s">
        <v>2877</v>
      </c>
      <c r="B1543" s="509" t="s">
        <v>2627</v>
      </c>
      <c r="C1543" s="510">
        <v>0</v>
      </c>
      <c r="D1543" s="510">
        <v>0</v>
      </c>
      <c r="E1543" s="510">
        <v>0</v>
      </c>
      <c r="F1543" s="510">
        <v>0</v>
      </c>
      <c r="G1543" s="510">
        <v>0</v>
      </c>
    </row>
    <row r="1544" spans="1:7" x14ac:dyDescent="0.25">
      <c r="A1544" s="509" t="s">
        <v>2878</v>
      </c>
      <c r="B1544" s="509" t="s">
        <v>2629</v>
      </c>
      <c r="C1544" s="510">
        <v>0</v>
      </c>
      <c r="D1544" s="510">
        <v>0</v>
      </c>
      <c r="E1544" s="510">
        <v>0</v>
      </c>
      <c r="F1544" s="510">
        <v>0</v>
      </c>
      <c r="G1544" s="510">
        <v>0</v>
      </c>
    </row>
    <row r="1545" spans="1:7" x14ac:dyDescent="0.25">
      <c r="A1545" s="509" t="s">
        <v>2879</v>
      </c>
      <c r="B1545" s="509" t="s">
        <v>2633</v>
      </c>
      <c r="C1545" s="510">
        <v>0</v>
      </c>
      <c r="D1545" s="510">
        <v>0</v>
      </c>
      <c r="E1545" s="510">
        <v>0</v>
      </c>
      <c r="F1545" s="510">
        <v>0</v>
      </c>
      <c r="G1545" s="510">
        <v>0</v>
      </c>
    </row>
    <row r="1546" spans="1:7" x14ac:dyDescent="0.25">
      <c r="A1546" s="509" t="s">
        <v>2880</v>
      </c>
      <c r="B1546" s="509" t="s">
        <v>2635</v>
      </c>
      <c r="C1546" s="510">
        <v>0</v>
      </c>
      <c r="D1546" s="510">
        <v>0</v>
      </c>
      <c r="E1546" s="510">
        <v>0</v>
      </c>
      <c r="F1546" s="510">
        <v>0</v>
      </c>
      <c r="G1546" s="510">
        <v>0</v>
      </c>
    </row>
    <row r="1547" spans="1:7" x14ac:dyDescent="0.25">
      <c r="A1547" s="509" t="s">
        <v>2881</v>
      </c>
      <c r="B1547" s="509" t="s">
        <v>2003</v>
      </c>
      <c r="C1547" s="510">
        <v>0</v>
      </c>
      <c r="D1547" s="510">
        <v>0</v>
      </c>
      <c r="E1547" s="510">
        <v>0</v>
      </c>
      <c r="F1547" s="510">
        <v>0</v>
      </c>
      <c r="G1547" s="510">
        <v>0</v>
      </c>
    </row>
    <row r="1548" spans="1:7" x14ac:dyDescent="0.25">
      <c r="A1548" s="509" t="s">
        <v>2882</v>
      </c>
      <c r="B1548" s="509" t="s">
        <v>2123</v>
      </c>
      <c r="C1548" s="510">
        <v>0</v>
      </c>
      <c r="D1548" s="510">
        <v>0</v>
      </c>
      <c r="E1548" s="510">
        <v>0</v>
      </c>
      <c r="F1548" s="510">
        <v>0</v>
      </c>
      <c r="G1548" s="510">
        <v>0</v>
      </c>
    </row>
    <row r="1549" spans="1:7" x14ac:dyDescent="0.25">
      <c r="A1549" s="509" t="s">
        <v>2883</v>
      </c>
      <c r="B1549" s="509" t="s">
        <v>2639</v>
      </c>
      <c r="C1549" s="510">
        <v>0</v>
      </c>
      <c r="D1549" s="510">
        <v>0</v>
      </c>
      <c r="E1549" s="510">
        <v>0</v>
      </c>
      <c r="F1549" s="510">
        <v>0</v>
      </c>
      <c r="G1549" s="510">
        <v>0</v>
      </c>
    </row>
    <row r="1550" spans="1:7" x14ac:dyDescent="0.25">
      <c r="A1550" s="509" t="s">
        <v>2884</v>
      </c>
      <c r="B1550" s="509" t="s">
        <v>2125</v>
      </c>
      <c r="C1550" s="510">
        <v>0</v>
      </c>
      <c r="D1550" s="510">
        <v>0</v>
      </c>
      <c r="E1550" s="510">
        <v>0</v>
      </c>
      <c r="F1550" s="510">
        <v>0</v>
      </c>
      <c r="G1550" s="510">
        <v>0</v>
      </c>
    </row>
    <row r="1551" spans="1:7" x14ac:dyDescent="0.25">
      <c r="A1551" s="509" t="s">
        <v>2885</v>
      </c>
      <c r="B1551" s="509" t="s">
        <v>2127</v>
      </c>
      <c r="C1551" s="510">
        <v>0</v>
      </c>
      <c r="D1551" s="510">
        <v>-692300</v>
      </c>
      <c r="E1551" s="510">
        <v>0</v>
      </c>
      <c r="F1551" s="510">
        <v>101500</v>
      </c>
      <c r="G1551" s="510">
        <v>-793800</v>
      </c>
    </row>
    <row r="1552" spans="1:7" x14ac:dyDescent="0.25">
      <c r="A1552" s="509" t="s">
        <v>2886</v>
      </c>
      <c r="B1552" s="509" t="s">
        <v>2129</v>
      </c>
      <c r="C1552" s="510">
        <v>0</v>
      </c>
      <c r="D1552" s="510">
        <v>-9495.7000000000007</v>
      </c>
      <c r="E1552" s="510">
        <v>0</v>
      </c>
      <c r="F1552" s="510">
        <v>0</v>
      </c>
      <c r="G1552" s="510">
        <v>-9495.7000000000007</v>
      </c>
    </row>
    <row r="1553" spans="1:7" x14ac:dyDescent="0.25">
      <c r="A1553" s="509" t="s">
        <v>2887</v>
      </c>
      <c r="B1553" s="509" t="s">
        <v>2131</v>
      </c>
      <c r="C1553" s="510">
        <v>0</v>
      </c>
      <c r="D1553" s="510">
        <v>0</v>
      </c>
      <c r="E1553" s="510">
        <v>0</v>
      </c>
      <c r="F1553" s="510">
        <v>0</v>
      </c>
      <c r="G1553" s="510">
        <v>0</v>
      </c>
    </row>
    <row r="1554" spans="1:7" x14ac:dyDescent="0.25">
      <c r="A1554" s="509" t="s">
        <v>2888</v>
      </c>
      <c r="B1554" s="509" t="s">
        <v>2133</v>
      </c>
      <c r="C1554" s="510">
        <v>0</v>
      </c>
      <c r="D1554" s="510">
        <v>-299344.46999999997</v>
      </c>
      <c r="E1554" s="510">
        <v>0</v>
      </c>
      <c r="F1554" s="510">
        <v>0</v>
      </c>
      <c r="G1554" s="510">
        <v>-299344.46999999997</v>
      </c>
    </row>
    <row r="1555" spans="1:7" x14ac:dyDescent="0.25">
      <c r="A1555" s="509" t="s">
        <v>2889</v>
      </c>
      <c r="B1555" s="509" t="s">
        <v>2135</v>
      </c>
      <c r="C1555" s="510">
        <v>0</v>
      </c>
      <c r="D1555" s="510">
        <v>0</v>
      </c>
      <c r="E1555" s="510">
        <v>0</v>
      </c>
      <c r="F1555" s="510">
        <v>0</v>
      </c>
      <c r="G1555" s="510">
        <v>0</v>
      </c>
    </row>
    <row r="1556" spans="1:7" x14ac:dyDescent="0.25">
      <c r="A1556" s="509" t="s">
        <v>2890</v>
      </c>
      <c r="B1556" s="509" t="s">
        <v>2137</v>
      </c>
      <c r="C1556" s="510">
        <v>0</v>
      </c>
      <c r="D1556" s="510">
        <v>-5573197.5800000001</v>
      </c>
      <c r="E1556" s="510">
        <v>0</v>
      </c>
      <c r="F1556" s="510">
        <v>195000</v>
      </c>
      <c r="G1556" s="510">
        <v>-5768197.5800000001</v>
      </c>
    </row>
    <row r="1557" spans="1:7" x14ac:dyDescent="0.25">
      <c r="A1557" s="509" t="s">
        <v>2891</v>
      </c>
      <c r="B1557" s="509" t="s">
        <v>2139</v>
      </c>
      <c r="C1557" s="510">
        <v>0</v>
      </c>
      <c r="D1557" s="510">
        <v>-173099.11</v>
      </c>
      <c r="E1557" s="510">
        <v>0</v>
      </c>
      <c r="F1557" s="510">
        <v>0</v>
      </c>
      <c r="G1557" s="510">
        <v>-173099.11</v>
      </c>
    </row>
    <row r="1558" spans="1:7" x14ac:dyDescent="0.25">
      <c r="A1558" s="509" t="s">
        <v>2892</v>
      </c>
      <c r="B1558" s="509" t="s">
        <v>2434</v>
      </c>
      <c r="C1558" s="510">
        <v>0</v>
      </c>
      <c r="D1558" s="510">
        <v>0</v>
      </c>
      <c r="E1558" s="510">
        <v>0</v>
      </c>
      <c r="F1558" s="510">
        <v>0</v>
      </c>
      <c r="G1558" s="510">
        <v>0</v>
      </c>
    </row>
    <row r="1559" spans="1:7" x14ac:dyDescent="0.25">
      <c r="A1559" s="509" t="s">
        <v>2893</v>
      </c>
      <c r="B1559" s="509" t="s">
        <v>2651</v>
      </c>
      <c r="C1559" s="510">
        <v>0</v>
      </c>
      <c r="D1559" s="510">
        <v>0</v>
      </c>
      <c r="E1559" s="510">
        <v>0</v>
      </c>
      <c r="F1559" s="510">
        <v>0</v>
      </c>
      <c r="G1559" s="510">
        <v>0</v>
      </c>
    </row>
    <row r="1560" spans="1:7" x14ac:dyDescent="0.25">
      <c r="A1560" s="509" t="s">
        <v>2894</v>
      </c>
      <c r="B1560" s="509" t="s">
        <v>2147</v>
      </c>
      <c r="C1560" s="510">
        <v>0</v>
      </c>
      <c r="D1560" s="510">
        <v>0</v>
      </c>
      <c r="E1560" s="510">
        <v>0</v>
      </c>
      <c r="F1560" s="510">
        <v>0</v>
      </c>
      <c r="G1560" s="510">
        <v>0</v>
      </c>
    </row>
    <row r="1561" spans="1:7" x14ac:dyDescent="0.25">
      <c r="A1561" s="509" t="s">
        <v>2895</v>
      </c>
      <c r="B1561" s="509" t="s">
        <v>2654</v>
      </c>
      <c r="C1561" s="510">
        <v>0</v>
      </c>
      <c r="D1561" s="510">
        <v>-14089.02</v>
      </c>
      <c r="E1561" s="510">
        <v>14089.02</v>
      </c>
      <c r="F1561" s="510">
        <v>0</v>
      </c>
      <c r="G1561" s="510">
        <v>0</v>
      </c>
    </row>
    <row r="1562" spans="1:7" x14ac:dyDescent="0.25">
      <c r="A1562" s="509" t="s">
        <v>2896</v>
      </c>
      <c r="B1562" s="509" t="s">
        <v>2151</v>
      </c>
      <c r="C1562" s="510">
        <v>0</v>
      </c>
      <c r="D1562" s="510">
        <v>0</v>
      </c>
      <c r="E1562" s="510">
        <v>0</v>
      </c>
      <c r="F1562" s="510">
        <v>0</v>
      </c>
      <c r="G1562" s="510">
        <v>0</v>
      </c>
    </row>
    <row r="1563" spans="1:7" x14ac:dyDescent="0.25">
      <c r="A1563" s="509" t="s">
        <v>2897</v>
      </c>
      <c r="B1563" s="509" t="s">
        <v>2153</v>
      </c>
      <c r="C1563" s="510">
        <v>0</v>
      </c>
      <c r="D1563" s="510">
        <v>0</v>
      </c>
      <c r="E1563" s="510">
        <v>0</v>
      </c>
      <c r="F1563" s="510">
        <v>0</v>
      </c>
      <c r="G1563" s="510">
        <v>0</v>
      </c>
    </row>
    <row r="1564" spans="1:7" x14ac:dyDescent="0.25">
      <c r="A1564" s="509" t="s">
        <v>2898</v>
      </c>
      <c r="B1564" s="509" t="s">
        <v>2155</v>
      </c>
      <c r="C1564" s="510">
        <v>0</v>
      </c>
      <c r="D1564" s="510">
        <v>0</v>
      </c>
      <c r="E1564" s="510">
        <v>0</v>
      </c>
      <c r="F1564" s="510">
        <v>0</v>
      </c>
      <c r="G1564" s="510">
        <v>0</v>
      </c>
    </row>
    <row r="1565" spans="1:7" x14ac:dyDescent="0.25">
      <c r="A1565" s="509" t="s">
        <v>2899</v>
      </c>
      <c r="B1565" s="509" t="s">
        <v>2159</v>
      </c>
      <c r="C1565" s="510">
        <v>0</v>
      </c>
      <c r="D1565" s="510">
        <v>-296500</v>
      </c>
      <c r="E1565" s="510">
        <v>296500</v>
      </c>
      <c r="F1565" s="510">
        <v>0</v>
      </c>
      <c r="G1565" s="510">
        <v>0</v>
      </c>
    </row>
    <row r="1566" spans="1:7" x14ac:dyDescent="0.25">
      <c r="A1566" s="509" t="s">
        <v>2900</v>
      </c>
      <c r="B1566" s="509" t="s">
        <v>2163</v>
      </c>
      <c r="C1566" s="510">
        <v>0</v>
      </c>
      <c r="D1566" s="510">
        <v>0</v>
      </c>
      <c r="E1566" s="510">
        <v>0</v>
      </c>
      <c r="F1566" s="510">
        <v>0</v>
      </c>
      <c r="G1566" s="510">
        <v>0</v>
      </c>
    </row>
    <row r="1567" spans="1:7" x14ac:dyDescent="0.25">
      <c r="A1567" s="509" t="s">
        <v>2901</v>
      </c>
      <c r="B1567" s="509" t="s">
        <v>2165</v>
      </c>
      <c r="C1567" s="510">
        <v>0</v>
      </c>
      <c r="D1567" s="510">
        <v>0</v>
      </c>
      <c r="E1567" s="510">
        <v>0</v>
      </c>
      <c r="F1567" s="510">
        <v>0</v>
      </c>
      <c r="G1567" s="510">
        <v>0</v>
      </c>
    </row>
    <row r="1568" spans="1:7" x14ac:dyDescent="0.25">
      <c r="A1568" s="509" t="s">
        <v>2902</v>
      </c>
      <c r="B1568" s="509" t="s">
        <v>2169</v>
      </c>
      <c r="C1568" s="510">
        <v>0</v>
      </c>
      <c r="D1568" s="510">
        <v>-26930</v>
      </c>
      <c r="E1568" s="510">
        <v>0</v>
      </c>
      <c r="F1568" s="510">
        <v>0</v>
      </c>
      <c r="G1568" s="510">
        <v>-26930</v>
      </c>
    </row>
    <row r="1569" spans="1:7" x14ac:dyDescent="0.25">
      <c r="A1569" s="509" t="s">
        <v>2903</v>
      </c>
      <c r="B1569" s="509" t="s">
        <v>2171</v>
      </c>
      <c r="C1569" s="510">
        <v>0</v>
      </c>
      <c r="D1569" s="510">
        <v>0</v>
      </c>
      <c r="E1569" s="510">
        <v>0</v>
      </c>
      <c r="F1569" s="510">
        <v>0</v>
      </c>
      <c r="G1569" s="510">
        <v>0</v>
      </c>
    </row>
    <row r="1570" spans="1:7" x14ac:dyDescent="0.25">
      <c r="A1570" s="509" t="s">
        <v>2904</v>
      </c>
      <c r="B1570" s="509" t="s">
        <v>2173</v>
      </c>
      <c r="C1570" s="510">
        <v>0</v>
      </c>
      <c r="D1570" s="510">
        <v>0</v>
      </c>
      <c r="E1570" s="510">
        <v>0</v>
      </c>
      <c r="F1570" s="510">
        <v>0</v>
      </c>
      <c r="G1570" s="510">
        <v>0</v>
      </c>
    </row>
    <row r="1571" spans="1:7" x14ac:dyDescent="0.25">
      <c r="A1571" s="509" t="s">
        <v>2905</v>
      </c>
      <c r="B1571" s="509" t="s">
        <v>2175</v>
      </c>
      <c r="C1571" s="510">
        <v>0</v>
      </c>
      <c r="D1571" s="510">
        <v>0</v>
      </c>
      <c r="E1571" s="510">
        <v>0</v>
      </c>
      <c r="F1571" s="510">
        <v>0</v>
      </c>
      <c r="G1571" s="510">
        <v>0</v>
      </c>
    </row>
    <row r="1572" spans="1:7" x14ac:dyDescent="0.25">
      <c r="A1572" s="509" t="s">
        <v>2906</v>
      </c>
      <c r="B1572" s="509" t="s">
        <v>2177</v>
      </c>
      <c r="C1572" s="510">
        <v>0</v>
      </c>
      <c r="D1572" s="510">
        <v>0</v>
      </c>
      <c r="E1572" s="510">
        <v>0</v>
      </c>
      <c r="F1572" s="510">
        <v>0</v>
      </c>
      <c r="G1572" s="510">
        <v>0</v>
      </c>
    </row>
    <row r="1573" spans="1:7" x14ac:dyDescent="0.25">
      <c r="A1573" s="509" t="s">
        <v>2907</v>
      </c>
      <c r="B1573" s="509" t="s">
        <v>2179</v>
      </c>
      <c r="C1573" s="510">
        <v>0</v>
      </c>
      <c r="D1573" s="510">
        <v>0</v>
      </c>
      <c r="E1573" s="510">
        <v>0</v>
      </c>
      <c r="F1573" s="510">
        <v>0</v>
      </c>
      <c r="G1573" s="510">
        <v>0</v>
      </c>
    </row>
    <row r="1574" spans="1:7" x14ac:dyDescent="0.25">
      <c r="A1574" s="509" t="s">
        <v>2908</v>
      </c>
      <c r="B1574" s="509" t="s">
        <v>2181</v>
      </c>
      <c r="C1574" s="510">
        <v>0</v>
      </c>
      <c r="D1574" s="510">
        <v>0</v>
      </c>
      <c r="E1574" s="510">
        <v>0</v>
      </c>
      <c r="F1574" s="510">
        <v>0</v>
      </c>
      <c r="G1574" s="510">
        <v>0</v>
      </c>
    </row>
    <row r="1575" spans="1:7" x14ac:dyDescent="0.25">
      <c r="A1575" s="509" t="s">
        <v>2909</v>
      </c>
      <c r="B1575" s="509" t="s">
        <v>2183</v>
      </c>
      <c r="C1575" s="510">
        <v>0</v>
      </c>
      <c r="D1575" s="510">
        <v>0</v>
      </c>
      <c r="E1575" s="510">
        <v>0</v>
      </c>
      <c r="F1575" s="510">
        <v>0</v>
      </c>
      <c r="G1575" s="510">
        <v>0</v>
      </c>
    </row>
    <row r="1576" spans="1:7" x14ac:dyDescent="0.25">
      <c r="A1576" s="509" t="s">
        <v>2910</v>
      </c>
      <c r="B1576" s="509" t="s">
        <v>2185</v>
      </c>
      <c r="C1576" s="510">
        <v>0</v>
      </c>
      <c r="D1576" s="510">
        <v>0</v>
      </c>
      <c r="E1576" s="510">
        <v>0</v>
      </c>
      <c r="F1576" s="510">
        <v>0</v>
      </c>
      <c r="G1576" s="510">
        <v>0</v>
      </c>
    </row>
    <row r="1577" spans="1:7" x14ac:dyDescent="0.25">
      <c r="A1577" s="509" t="s">
        <v>2911</v>
      </c>
      <c r="B1577" s="509" t="s">
        <v>2187</v>
      </c>
      <c r="C1577" s="510">
        <v>0</v>
      </c>
      <c r="D1577" s="510">
        <v>0</v>
      </c>
      <c r="E1577" s="510">
        <v>0</v>
      </c>
      <c r="F1577" s="510">
        <v>0</v>
      </c>
      <c r="G1577" s="510">
        <v>0</v>
      </c>
    </row>
    <row r="1578" spans="1:7" x14ac:dyDescent="0.25">
      <c r="A1578" s="509" t="s">
        <v>2912</v>
      </c>
      <c r="B1578" s="509" t="s">
        <v>2189</v>
      </c>
      <c r="C1578" s="510">
        <v>0</v>
      </c>
      <c r="D1578" s="510">
        <v>0</v>
      </c>
      <c r="E1578" s="510">
        <v>0</v>
      </c>
      <c r="F1578" s="510">
        <v>0</v>
      </c>
      <c r="G1578" s="510">
        <v>0</v>
      </c>
    </row>
    <row r="1579" spans="1:7" x14ac:dyDescent="0.25">
      <c r="A1579" s="509" t="s">
        <v>2913</v>
      </c>
      <c r="B1579" s="509" t="s">
        <v>2191</v>
      </c>
      <c r="C1579" s="510">
        <v>0</v>
      </c>
      <c r="D1579" s="510">
        <v>0</v>
      </c>
      <c r="E1579" s="510">
        <v>0</v>
      </c>
      <c r="F1579" s="510">
        <v>0</v>
      </c>
      <c r="G1579" s="510">
        <v>0</v>
      </c>
    </row>
    <row r="1580" spans="1:7" x14ac:dyDescent="0.25">
      <c r="A1580" s="509" t="s">
        <v>2914</v>
      </c>
      <c r="B1580" s="509" t="s">
        <v>2171</v>
      </c>
      <c r="C1580" s="510">
        <v>0</v>
      </c>
      <c r="D1580" s="510">
        <v>0</v>
      </c>
      <c r="E1580" s="510">
        <v>0</v>
      </c>
      <c r="F1580" s="510">
        <v>0</v>
      </c>
      <c r="G1580" s="510">
        <v>0</v>
      </c>
    </row>
    <row r="1581" spans="1:7" x14ac:dyDescent="0.25">
      <c r="A1581" s="509" t="s">
        <v>2915</v>
      </c>
      <c r="B1581" s="509" t="s">
        <v>2194</v>
      </c>
      <c r="C1581" s="510">
        <v>0</v>
      </c>
      <c r="D1581" s="510">
        <v>0</v>
      </c>
      <c r="E1581" s="510">
        <v>0</v>
      </c>
      <c r="F1581" s="510">
        <v>0</v>
      </c>
      <c r="G1581" s="510">
        <v>0</v>
      </c>
    </row>
    <row r="1582" spans="1:7" x14ac:dyDescent="0.25">
      <c r="A1582" s="509" t="s">
        <v>2916</v>
      </c>
      <c r="B1582" s="509" t="s">
        <v>2196</v>
      </c>
      <c r="C1582" s="510">
        <v>0</v>
      </c>
      <c r="D1582" s="510">
        <v>0</v>
      </c>
      <c r="E1582" s="510">
        <v>0</v>
      </c>
      <c r="F1582" s="510">
        <v>0</v>
      </c>
      <c r="G1582" s="510">
        <v>0</v>
      </c>
    </row>
    <row r="1583" spans="1:7" x14ac:dyDescent="0.25">
      <c r="A1583" s="509" t="s">
        <v>2917</v>
      </c>
      <c r="B1583" s="509" t="s">
        <v>2198</v>
      </c>
      <c r="C1583" s="510">
        <v>0</v>
      </c>
      <c r="D1583" s="510">
        <v>0</v>
      </c>
      <c r="E1583" s="510">
        <v>0</v>
      </c>
      <c r="F1583" s="510">
        <v>0</v>
      </c>
      <c r="G1583" s="510">
        <v>0</v>
      </c>
    </row>
    <row r="1584" spans="1:7" x14ac:dyDescent="0.25">
      <c r="A1584" s="509" t="s">
        <v>2918</v>
      </c>
      <c r="B1584" s="509" t="s">
        <v>2200</v>
      </c>
      <c r="C1584" s="510">
        <v>0</v>
      </c>
      <c r="D1584" s="510">
        <v>0</v>
      </c>
      <c r="E1584" s="510">
        <v>0</v>
      </c>
      <c r="F1584" s="510">
        <v>0</v>
      </c>
      <c r="G1584" s="510">
        <v>0</v>
      </c>
    </row>
    <row r="1585" spans="1:7" x14ac:dyDescent="0.25">
      <c r="A1585" s="509" t="s">
        <v>2919</v>
      </c>
      <c r="B1585" s="509" t="s">
        <v>2202</v>
      </c>
      <c r="C1585" s="510">
        <v>0</v>
      </c>
      <c r="D1585" s="510">
        <v>0</v>
      </c>
      <c r="E1585" s="510">
        <v>0</v>
      </c>
      <c r="F1585" s="510">
        <v>0</v>
      </c>
      <c r="G1585" s="510">
        <v>0</v>
      </c>
    </row>
    <row r="1586" spans="1:7" x14ac:dyDescent="0.25">
      <c r="A1586" s="509" t="s">
        <v>2920</v>
      </c>
      <c r="B1586" s="509" t="s">
        <v>2204</v>
      </c>
      <c r="C1586" s="510">
        <v>0</v>
      </c>
      <c r="D1586" s="510">
        <v>0</v>
      </c>
      <c r="E1586" s="510">
        <v>0</v>
      </c>
      <c r="F1586" s="510">
        <v>0</v>
      </c>
      <c r="G1586" s="510">
        <v>0</v>
      </c>
    </row>
    <row r="1587" spans="1:7" x14ac:dyDescent="0.25">
      <c r="A1587" s="509" t="s">
        <v>2921</v>
      </c>
      <c r="B1587" s="509" t="s">
        <v>2206</v>
      </c>
      <c r="C1587" s="510">
        <v>0</v>
      </c>
      <c r="D1587" s="510">
        <v>-791</v>
      </c>
      <c r="E1587" s="510">
        <v>791</v>
      </c>
      <c r="F1587" s="510">
        <v>0</v>
      </c>
      <c r="G1587" s="510">
        <v>0</v>
      </c>
    </row>
    <row r="1588" spans="1:7" x14ac:dyDescent="0.25">
      <c r="A1588" s="509" t="s">
        <v>2922</v>
      </c>
      <c r="B1588" s="509" t="s">
        <v>2208</v>
      </c>
      <c r="C1588" s="510">
        <v>0</v>
      </c>
      <c r="D1588" s="510">
        <v>0</v>
      </c>
      <c r="E1588" s="510">
        <v>0</v>
      </c>
      <c r="F1588" s="510">
        <v>0</v>
      </c>
      <c r="G1588" s="510">
        <v>0</v>
      </c>
    </row>
    <row r="1589" spans="1:7" x14ac:dyDescent="0.25">
      <c r="A1589" s="509" t="s">
        <v>2923</v>
      </c>
      <c r="B1589" s="509" t="s">
        <v>2210</v>
      </c>
      <c r="C1589" s="510">
        <v>0</v>
      </c>
      <c r="D1589" s="510">
        <v>0</v>
      </c>
      <c r="E1589" s="510">
        <v>0</v>
      </c>
      <c r="F1589" s="510">
        <v>0</v>
      </c>
      <c r="G1589" s="510">
        <v>0</v>
      </c>
    </row>
    <row r="1590" spans="1:7" x14ac:dyDescent="0.25">
      <c r="A1590" s="509" t="s">
        <v>2924</v>
      </c>
      <c r="B1590" s="509" t="s">
        <v>2212</v>
      </c>
      <c r="C1590" s="510">
        <v>0</v>
      </c>
      <c r="D1590" s="510">
        <v>0</v>
      </c>
      <c r="E1590" s="510">
        <v>0</v>
      </c>
      <c r="F1590" s="510">
        <v>0</v>
      </c>
      <c r="G1590" s="510">
        <v>0</v>
      </c>
    </row>
    <row r="1591" spans="1:7" x14ac:dyDescent="0.25">
      <c r="A1591" s="509" t="s">
        <v>2925</v>
      </c>
      <c r="B1591" s="509" t="s">
        <v>2214</v>
      </c>
      <c r="C1591" s="510">
        <v>0</v>
      </c>
      <c r="D1591" s="510">
        <v>0</v>
      </c>
      <c r="E1591" s="510">
        <v>0</v>
      </c>
      <c r="F1591" s="510">
        <v>0</v>
      </c>
      <c r="G1591" s="510">
        <v>0</v>
      </c>
    </row>
    <row r="1592" spans="1:7" x14ac:dyDescent="0.25">
      <c r="A1592" s="509" t="s">
        <v>2926</v>
      </c>
      <c r="B1592" s="509" t="s">
        <v>2216</v>
      </c>
      <c r="C1592" s="510">
        <v>0</v>
      </c>
      <c r="D1592" s="510">
        <v>0</v>
      </c>
      <c r="E1592" s="510">
        <v>0</v>
      </c>
      <c r="F1592" s="510">
        <v>0</v>
      </c>
      <c r="G1592" s="510">
        <v>0</v>
      </c>
    </row>
    <row r="1593" spans="1:7" x14ac:dyDescent="0.25">
      <c r="A1593" s="509" t="s">
        <v>2927</v>
      </c>
      <c r="B1593" s="509" t="s">
        <v>2218</v>
      </c>
      <c r="C1593" s="510">
        <v>0</v>
      </c>
      <c r="D1593" s="510">
        <v>-73788.009999999995</v>
      </c>
      <c r="E1593" s="510">
        <v>0</v>
      </c>
      <c r="F1593" s="510">
        <v>0</v>
      </c>
      <c r="G1593" s="510">
        <v>-73788.009999999995</v>
      </c>
    </row>
    <row r="1594" spans="1:7" x14ac:dyDescent="0.25">
      <c r="A1594" s="509" t="s">
        <v>2928</v>
      </c>
      <c r="B1594" s="509" t="s">
        <v>2222</v>
      </c>
      <c r="C1594" s="510">
        <v>0</v>
      </c>
      <c r="D1594" s="510">
        <v>0</v>
      </c>
      <c r="E1594" s="510">
        <v>0</v>
      </c>
      <c r="F1594" s="510">
        <v>0</v>
      </c>
      <c r="G1594" s="510">
        <v>0</v>
      </c>
    </row>
    <row r="1595" spans="1:7" x14ac:dyDescent="0.25">
      <c r="A1595" s="509" t="s">
        <v>2929</v>
      </c>
      <c r="B1595" s="509" t="s">
        <v>2224</v>
      </c>
      <c r="C1595" s="510">
        <v>0</v>
      </c>
      <c r="D1595" s="510">
        <v>0</v>
      </c>
      <c r="E1595" s="510">
        <v>0</v>
      </c>
      <c r="F1595" s="510">
        <v>0</v>
      </c>
      <c r="G1595" s="510">
        <v>0</v>
      </c>
    </row>
    <row r="1596" spans="1:7" x14ac:dyDescent="0.25">
      <c r="A1596" s="509" t="s">
        <v>2930</v>
      </c>
      <c r="B1596" s="509" t="s">
        <v>2228</v>
      </c>
      <c r="C1596" s="510">
        <v>0</v>
      </c>
      <c r="D1596" s="510">
        <v>-56998.48</v>
      </c>
      <c r="E1596" s="510">
        <v>9869.1200000000008</v>
      </c>
      <c r="F1596" s="510">
        <v>0</v>
      </c>
      <c r="G1596" s="510">
        <v>-47129.36</v>
      </c>
    </row>
    <row r="1597" spans="1:7" x14ac:dyDescent="0.25">
      <c r="A1597" s="509" t="s">
        <v>2931</v>
      </c>
      <c r="B1597" s="509" t="s">
        <v>2932</v>
      </c>
      <c r="C1597" s="510">
        <v>0</v>
      </c>
      <c r="D1597" s="510">
        <v>0</v>
      </c>
      <c r="E1597" s="510">
        <v>0</v>
      </c>
      <c r="F1597" s="510">
        <v>0</v>
      </c>
      <c r="G1597" s="510">
        <v>0</v>
      </c>
    </row>
    <row r="1598" spans="1:7" x14ac:dyDescent="0.25">
      <c r="A1598" s="509" t="s">
        <v>925</v>
      </c>
      <c r="B1598" s="509" t="s">
        <v>1126</v>
      </c>
      <c r="C1598" s="510">
        <v>0</v>
      </c>
      <c r="D1598" s="510">
        <v>0</v>
      </c>
      <c r="E1598" s="510">
        <v>0</v>
      </c>
      <c r="F1598" s="510">
        <v>0</v>
      </c>
      <c r="G1598" s="510">
        <v>0</v>
      </c>
    </row>
    <row r="1599" spans="1:7" x14ac:dyDescent="0.25">
      <c r="A1599" s="509" t="s">
        <v>2933</v>
      </c>
      <c r="B1599" s="509" t="s">
        <v>2696</v>
      </c>
      <c r="C1599" s="510">
        <v>0</v>
      </c>
      <c r="D1599" s="510">
        <v>0</v>
      </c>
      <c r="E1599" s="510">
        <v>0</v>
      </c>
      <c r="F1599" s="510">
        <v>0</v>
      </c>
      <c r="G1599" s="510">
        <v>0</v>
      </c>
    </row>
    <row r="1600" spans="1:7" x14ac:dyDescent="0.25">
      <c r="A1600" s="509" t="s">
        <v>2934</v>
      </c>
      <c r="B1600" s="509" t="s">
        <v>2935</v>
      </c>
      <c r="C1600" s="510">
        <v>0</v>
      </c>
      <c r="D1600" s="510">
        <v>0</v>
      </c>
      <c r="E1600" s="510">
        <v>0</v>
      </c>
      <c r="F1600" s="510">
        <v>0</v>
      </c>
      <c r="G1600" s="510">
        <v>0</v>
      </c>
    </row>
    <row r="1601" spans="1:7" x14ac:dyDescent="0.25">
      <c r="A1601" s="509" t="s">
        <v>2936</v>
      </c>
      <c r="B1601" s="509" t="s">
        <v>2706</v>
      </c>
      <c r="C1601" s="510">
        <v>0</v>
      </c>
      <c r="D1601" s="510">
        <v>0</v>
      </c>
      <c r="E1601" s="510">
        <v>0</v>
      </c>
      <c r="F1601" s="510">
        <v>0</v>
      </c>
      <c r="G1601" s="510">
        <v>0</v>
      </c>
    </row>
    <row r="1602" spans="1:7" x14ac:dyDescent="0.25">
      <c r="A1602" s="509" t="s">
        <v>2937</v>
      </c>
      <c r="B1602" s="509" t="s">
        <v>2710</v>
      </c>
      <c r="C1602" s="510">
        <v>0</v>
      </c>
      <c r="D1602" s="510">
        <v>0</v>
      </c>
      <c r="E1602" s="510">
        <v>0</v>
      </c>
      <c r="F1602" s="510">
        <v>0</v>
      </c>
      <c r="G1602" s="510">
        <v>0</v>
      </c>
    </row>
    <row r="1603" spans="1:7" x14ac:dyDescent="0.25">
      <c r="A1603" s="509" t="s">
        <v>924</v>
      </c>
      <c r="B1603" s="509" t="s">
        <v>11</v>
      </c>
      <c r="C1603" s="510">
        <v>33000</v>
      </c>
      <c r="D1603" s="510">
        <v>0</v>
      </c>
      <c r="E1603" s="510">
        <v>12</v>
      </c>
      <c r="F1603" s="510">
        <v>18663.490000000002</v>
      </c>
      <c r="G1603" s="510">
        <v>-18651.490000000002</v>
      </c>
    </row>
    <row r="1604" spans="1:7" x14ac:dyDescent="0.25">
      <c r="A1604" s="509" t="s">
        <v>921</v>
      </c>
      <c r="B1604" s="509" t="s">
        <v>12</v>
      </c>
      <c r="C1604" s="510">
        <v>667722</v>
      </c>
      <c r="D1604" s="510">
        <v>0</v>
      </c>
      <c r="E1604" s="510">
        <v>0</v>
      </c>
      <c r="F1604" s="510">
        <v>25784</v>
      </c>
      <c r="G1604" s="510">
        <v>-25784</v>
      </c>
    </row>
    <row r="1605" spans="1:7" x14ac:dyDescent="0.25">
      <c r="A1605" s="509" t="s">
        <v>933</v>
      </c>
      <c r="B1605" s="509" t="s">
        <v>13</v>
      </c>
      <c r="C1605" s="510">
        <v>3800</v>
      </c>
      <c r="D1605" s="510">
        <v>0</v>
      </c>
      <c r="E1605" s="510">
        <v>0</v>
      </c>
      <c r="F1605" s="510">
        <v>1849.76</v>
      </c>
      <c r="G1605" s="510">
        <v>-1849.76</v>
      </c>
    </row>
    <row r="1606" spans="1:7" x14ac:dyDescent="0.25">
      <c r="A1606" s="509" t="s">
        <v>934</v>
      </c>
      <c r="B1606" s="509" t="s">
        <v>15</v>
      </c>
      <c r="C1606" s="510">
        <v>29000</v>
      </c>
      <c r="D1606" s="510">
        <v>0</v>
      </c>
      <c r="E1606" s="510">
        <v>2694</v>
      </c>
      <c r="F1606" s="510">
        <v>16908.849999999999</v>
      </c>
      <c r="G1606" s="510">
        <v>-14214.85</v>
      </c>
    </row>
    <row r="1607" spans="1:7" x14ac:dyDescent="0.25">
      <c r="A1607" s="509" t="s">
        <v>945</v>
      </c>
      <c r="B1607" s="509" t="s">
        <v>843</v>
      </c>
      <c r="C1607" s="510">
        <v>20</v>
      </c>
      <c r="D1607" s="510">
        <v>0</v>
      </c>
      <c r="E1607" s="510">
        <v>0</v>
      </c>
      <c r="F1607" s="510">
        <v>8.66</v>
      </c>
      <c r="G1607" s="510">
        <v>-8.66</v>
      </c>
    </row>
    <row r="1608" spans="1:7" x14ac:dyDescent="0.25">
      <c r="A1608" s="509" t="s">
        <v>926</v>
      </c>
      <c r="B1608" s="509" t="s">
        <v>16</v>
      </c>
      <c r="C1608" s="510">
        <v>10000</v>
      </c>
      <c r="D1608" s="510">
        <v>0</v>
      </c>
      <c r="E1608" s="510">
        <v>0</v>
      </c>
      <c r="F1608" s="510">
        <v>2207</v>
      </c>
      <c r="G1608" s="510">
        <v>-2207</v>
      </c>
    </row>
    <row r="1609" spans="1:7" x14ac:dyDescent="0.25">
      <c r="A1609" s="509" t="s">
        <v>2938</v>
      </c>
      <c r="B1609" s="509" t="s">
        <v>2232</v>
      </c>
      <c r="C1609" s="510">
        <v>0</v>
      </c>
      <c r="D1609" s="510">
        <v>0</v>
      </c>
      <c r="E1609" s="510">
        <v>0</v>
      </c>
      <c r="F1609" s="510">
        <v>0</v>
      </c>
      <c r="G1609" s="510">
        <v>0</v>
      </c>
    </row>
    <row r="1610" spans="1:7" x14ac:dyDescent="0.25">
      <c r="A1610" s="509" t="s">
        <v>927</v>
      </c>
      <c r="B1610" s="509" t="s">
        <v>17</v>
      </c>
      <c r="C1610" s="510">
        <v>4675</v>
      </c>
      <c r="D1610" s="510">
        <v>0</v>
      </c>
      <c r="E1610" s="510">
        <v>0</v>
      </c>
      <c r="F1610" s="510">
        <v>9508.1299999999992</v>
      </c>
      <c r="G1610" s="510">
        <v>-9508.1299999999992</v>
      </c>
    </row>
    <row r="1611" spans="1:7" x14ac:dyDescent="0.25">
      <c r="A1611" s="509" t="s">
        <v>1139</v>
      </c>
      <c r="B1611" s="509" t="s">
        <v>18</v>
      </c>
      <c r="C1611" s="510">
        <v>0</v>
      </c>
      <c r="D1611" s="510">
        <v>0</v>
      </c>
      <c r="E1611" s="510">
        <v>0</v>
      </c>
      <c r="F1611" s="510">
        <v>0</v>
      </c>
      <c r="G1611" s="510">
        <v>0</v>
      </c>
    </row>
    <row r="1612" spans="1:7" x14ac:dyDescent="0.25">
      <c r="A1612" s="509" t="s">
        <v>2939</v>
      </c>
      <c r="B1612" s="509" t="s">
        <v>2234</v>
      </c>
      <c r="C1612" s="510">
        <v>0</v>
      </c>
      <c r="D1612" s="510">
        <v>0</v>
      </c>
      <c r="E1612" s="510">
        <v>0</v>
      </c>
      <c r="F1612" s="510">
        <v>0</v>
      </c>
      <c r="G1612" s="510">
        <v>0</v>
      </c>
    </row>
    <row r="1613" spans="1:7" x14ac:dyDescent="0.25">
      <c r="A1613" s="509" t="s">
        <v>2940</v>
      </c>
      <c r="B1613" s="509" t="s">
        <v>2238</v>
      </c>
      <c r="C1613" s="510">
        <v>0</v>
      </c>
      <c r="D1613" s="510">
        <v>0</v>
      </c>
      <c r="E1613" s="510">
        <v>0</v>
      </c>
      <c r="F1613" s="510">
        <v>0</v>
      </c>
      <c r="G1613" s="510">
        <v>0</v>
      </c>
    </row>
    <row r="1614" spans="1:7" x14ac:dyDescent="0.25">
      <c r="A1614" s="509" t="s">
        <v>928</v>
      </c>
      <c r="B1614" s="509" t="s">
        <v>1128</v>
      </c>
      <c r="C1614" s="510">
        <v>7800</v>
      </c>
      <c r="D1614" s="510">
        <v>0</v>
      </c>
      <c r="E1614" s="510">
        <v>0</v>
      </c>
      <c r="F1614" s="510">
        <v>0</v>
      </c>
      <c r="G1614" s="510">
        <v>0</v>
      </c>
    </row>
    <row r="1615" spans="1:7" x14ac:dyDescent="0.25">
      <c r="A1615" s="509" t="s">
        <v>949</v>
      </c>
      <c r="B1615" s="509" t="s">
        <v>1129</v>
      </c>
      <c r="C1615" s="510">
        <v>1550</v>
      </c>
      <c r="D1615" s="510">
        <v>0</v>
      </c>
      <c r="E1615" s="510">
        <v>0</v>
      </c>
      <c r="F1615" s="510">
        <v>0</v>
      </c>
      <c r="G1615" s="510">
        <v>0</v>
      </c>
    </row>
    <row r="1616" spans="1:7" x14ac:dyDescent="0.25">
      <c r="A1616" s="509" t="s">
        <v>929</v>
      </c>
      <c r="B1616" s="509" t="s">
        <v>181</v>
      </c>
      <c r="C1616" s="510">
        <v>0</v>
      </c>
      <c r="D1616" s="510">
        <v>0</v>
      </c>
      <c r="E1616" s="510">
        <v>0</v>
      </c>
      <c r="F1616" s="510">
        <v>0</v>
      </c>
      <c r="G1616" s="510">
        <v>0</v>
      </c>
    </row>
    <row r="1617" spans="1:7" x14ac:dyDescent="0.25">
      <c r="A1617" s="509" t="s">
        <v>930</v>
      </c>
      <c r="B1617" s="509" t="s">
        <v>21</v>
      </c>
      <c r="C1617" s="510">
        <v>0</v>
      </c>
      <c r="D1617" s="510">
        <v>0</v>
      </c>
      <c r="E1617" s="510">
        <v>1607.53</v>
      </c>
      <c r="F1617" s="510">
        <v>53914.04</v>
      </c>
      <c r="G1617" s="510">
        <v>-52306.51</v>
      </c>
    </row>
    <row r="1618" spans="1:7" x14ac:dyDescent="0.25">
      <c r="A1618" s="509" t="s">
        <v>2941</v>
      </c>
      <c r="B1618" s="509" t="s">
        <v>2242</v>
      </c>
      <c r="C1618" s="510">
        <v>0</v>
      </c>
      <c r="D1618" s="510">
        <v>0</v>
      </c>
      <c r="E1618" s="510">
        <v>0</v>
      </c>
      <c r="F1618" s="510">
        <v>0</v>
      </c>
      <c r="G1618" s="510">
        <v>0</v>
      </c>
    </row>
    <row r="1619" spans="1:7" x14ac:dyDescent="0.25">
      <c r="A1619" s="509" t="s">
        <v>1140</v>
      </c>
      <c r="B1619" s="509" t="s">
        <v>1131</v>
      </c>
      <c r="C1619" s="510">
        <v>19738.22</v>
      </c>
      <c r="D1619" s="510">
        <v>0</v>
      </c>
      <c r="E1619" s="510">
        <v>0</v>
      </c>
      <c r="F1619" s="510">
        <v>9869.1200000000008</v>
      </c>
      <c r="G1619" s="510">
        <v>-9869.1200000000008</v>
      </c>
    </row>
    <row r="1620" spans="1:7" x14ac:dyDescent="0.25">
      <c r="A1620" s="509" t="s">
        <v>923</v>
      </c>
      <c r="B1620" s="509" t="s">
        <v>22</v>
      </c>
      <c r="C1620" s="510">
        <v>1933260</v>
      </c>
      <c r="D1620" s="510">
        <v>0</v>
      </c>
      <c r="E1620" s="510">
        <v>5086.43</v>
      </c>
      <c r="F1620" s="510">
        <v>892391.59</v>
      </c>
      <c r="G1620" s="510">
        <v>-887305.16</v>
      </c>
    </row>
    <row r="1621" spans="1:7" x14ac:dyDescent="0.25">
      <c r="A1621" s="509" t="s">
        <v>922</v>
      </c>
      <c r="B1621" s="509" t="s">
        <v>1135</v>
      </c>
      <c r="C1621" s="510">
        <v>0</v>
      </c>
      <c r="D1621" s="510">
        <v>0</v>
      </c>
      <c r="E1621" s="510">
        <v>0</v>
      </c>
      <c r="F1621" s="510">
        <v>0</v>
      </c>
      <c r="G1621" s="510">
        <v>0</v>
      </c>
    </row>
    <row r="1622" spans="1:7" x14ac:dyDescent="0.25">
      <c r="A1622" s="509" t="s">
        <v>2942</v>
      </c>
      <c r="B1622" s="509" t="s">
        <v>2943</v>
      </c>
      <c r="C1622" s="510">
        <v>0</v>
      </c>
      <c r="D1622" s="510">
        <v>0</v>
      </c>
      <c r="E1622" s="510">
        <v>0</v>
      </c>
      <c r="F1622" s="510">
        <v>0</v>
      </c>
      <c r="G1622" s="510">
        <v>0</v>
      </c>
    </row>
    <row r="1623" spans="1:7" x14ac:dyDescent="0.25">
      <c r="A1623" s="509" t="s">
        <v>2944</v>
      </c>
      <c r="B1623" s="509" t="s">
        <v>7</v>
      </c>
      <c r="C1623" s="510">
        <v>0</v>
      </c>
      <c r="D1623" s="510">
        <v>0</v>
      </c>
      <c r="E1623" s="510">
        <v>0</v>
      </c>
      <c r="F1623" s="510">
        <v>0</v>
      </c>
      <c r="G1623" s="510">
        <v>0</v>
      </c>
    </row>
    <row r="1624" spans="1:7" x14ac:dyDescent="0.25">
      <c r="A1624" s="509" t="s">
        <v>2945</v>
      </c>
      <c r="B1624" s="509" t="s">
        <v>2244</v>
      </c>
      <c r="C1624" s="510">
        <v>0</v>
      </c>
      <c r="D1624" s="510">
        <v>0</v>
      </c>
      <c r="E1624" s="510">
        <v>0</v>
      </c>
      <c r="F1624" s="510">
        <v>0</v>
      </c>
      <c r="G1624" s="510">
        <v>0</v>
      </c>
    </row>
    <row r="1625" spans="1:7" x14ac:dyDescent="0.25">
      <c r="A1625" s="509" t="s">
        <v>932</v>
      </c>
      <c r="B1625" s="509" t="s">
        <v>32</v>
      </c>
      <c r="C1625" s="510">
        <v>0</v>
      </c>
      <c r="D1625" s="510">
        <v>0</v>
      </c>
      <c r="E1625" s="510">
        <v>0</v>
      </c>
      <c r="F1625" s="510">
        <v>0</v>
      </c>
      <c r="G1625" s="510">
        <v>0</v>
      </c>
    </row>
    <row r="1626" spans="1:7" x14ac:dyDescent="0.25">
      <c r="A1626" s="509" t="s">
        <v>2946</v>
      </c>
      <c r="B1626" s="509" t="s">
        <v>2246</v>
      </c>
      <c r="C1626" s="510">
        <v>0</v>
      </c>
      <c r="D1626" s="510">
        <v>0</v>
      </c>
      <c r="E1626" s="510">
        <v>0</v>
      </c>
      <c r="F1626" s="510">
        <v>0</v>
      </c>
      <c r="G1626" s="510">
        <v>0</v>
      </c>
    </row>
    <row r="1627" spans="1:7" x14ac:dyDescent="0.25">
      <c r="A1627" s="509" t="s">
        <v>931</v>
      </c>
      <c r="B1627" s="509" t="s">
        <v>867</v>
      </c>
      <c r="C1627" s="510">
        <v>0</v>
      </c>
      <c r="D1627" s="510">
        <v>0</v>
      </c>
      <c r="E1627" s="510">
        <v>0</v>
      </c>
      <c r="F1627" s="510">
        <v>0</v>
      </c>
      <c r="G1627" s="510">
        <v>0</v>
      </c>
    </row>
    <row r="1628" spans="1:7" x14ac:dyDescent="0.25">
      <c r="A1628" s="509" t="s">
        <v>2947</v>
      </c>
      <c r="B1628" s="509" t="s">
        <v>2248</v>
      </c>
      <c r="C1628" s="510">
        <v>0</v>
      </c>
      <c r="D1628" s="510">
        <v>0</v>
      </c>
      <c r="E1628" s="510">
        <v>0</v>
      </c>
      <c r="F1628" s="510">
        <v>0</v>
      </c>
      <c r="G1628" s="510">
        <v>0</v>
      </c>
    </row>
    <row r="1629" spans="1:7" x14ac:dyDescent="0.25">
      <c r="A1629" s="509" t="s">
        <v>838</v>
      </c>
      <c r="B1629" s="509" t="s">
        <v>665</v>
      </c>
      <c r="C1629" s="510">
        <v>114664</v>
      </c>
      <c r="D1629" s="510">
        <v>0</v>
      </c>
      <c r="E1629" s="510">
        <v>54506.59</v>
      </c>
      <c r="F1629" s="510">
        <v>4160.1499999999996</v>
      </c>
      <c r="G1629" s="510">
        <v>50346.44</v>
      </c>
    </row>
    <row r="1630" spans="1:7" x14ac:dyDescent="0.25">
      <c r="A1630" s="509" t="s">
        <v>839</v>
      </c>
      <c r="B1630" s="509" t="s">
        <v>667</v>
      </c>
      <c r="C1630" s="510">
        <v>0</v>
      </c>
      <c r="D1630" s="510">
        <v>0</v>
      </c>
      <c r="E1630" s="510">
        <v>0</v>
      </c>
      <c r="F1630" s="510">
        <v>0</v>
      </c>
      <c r="G1630" s="510">
        <v>0</v>
      </c>
    </row>
    <row r="1631" spans="1:7" x14ac:dyDescent="0.25">
      <c r="A1631" s="509" t="s">
        <v>825</v>
      </c>
      <c r="B1631" s="509" t="s">
        <v>37</v>
      </c>
      <c r="C1631" s="510">
        <v>2021.36</v>
      </c>
      <c r="D1631" s="510">
        <v>0</v>
      </c>
      <c r="E1631" s="510">
        <v>1326.01</v>
      </c>
      <c r="F1631" s="510">
        <v>37.69</v>
      </c>
      <c r="G1631" s="510">
        <v>1288.32</v>
      </c>
    </row>
    <row r="1632" spans="1:7" x14ac:dyDescent="0.25">
      <c r="A1632" s="509" t="s">
        <v>833</v>
      </c>
      <c r="B1632" s="509" t="s">
        <v>1076</v>
      </c>
      <c r="C1632" s="510">
        <v>0</v>
      </c>
      <c r="D1632" s="510">
        <v>0</v>
      </c>
      <c r="E1632" s="510">
        <v>0</v>
      </c>
      <c r="F1632" s="510">
        <v>0</v>
      </c>
      <c r="G1632" s="510">
        <v>0</v>
      </c>
    </row>
    <row r="1633" spans="1:7" x14ac:dyDescent="0.25">
      <c r="A1633" s="509" t="s">
        <v>806</v>
      </c>
      <c r="B1633" s="509" t="s">
        <v>153</v>
      </c>
      <c r="C1633" s="510">
        <v>6630</v>
      </c>
      <c r="D1633" s="510">
        <v>0</v>
      </c>
      <c r="E1633" s="510">
        <v>2818.38</v>
      </c>
      <c r="F1633" s="510">
        <v>247.42</v>
      </c>
      <c r="G1633" s="510">
        <v>2570.96</v>
      </c>
    </row>
    <row r="1634" spans="1:7" x14ac:dyDescent="0.25">
      <c r="A1634" s="509" t="s">
        <v>819</v>
      </c>
      <c r="B1634" s="509" t="s">
        <v>154</v>
      </c>
      <c r="C1634" s="510">
        <v>1692</v>
      </c>
      <c r="D1634" s="510">
        <v>0</v>
      </c>
      <c r="E1634" s="510">
        <v>791.58</v>
      </c>
      <c r="F1634" s="510">
        <v>57.89</v>
      </c>
      <c r="G1634" s="510">
        <v>733.69</v>
      </c>
    </row>
    <row r="1635" spans="1:7" x14ac:dyDescent="0.25">
      <c r="A1635" s="509" t="s">
        <v>820</v>
      </c>
      <c r="B1635" s="509" t="s">
        <v>38</v>
      </c>
      <c r="C1635" s="510">
        <v>21831</v>
      </c>
      <c r="D1635" s="510">
        <v>0</v>
      </c>
      <c r="E1635" s="510">
        <v>9212.93</v>
      </c>
      <c r="F1635" s="510">
        <v>92.6</v>
      </c>
      <c r="G1635" s="510">
        <v>9120.33</v>
      </c>
    </row>
    <row r="1636" spans="1:7" x14ac:dyDescent="0.25">
      <c r="A1636" s="509" t="s">
        <v>802</v>
      </c>
      <c r="B1636" s="509" t="s">
        <v>77</v>
      </c>
      <c r="C1636" s="510">
        <v>1346</v>
      </c>
      <c r="D1636" s="510">
        <v>0</v>
      </c>
      <c r="E1636" s="510">
        <v>486.84</v>
      </c>
      <c r="F1636" s="510">
        <v>10.74</v>
      </c>
      <c r="G1636" s="510">
        <v>476.1</v>
      </c>
    </row>
    <row r="1637" spans="1:7" x14ac:dyDescent="0.25">
      <c r="A1637" s="509" t="s">
        <v>837</v>
      </c>
      <c r="B1637" s="509" t="s">
        <v>78</v>
      </c>
      <c r="C1637" s="510">
        <v>250</v>
      </c>
      <c r="D1637" s="510">
        <v>0</v>
      </c>
      <c r="E1637" s="510">
        <v>132.24</v>
      </c>
      <c r="F1637" s="510">
        <v>0</v>
      </c>
      <c r="G1637" s="510">
        <v>132.24</v>
      </c>
    </row>
    <row r="1638" spans="1:7" x14ac:dyDescent="0.25">
      <c r="A1638" s="509" t="s">
        <v>840</v>
      </c>
      <c r="B1638" s="509" t="s">
        <v>893</v>
      </c>
      <c r="C1638" s="510">
        <v>1201</v>
      </c>
      <c r="D1638" s="510">
        <v>0</v>
      </c>
      <c r="E1638" s="510">
        <v>461.38</v>
      </c>
      <c r="F1638" s="510">
        <v>27.07</v>
      </c>
      <c r="G1638" s="510">
        <v>434.31</v>
      </c>
    </row>
    <row r="1639" spans="1:7" x14ac:dyDescent="0.25">
      <c r="A1639" s="509" t="s">
        <v>817</v>
      </c>
      <c r="B1639" s="509" t="s">
        <v>2249</v>
      </c>
      <c r="C1639" s="510">
        <v>425</v>
      </c>
      <c r="D1639" s="510">
        <v>0</v>
      </c>
      <c r="E1639" s="510">
        <v>253.63</v>
      </c>
      <c r="F1639" s="510">
        <v>71.540000000000006</v>
      </c>
      <c r="G1639" s="510">
        <v>182.09</v>
      </c>
    </row>
    <row r="1640" spans="1:7" x14ac:dyDescent="0.25">
      <c r="A1640" s="509" t="s">
        <v>2948</v>
      </c>
      <c r="B1640" s="509" t="s">
        <v>64</v>
      </c>
      <c r="C1640" s="510">
        <v>0</v>
      </c>
      <c r="D1640" s="510">
        <v>0</v>
      </c>
      <c r="E1640" s="510">
        <v>0</v>
      </c>
      <c r="F1640" s="510">
        <v>0</v>
      </c>
      <c r="G1640" s="510">
        <v>0</v>
      </c>
    </row>
    <row r="1641" spans="1:7" x14ac:dyDescent="0.25">
      <c r="A1641" s="509" t="s">
        <v>2949</v>
      </c>
      <c r="B1641" s="509" t="s">
        <v>65</v>
      </c>
      <c r="C1641" s="510">
        <v>0</v>
      </c>
      <c r="D1641" s="510">
        <v>0</v>
      </c>
      <c r="E1641" s="510">
        <v>0</v>
      </c>
      <c r="F1641" s="510">
        <v>0</v>
      </c>
      <c r="G1641" s="510">
        <v>0</v>
      </c>
    </row>
    <row r="1642" spans="1:7" x14ac:dyDescent="0.25">
      <c r="A1642" s="509" t="s">
        <v>834</v>
      </c>
      <c r="B1642" s="509" t="s">
        <v>40</v>
      </c>
      <c r="C1642" s="510">
        <v>416</v>
      </c>
      <c r="D1642" s="510">
        <v>0</v>
      </c>
      <c r="E1642" s="510">
        <v>16.75</v>
      </c>
      <c r="F1642" s="510">
        <v>9.3800000000000008</v>
      </c>
      <c r="G1642" s="510">
        <v>7.37</v>
      </c>
    </row>
    <row r="1643" spans="1:7" x14ac:dyDescent="0.25">
      <c r="A1643" s="509" t="s">
        <v>805</v>
      </c>
      <c r="B1643" s="509" t="s">
        <v>41</v>
      </c>
      <c r="C1643" s="510">
        <v>9</v>
      </c>
      <c r="D1643" s="510">
        <v>0</v>
      </c>
      <c r="E1643" s="510">
        <v>0.35</v>
      </c>
      <c r="F1643" s="510">
        <v>0.26</v>
      </c>
      <c r="G1643" s="510">
        <v>0.09</v>
      </c>
    </row>
    <row r="1644" spans="1:7" x14ac:dyDescent="0.25">
      <c r="A1644" s="509" t="s">
        <v>797</v>
      </c>
      <c r="B1644" s="509" t="s">
        <v>155</v>
      </c>
      <c r="C1644" s="510">
        <v>792</v>
      </c>
      <c r="D1644" s="510">
        <v>0</v>
      </c>
      <c r="E1644" s="510">
        <v>330</v>
      </c>
      <c r="F1644" s="510">
        <v>55</v>
      </c>
      <c r="G1644" s="510">
        <v>275</v>
      </c>
    </row>
    <row r="1645" spans="1:7" x14ac:dyDescent="0.25">
      <c r="A1645" s="509" t="s">
        <v>803</v>
      </c>
      <c r="B1645" s="509" t="s">
        <v>42</v>
      </c>
      <c r="C1645" s="510">
        <v>368.06</v>
      </c>
      <c r="D1645" s="510">
        <v>0</v>
      </c>
      <c r="E1645" s="510">
        <v>134.59</v>
      </c>
      <c r="F1645" s="510">
        <v>7.25</v>
      </c>
      <c r="G1645" s="510">
        <v>127.34</v>
      </c>
    </row>
    <row r="1646" spans="1:7" x14ac:dyDescent="0.25">
      <c r="A1646" s="509" t="s">
        <v>795</v>
      </c>
      <c r="B1646" s="509" t="s">
        <v>2252</v>
      </c>
      <c r="C1646" s="510">
        <v>10137</v>
      </c>
      <c r="D1646" s="510">
        <v>0</v>
      </c>
      <c r="E1646" s="510">
        <v>4241.8599999999997</v>
      </c>
      <c r="F1646" s="510">
        <v>331.64</v>
      </c>
      <c r="G1646" s="510">
        <v>3910.22</v>
      </c>
    </row>
    <row r="1647" spans="1:7" x14ac:dyDescent="0.25">
      <c r="A1647" s="509" t="s">
        <v>796</v>
      </c>
      <c r="B1647" s="509" t="s">
        <v>44</v>
      </c>
      <c r="C1647" s="510">
        <v>8374</v>
      </c>
      <c r="D1647" s="510">
        <v>0</v>
      </c>
      <c r="E1647" s="510">
        <v>3519.5</v>
      </c>
      <c r="F1647" s="510">
        <v>273.61</v>
      </c>
      <c r="G1647" s="510">
        <v>3245.89</v>
      </c>
    </row>
    <row r="1648" spans="1:7" x14ac:dyDescent="0.25">
      <c r="A1648" s="509" t="s">
        <v>824</v>
      </c>
      <c r="B1648" s="509" t="s">
        <v>183</v>
      </c>
      <c r="C1648" s="510">
        <v>5830</v>
      </c>
      <c r="D1648" s="510">
        <v>0</v>
      </c>
      <c r="E1648" s="510">
        <v>0</v>
      </c>
      <c r="F1648" s="510">
        <v>0</v>
      </c>
      <c r="G1648" s="510">
        <v>0</v>
      </c>
    </row>
    <row r="1649" spans="1:7" x14ac:dyDescent="0.25">
      <c r="A1649" s="509" t="s">
        <v>2950</v>
      </c>
      <c r="B1649" s="509" t="s">
        <v>2254</v>
      </c>
      <c r="C1649" s="510">
        <v>0</v>
      </c>
      <c r="D1649" s="510">
        <v>0</v>
      </c>
      <c r="E1649" s="510">
        <v>139.87</v>
      </c>
      <c r="F1649" s="510">
        <v>10.58</v>
      </c>
      <c r="G1649" s="510">
        <v>129.29</v>
      </c>
    </row>
    <row r="1650" spans="1:7" x14ac:dyDescent="0.25">
      <c r="A1650" s="509" t="s">
        <v>2951</v>
      </c>
      <c r="B1650" s="509" t="s">
        <v>2256</v>
      </c>
      <c r="C1650" s="510">
        <v>0</v>
      </c>
      <c r="D1650" s="510">
        <v>0</v>
      </c>
      <c r="E1650" s="510">
        <v>177.97</v>
      </c>
      <c r="F1650" s="510">
        <v>13.46</v>
      </c>
      <c r="G1650" s="510">
        <v>164.51</v>
      </c>
    </row>
    <row r="1651" spans="1:7" x14ac:dyDescent="0.25">
      <c r="A1651" s="509" t="s">
        <v>1084</v>
      </c>
      <c r="B1651" s="509" t="s">
        <v>1079</v>
      </c>
      <c r="C1651" s="510">
        <v>14500.64</v>
      </c>
      <c r="D1651" s="510">
        <v>0</v>
      </c>
      <c r="E1651" s="510">
        <v>14199.33</v>
      </c>
      <c r="F1651" s="510">
        <v>0</v>
      </c>
      <c r="G1651" s="510">
        <v>14199.33</v>
      </c>
    </row>
    <row r="1652" spans="1:7" x14ac:dyDescent="0.25">
      <c r="A1652" s="509" t="s">
        <v>816</v>
      </c>
      <c r="B1652" s="509" t="s">
        <v>156</v>
      </c>
      <c r="C1652" s="510">
        <v>10450</v>
      </c>
      <c r="D1652" s="510">
        <v>0</v>
      </c>
      <c r="E1652" s="510">
        <v>5477.94</v>
      </c>
      <c r="F1652" s="510">
        <v>0</v>
      </c>
      <c r="G1652" s="510">
        <v>5477.94</v>
      </c>
    </row>
    <row r="1653" spans="1:7" x14ac:dyDescent="0.25">
      <c r="A1653" s="509" t="s">
        <v>2952</v>
      </c>
      <c r="B1653" s="509" t="s">
        <v>2258</v>
      </c>
      <c r="C1653" s="510">
        <v>0</v>
      </c>
      <c r="D1653" s="510">
        <v>0</v>
      </c>
      <c r="E1653" s="510">
        <v>0</v>
      </c>
      <c r="F1653" s="510">
        <v>0</v>
      </c>
      <c r="G1653" s="510">
        <v>0</v>
      </c>
    </row>
    <row r="1654" spans="1:7" x14ac:dyDescent="0.25">
      <c r="A1654" s="509" t="s">
        <v>2953</v>
      </c>
      <c r="B1654" s="509" t="s">
        <v>2260</v>
      </c>
      <c r="C1654" s="510">
        <v>0</v>
      </c>
      <c r="D1654" s="510">
        <v>0</v>
      </c>
      <c r="E1654" s="510">
        <v>0</v>
      </c>
      <c r="F1654" s="510">
        <v>0</v>
      </c>
      <c r="G1654" s="510">
        <v>0</v>
      </c>
    </row>
    <row r="1655" spans="1:7" x14ac:dyDescent="0.25">
      <c r="A1655" s="509" t="s">
        <v>830</v>
      </c>
      <c r="B1655" s="509" t="s">
        <v>157</v>
      </c>
      <c r="C1655" s="510">
        <v>2750</v>
      </c>
      <c r="D1655" s="510">
        <v>0</v>
      </c>
      <c r="E1655" s="510">
        <v>1476.36</v>
      </c>
      <c r="F1655" s="510">
        <v>0</v>
      </c>
      <c r="G1655" s="510">
        <v>1476.36</v>
      </c>
    </row>
    <row r="1656" spans="1:7" x14ac:dyDescent="0.25">
      <c r="A1656" s="509" t="s">
        <v>789</v>
      </c>
      <c r="B1656" s="509" t="s">
        <v>158</v>
      </c>
      <c r="C1656" s="510">
        <v>660</v>
      </c>
      <c r="D1656" s="510">
        <v>0</v>
      </c>
      <c r="E1656" s="510">
        <v>318.89999999999998</v>
      </c>
      <c r="F1656" s="510">
        <v>0</v>
      </c>
      <c r="G1656" s="510">
        <v>318.89999999999998</v>
      </c>
    </row>
    <row r="1657" spans="1:7" x14ac:dyDescent="0.25">
      <c r="A1657" s="509" t="s">
        <v>1085</v>
      </c>
      <c r="B1657" s="509" t="s">
        <v>846</v>
      </c>
      <c r="C1657" s="510">
        <v>0</v>
      </c>
      <c r="D1657" s="510">
        <v>0</v>
      </c>
      <c r="E1657" s="510">
        <v>0</v>
      </c>
      <c r="F1657" s="510">
        <v>0</v>
      </c>
      <c r="G1657" s="510">
        <v>0</v>
      </c>
    </row>
    <row r="1658" spans="1:7" x14ac:dyDescent="0.25">
      <c r="A1658" s="509" t="s">
        <v>1070</v>
      </c>
      <c r="B1658" s="509" t="s">
        <v>1073</v>
      </c>
      <c r="C1658" s="510">
        <v>0</v>
      </c>
      <c r="D1658" s="510">
        <v>0</v>
      </c>
      <c r="E1658" s="510">
        <v>0</v>
      </c>
      <c r="F1658" s="510">
        <v>0</v>
      </c>
      <c r="G1658" s="510">
        <v>0</v>
      </c>
    </row>
    <row r="1659" spans="1:7" x14ac:dyDescent="0.25">
      <c r="A1659" s="509" t="s">
        <v>2954</v>
      </c>
      <c r="B1659" s="509" t="s">
        <v>2263</v>
      </c>
      <c r="C1659" s="510">
        <v>0</v>
      </c>
      <c r="D1659" s="510">
        <v>0</v>
      </c>
      <c r="E1659" s="510">
        <v>0</v>
      </c>
      <c r="F1659" s="510">
        <v>0</v>
      </c>
      <c r="G1659" s="510">
        <v>0</v>
      </c>
    </row>
    <row r="1660" spans="1:7" x14ac:dyDescent="0.25">
      <c r="A1660" s="509" t="s">
        <v>822</v>
      </c>
      <c r="B1660" s="509" t="s">
        <v>159</v>
      </c>
      <c r="C1660" s="510">
        <v>1650</v>
      </c>
      <c r="D1660" s="510">
        <v>0</v>
      </c>
      <c r="E1660" s="510">
        <v>683.96</v>
      </c>
      <c r="F1660" s="510">
        <v>0</v>
      </c>
      <c r="G1660" s="510">
        <v>683.96</v>
      </c>
    </row>
    <row r="1661" spans="1:7" x14ac:dyDescent="0.25">
      <c r="A1661" s="509" t="s">
        <v>794</v>
      </c>
      <c r="B1661" s="509" t="s">
        <v>160</v>
      </c>
      <c r="C1661" s="510">
        <v>495</v>
      </c>
      <c r="D1661" s="510">
        <v>0</v>
      </c>
      <c r="E1661" s="510">
        <v>1781.77</v>
      </c>
      <c r="F1661" s="510">
        <v>0</v>
      </c>
      <c r="G1661" s="510">
        <v>1781.77</v>
      </c>
    </row>
    <row r="1662" spans="1:7" x14ac:dyDescent="0.25">
      <c r="A1662" s="509" t="s">
        <v>835</v>
      </c>
      <c r="B1662" s="509" t="s">
        <v>161</v>
      </c>
      <c r="C1662" s="510">
        <v>704</v>
      </c>
      <c r="D1662" s="510">
        <v>0</v>
      </c>
      <c r="E1662" s="510">
        <v>348</v>
      </c>
      <c r="F1662" s="510">
        <v>0</v>
      </c>
      <c r="G1662" s="510">
        <v>348</v>
      </c>
    </row>
    <row r="1663" spans="1:7" x14ac:dyDescent="0.25">
      <c r="A1663" s="509" t="s">
        <v>788</v>
      </c>
      <c r="B1663" s="509" t="s">
        <v>162</v>
      </c>
      <c r="C1663" s="510">
        <v>275</v>
      </c>
      <c r="D1663" s="510">
        <v>0</v>
      </c>
      <c r="E1663" s="510">
        <v>129.74</v>
      </c>
      <c r="F1663" s="510">
        <v>16.98</v>
      </c>
      <c r="G1663" s="510">
        <v>112.76</v>
      </c>
    </row>
    <row r="1664" spans="1:7" x14ac:dyDescent="0.25">
      <c r="A1664" s="509" t="s">
        <v>827</v>
      </c>
      <c r="B1664" s="509" t="s">
        <v>83</v>
      </c>
      <c r="C1664" s="510">
        <v>4950</v>
      </c>
      <c r="D1664" s="510">
        <v>0</v>
      </c>
      <c r="E1664" s="510">
        <v>2182.9899999999998</v>
      </c>
      <c r="F1664" s="510">
        <v>24.74</v>
      </c>
      <c r="G1664" s="510">
        <v>2158.25</v>
      </c>
    </row>
    <row r="1665" spans="1:7" x14ac:dyDescent="0.25">
      <c r="A1665" s="509" t="s">
        <v>831</v>
      </c>
      <c r="B1665" s="509" t="s">
        <v>163</v>
      </c>
      <c r="C1665" s="510">
        <v>2860</v>
      </c>
      <c r="D1665" s="510">
        <v>0</v>
      </c>
      <c r="E1665" s="510">
        <v>1482.95</v>
      </c>
      <c r="F1665" s="510">
        <v>0</v>
      </c>
      <c r="G1665" s="510">
        <v>1482.95</v>
      </c>
    </row>
    <row r="1666" spans="1:7" x14ac:dyDescent="0.25">
      <c r="A1666" s="509" t="s">
        <v>2955</v>
      </c>
      <c r="B1666" s="509" t="s">
        <v>2265</v>
      </c>
      <c r="C1666" s="510">
        <v>0</v>
      </c>
      <c r="D1666" s="510">
        <v>0</v>
      </c>
      <c r="E1666" s="510">
        <v>0</v>
      </c>
      <c r="F1666" s="510">
        <v>0</v>
      </c>
      <c r="G1666" s="510">
        <v>0</v>
      </c>
    </row>
    <row r="1667" spans="1:7" x14ac:dyDescent="0.25">
      <c r="A1667" s="509" t="s">
        <v>828</v>
      </c>
      <c r="B1667" s="509" t="s">
        <v>70</v>
      </c>
      <c r="C1667" s="510">
        <v>6380</v>
      </c>
      <c r="D1667" s="510">
        <v>0</v>
      </c>
      <c r="E1667" s="510">
        <v>4924.68</v>
      </c>
      <c r="F1667" s="510">
        <v>16.95</v>
      </c>
      <c r="G1667" s="510">
        <v>4907.7299999999996</v>
      </c>
    </row>
    <row r="1668" spans="1:7" x14ac:dyDescent="0.25">
      <c r="A1668" s="509" t="s">
        <v>829</v>
      </c>
      <c r="B1668" s="509" t="s">
        <v>47</v>
      </c>
      <c r="C1668" s="510">
        <v>550</v>
      </c>
      <c r="D1668" s="510">
        <v>0</v>
      </c>
      <c r="E1668" s="510">
        <v>776</v>
      </c>
      <c r="F1668" s="510">
        <v>170</v>
      </c>
      <c r="G1668" s="510">
        <v>606</v>
      </c>
    </row>
    <row r="1669" spans="1:7" x14ac:dyDescent="0.25">
      <c r="A1669" s="509" t="s">
        <v>823</v>
      </c>
      <c r="B1669" s="509" t="s">
        <v>48</v>
      </c>
      <c r="C1669" s="510">
        <v>825</v>
      </c>
      <c r="D1669" s="510">
        <v>0</v>
      </c>
      <c r="E1669" s="510">
        <v>308.35000000000002</v>
      </c>
      <c r="F1669" s="510">
        <v>180</v>
      </c>
      <c r="G1669" s="510">
        <v>128.35</v>
      </c>
    </row>
    <row r="1670" spans="1:7" x14ac:dyDescent="0.25">
      <c r="A1670" s="509" t="s">
        <v>808</v>
      </c>
      <c r="B1670" s="509" t="s">
        <v>49</v>
      </c>
      <c r="C1670" s="510">
        <v>2200</v>
      </c>
      <c r="D1670" s="510">
        <v>0</v>
      </c>
      <c r="E1670" s="510">
        <v>540.30999999999995</v>
      </c>
      <c r="F1670" s="510">
        <v>0</v>
      </c>
      <c r="G1670" s="510">
        <v>540.30999999999995</v>
      </c>
    </row>
    <row r="1671" spans="1:7" x14ac:dyDescent="0.25">
      <c r="A1671" s="509" t="s">
        <v>798</v>
      </c>
      <c r="B1671" s="509" t="s">
        <v>50</v>
      </c>
      <c r="C1671" s="510">
        <v>3080</v>
      </c>
      <c r="D1671" s="510">
        <v>0</v>
      </c>
      <c r="E1671" s="510">
        <v>951.57</v>
      </c>
      <c r="F1671" s="510">
        <v>0</v>
      </c>
      <c r="G1671" s="510">
        <v>951.57</v>
      </c>
    </row>
    <row r="1672" spans="1:7" x14ac:dyDescent="0.25">
      <c r="A1672" s="509" t="s">
        <v>1071</v>
      </c>
      <c r="B1672" s="509" t="s">
        <v>1061</v>
      </c>
      <c r="C1672" s="510">
        <v>3300</v>
      </c>
      <c r="D1672" s="510">
        <v>0</v>
      </c>
      <c r="E1672" s="510">
        <v>3869.58</v>
      </c>
      <c r="F1672" s="510">
        <v>0</v>
      </c>
      <c r="G1672" s="510">
        <v>3869.58</v>
      </c>
    </row>
    <row r="1673" spans="1:7" x14ac:dyDescent="0.25">
      <c r="A1673" s="509" t="s">
        <v>787</v>
      </c>
      <c r="B1673" s="509" t="s">
        <v>51</v>
      </c>
      <c r="C1673" s="510">
        <v>1320</v>
      </c>
      <c r="D1673" s="510">
        <v>0</v>
      </c>
      <c r="E1673" s="510">
        <v>415.46</v>
      </c>
      <c r="F1673" s="510">
        <v>0</v>
      </c>
      <c r="G1673" s="510">
        <v>415.46</v>
      </c>
    </row>
    <row r="1674" spans="1:7" x14ac:dyDescent="0.25">
      <c r="A1674" s="509" t="s">
        <v>818</v>
      </c>
      <c r="B1674" s="509" t="s">
        <v>164</v>
      </c>
      <c r="C1674" s="510">
        <v>6600</v>
      </c>
      <c r="D1674" s="510">
        <v>0</v>
      </c>
      <c r="E1674" s="510">
        <v>6518.79</v>
      </c>
      <c r="F1674" s="510">
        <v>0</v>
      </c>
      <c r="G1674" s="510">
        <v>6518.79</v>
      </c>
    </row>
    <row r="1675" spans="1:7" x14ac:dyDescent="0.25">
      <c r="A1675" s="509" t="s">
        <v>809</v>
      </c>
      <c r="B1675" s="509" t="s">
        <v>165</v>
      </c>
      <c r="C1675" s="510">
        <v>660</v>
      </c>
      <c r="D1675" s="510">
        <v>0</v>
      </c>
      <c r="E1675" s="510">
        <v>207.38</v>
      </c>
      <c r="F1675" s="510">
        <v>9.19</v>
      </c>
      <c r="G1675" s="510">
        <v>198.19</v>
      </c>
    </row>
    <row r="1676" spans="1:7" x14ac:dyDescent="0.25">
      <c r="A1676" s="509" t="s">
        <v>1072</v>
      </c>
      <c r="B1676" s="509" t="s">
        <v>1063</v>
      </c>
      <c r="C1676" s="510">
        <v>1045</v>
      </c>
      <c r="D1676" s="510">
        <v>0</v>
      </c>
      <c r="E1676" s="510">
        <v>394.9</v>
      </c>
      <c r="F1676" s="510">
        <v>0</v>
      </c>
      <c r="G1676" s="510">
        <v>394.9</v>
      </c>
    </row>
    <row r="1677" spans="1:7" x14ac:dyDescent="0.25">
      <c r="A1677" s="509" t="s">
        <v>786</v>
      </c>
      <c r="B1677" s="509" t="s">
        <v>166</v>
      </c>
      <c r="C1677" s="510">
        <v>3850</v>
      </c>
      <c r="D1677" s="510">
        <v>0</v>
      </c>
      <c r="E1677" s="510">
        <v>2818.93</v>
      </c>
      <c r="F1677" s="510">
        <v>0</v>
      </c>
      <c r="G1677" s="510">
        <v>2818.93</v>
      </c>
    </row>
    <row r="1678" spans="1:7" x14ac:dyDescent="0.25">
      <c r="A1678" s="509" t="s">
        <v>801</v>
      </c>
      <c r="B1678" s="509" t="s">
        <v>52</v>
      </c>
      <c r="C1678" s="510">
        <v>20240</v>
      </c>
      <c r="D1678" s="510">
        <v>0</v>
      </c>
      <c r="E1678" s="510">
        <v>14198.54</v>
      </c>
      <c r="F1678" s="510">
        <v>420.75</v>
      </c>
      <c r="G1678" s="510">
        <v>13777.79</v>
      </c>
    </row>
    <row r="1679" spans="1:7" x14ac:dyDescent="0.25">
      <c r="A1679" s="509" t="s">
        <v>815</v>
      </c>
      <c r="B1679" s="509" t="s">
        <v>167</v>
      </c>
      <c r="C1679" s="510">
        <v>25080</v>
      </c>
      <c r="D1679" s="510">
        <v>0</v>
      </c>
      <c r="E1679" s="510">
        <v>18725.150000000001</v>
      </c>
      <c r="F1679" s="510">
        <v>2284.84</v>
      </c>
      <c r="G1679" s="510">
        <v>16440.310000000001</v>
      </c>
    </row>
    <row r="1680" spans="1:7" x14ac:dyDescent="0.25">
      <c r="A1680" s="509" t="s">
        <v>2956</v>
      </c>
      <c r="B1680" s="509" t="s">
        <v>2269</v>
      </c>
      <c r="C1680" s="510">
        <v>0</v>
      </c>
      <c r="D1680" s="510">
        <v>0</v>
      </c>
      <c r="E1680" s="510">
        <v>0</v>
      </c>
      <c r="F1680" s="510">
        <v>0</v>
      </c>
      <c r="G1680" s="510">
        <v>0</v>
      </c>
    </row>
    <row r="1681" spans="1:7" x14ac:dyDescent="0.25">
      <c r="A1681" s="509" t="s">
        <v>800</v>
      </c>
      <c r="B1681" s="509" t="s">
        <v>1151</v>
      </c>
      <c r="C1681" s="510">
        <v>800</v>
      </c>
      <c r="D1681" s="510">
        <v>0</v>
      </c>
      <c r="E1681" s="510">
        <v>0</v>
      </c>
      <c r="F1681" s="510">
        <v>0</v>
      </c>
      <c r="G1681" s="510">
        <v>0</v>
      </c>
    </row>
    <row r="1682" spans="1:7" x14ac:dyDescent="0.25">
      <c r="A1682" s="509" t="s">
        <v>799</v>
      </c>
      <c r="B1682" s="509" t="s">
        <v>180</v>
      </c>
      <c r="C1682" s="510">
        <v>330</v>
      </c>
      <c r="D1682" s="510">
        <v>0</v>
      </c>
      <c r="E1682" s="510">
        <v>94.6</v>
      </c>
      <c r="F1682" s="510">
        <v>0</v>
      </c>
      <c r="G1682" s="510">
        <v>94.6</v>
      </c>
    </row>
    <row r="1683" spans="1:7" x14ac:dyDescent="0.25">
      <c r="A1683" s="509" t="s">
        <v>804</v>
      </c>
      <c r="B1683" s="509" t="s">
        <v>1152</v>
      </c>
      <c r="C1683" s="510">
        <v>4600</v>
      </c>
      <c r="D1683" s="510">
        <v>0</v>
      </c>
      <c r="E1683" s="510">
        <v>625.71</v>
      </c>
      <c r="F1683" s="510">
        <v>0</v>
      </c>
      <c r="G1683" s="510">
        <v>625.71</v>
      </c>
    </row>
    <row r="1684" spans="1:7" x14ac:dyDescent="0.25">
      <c r="A1684" s="509" t="s">
        <v>836</v>
      </c>
      <c r="B1684" s="509" t="s">
        <v>53</v>
      </c>
      <c r="C1684" s="510">
        <v>1450</v>
      </c>
      <c r="D1684" s="510">
        <v>0</v>
      </c>
      <c r="E1684" s="510">
        <v>101.98</v>
      </c>
      <c r="F1684" s="510">
        <v>0</v>
      </c>
      <c r="G1684" s="510">
        <v>101.98</v>
      </c>
    </row>
    <row r="1685" spans="1:7" x14ac:dyDescent="0.25">
      <c r="A1685" s="509" t="s">
        <v>832</v>
      </c>
      <c r="B1685" s="509" t="s">
        <v>71</v>
      </c>
      <c r="C1685" s="510">
        <v>550</v>
      </c>
      <c r="D1685" s="510">
        <v>0</v>
      </c>
      <c r="E1685" s="510">
        <v>140.34</v>
      </c>
      <c r="F1685" s="510">
        <v>0</v>
      </c>
      <c r="G1685" s="510">
        <v>140.34</v>
      </c>
    </row>
    <row r="1686" spans="1:7" x14ac:dyDescent="0.25">
      <c r="A1686" s="509" t="s">
        <v>821</v>
      </c>
      <c r="B1686" s="509" t="s">
        <v>54</v>
      </c>
      <c r="C1686" s="510">
        <v>3100</v>
      </c>
      <c r="D1686" s="510">
        <v>0</v>
      </c>
      <c r="E1686" s="510">
        <v>262.8</v>
      </c>
      <c r="F1686" s="510">
        <v>0</v>
      </c>
      <c r="G1686" s="510">
        <v>262.8</v>
      </c>
    </row>
    <row r="1687" spans="1:7" x14ac:dyDescent="0.25">
      <c r="A1687" s="509" t="s">
        <v>826</v>
      </c>
      <c r="B1687" s="509" t="s">
        <v>170</v>
      </c>
      <c r="C1687" s="510">
        <v>6160</v>
      </c>
      <c r="D1687" s="510">
        <v>0</v>
      </c>
      <c r="E1687" s="510">
        <v>8502.0499999999993</v>
      </c>
      <c r="F1687" s="510">
        <v>0</v>
      </c>
      <c r="G1687" s="510">
        <v>8502.0499999999993</v>
      </c>
    </row>
    <row r="1688" spans="1:7" x14ac:dyDescent="0.25">
      <c r="A1688" s="509" t="s">
        <v>791</v>
      </c>
      <c r="B1688" s="509" t="s">
        <v>171</v>
      </c>
      <c r="C1688" s="510">
        <v>6050</v>
      </c>
      <c r="D1688" s="510">
        <v>0</v>
      </c>
      <c r="E1688" s="510">
        <v>3604.72</v>
      </c>
      <c r="F1688" s="510">
        <v>22.92</v>
      </c>
      <c r="G1688" s="510">
        <v>3581.8</v>
      </c>
    </row>
    <row r="1689" spans="1:7" x14ac:dyDescent="0.25">
      <c r="A1689" s="509" t="s">
        <v>2957</v>
      </c>
      <c r="B1689" s="509" t="s">
        <v>2271</v>
      </c>
      <c r="C1689" s="510">
        <v>0</v>
      </c>
      <c r="D1689" s="510">
        <v>0</v>
      </c>
      <c r="E1689" s="510">
        <v>0</v>
      </c>
      <c r="F1689" s="510">
        <v>0</v>
      </c>
      <c r="G1689" s="510">
        <v>0</v>
      </c>
    </row>
    <row r="1690" spans="1:7" x14ac:dyDescent="0.25">
      <c r="A1690" s="509" t="s">
        <v>792</v>
      </c>
      <c r="B1690" s="509" t="s">
        <v>172</v>
      </c>
      <c r="C1690" s="510">
        <v>132</v>
      </c>
      <c r="D1690" s="510">
        <v>0</v>
      </c>
      <c r="E1690" s="510">
        <v>0</v>
      </c>
      <c r="F1690" s="510">
        <v>0</v>
      </c>
      <c r="G1690" s="510">
        <v>0</v>
      </c>
    </row>
    <row r="1691" spans="1:7" x14ac:dyDescent="0.25">
      <c r="A1691" s="509" t="s">
        <v>793</v>
      </c>
      <c r="B1691" s="509" t="s">
        <v>621</v>
      </c>
      <c r="C1691" s="510">
        <v>132</v>
      </c>
      <c r="D1691" s="510">
        <v>0</v>
      </c>
      <c r="E1691" s="510">
        <v>0</v>
      </c>
      <c r="F1691" s="510">
        <v>0</v>
      </c>
      <c r="G1691" s="510">
        <v>0</v>
      </c>
    </row>
    <row r="1692" spans="1:7" x14ac:dyDescent="0.25">
      <c r="A1692" s="509" t="s">
        <v>811</v>
      </c>
      <c r="B1692" s="509" t="s">
        <v>2272</v>
      </c>
      <c r="C1692" s="510">
        <v>110</v>
      </c>
      <c r="D1692" s="510">
        <v>0</v>
      </c>
      <c r="E1692" s="510">
        <v>13.03</v>
      </c>
      <c r="F1692" s="510">
        <v>0</v>
      </c>
      <c r="G1692" s="510">
        <v>13.03</v>
      </c>
    </row>
    <row r="1693" spans="1:7" x14ac:dyDescent="0.25">
      <c r="A1693" s="509" t="s">
        <v>785</v>
      </c>
      <c r="B1693" s="509" t="s">
        <v>612</v>
      </c>
      <c r="C1693" s="510">
        <v>36519</v>
      </c>
      <c r="D1693" s="510">
        <v>0</v>
      </c>
      <c r="E1693" s="510">
        <v>18259.5</v>
      </c>
      <c r="F1693" s="510">
        <v>3043.32</v>
      </c>
      <c r="G1693" s="510">
        <v>15216.18</v>
      </c>
    </row>
    <row r="1694" spans="1:7" x14ac:dyDescent="0.25">
      <c r="A1694" s="509" t="s">
        <v>2958</v>
      </c>
      <c r="B1694" s="509" t="s">
        <v>2731</v>
      </c>
      <c r="C1694" s="510">
        <v>0</v>
      </c>
      <c r="D1694" s="510">
        <v>0</v>
      </c>
      <c r="E1694" s="510">
        <v>0</v>
      </c>
      <c r="F1694" s="510">
        <v>0</v>
      </c>
      <c r="G1694" s="510">
        <v>0</v>
      </c>
    </row>
    <row r="1695" spans="1:7" x14ac:dyDescent="0.25">
      <c r="A1695" s="509" t="s">
        <v>2959</v>
      </c>
      <c r="B1695" s="509" t="s">
        <v>2280</v>
      </c>
      <c r="C1695" s="510">
        <v>0</v>
      </c>
      <c r="D1695" s="510">
        <v>0</v>
      </c>
      <c r="E1695" s="510">
        <v>0</v>
      </c>
      <c r="F1695" s="510">
        <v>0</v>
      </c>
      <c r="G1695" s="510">
        <v>0</v>
      </c>
    </row>
    <row r="1696" spans="1:7" x14ac:dyDescent="0.25">
      <c r="A1696" s="509" t="s">
        <v>810</v>
      </c>
      <c r="B1696" s="509" t="s">
        <v>173</v>
      </c>
      <c r="C1696" s="510">
        <v>1600</v>
      </c>
      <c r="D1696" s="510">
        <v>0</v>
      </c>
      <c r="E1696" s="510">
        <v>50.35</v>
      </c>
      <c r="F1696" s="510">
        <v>0</v>
      </c>
      <c r="G1696" s="510">
        <v>50.35</v>
      </c>
    </row>
    <row r="1697" spans="1:7" x14ac:dyDescent="0.25">
      <c r="A1697" s="509" t="s">
        <v>784</v>
      </c>
      <c r="B1697" s="509" t="s">
        <v>1075</v>
      </c>
      <c r="C1697" s="510">
        <v>377994</v>
      </c>
      <c r="D1697" s="510">
        <v>0</v>
      </c>
      <c r="E1697" s="510">
        <v>188996.88</v>
      </c>
      <c r="F1697" s="510">
        <v>32116</v>
      </c>
      <c r="G1697" s="510">
        <v>156880.88</v>
      </c>
    </row>
    <row r="1698" spans="1:7" x14ac:dyDescent="0.25">
      <c r="A1698" s="509" t="s">
        <v>814</v>
      </c>
      <c r="B1698" s="509" t="s">
        <v>174</v>
      </c>
      <c r="C1698" s="510">
        <v>0</v>
      </c>
      <c r="D1698" s="510">
        <v>0</v>
      </c>
      <c r="E1698" s="510">
        <v>0</v>
      </c>
      <c r="F1698" s="510">
        <v>0</v>
      </c>
      <c r="G1698" s="510">
        <v>0</v>
      </c>
    </row>
    <row r="1699" spans="1:7" x14ac:dyDescent="0.25">
      <c r="A1699" s="509" t="s">
        <v>813</v>
      </c>
      <c r="B1699" s="509" t="s">
        <v>185</v>
      </c>
      <c r="C1699" s="510">
        <v>5200</v>
      </c>
      <c r="D1699" s="510">
        <v>0</v>
      </c>
      <c r="E1699" s="510">
        <v>2379.96</v>
      </c>
      <c r="F1699" s="510">
        <v>0</v>
      </c>
      <c r="G1699" s="510">
        <v>2379.96</v>
      </c>
    </row>
    <row r="1700" spans="1:7" x14ac:dyDescent="0.25">
      <c r="A1700" s="509" t="s">
        <v>2960</v>
      </c>
      <c r="B1700" s="509" t="s">
        <v>55</v>
      </c>
      <c r="C1700" s="510">
        <v>0</v>
      </c>
      <c r="D1700" s="510">
        <v>0</v>
      </c>
      <c r="E1700" s="510">
        <v>0</v>
      </c>
      <c r="F1700" s="510">
        <v>0</v>
      </c>
      <c r="G1700" s="510">
        <v>0</v>
      </c>
    </row>
    <row r="1701" spans="1:7" x14ac:dyDescent="0.25">
      <c r="A1701" s="509" t="s">
        <v>1091</v>
      </c>
      <c r="B1701" s="509" t="s">
        <v>1088</v>
      </c>
      <c r="C1701" s="510">
        <v>0</v>
      </c>
      <c r="D1701" s="510">
        <v>0</v>
      </c>
      <c r="E1701" s="510">
        <v>0</v>
      </c>
      <c r="F1701" s="510">
        <v>0</v>
      </c>
      <c r="G1701" s="510">
        <v>0</v>
      </c>
    </row>
    <row r="1702" spans="1:7" x14ac:dyDescent="0.25">
      <c r="A1702" s="509" t="s">
        <v>812</v>
      </c>
      <c r="B1702" s="509" t="s">
        <v>186</v>
      </c>
      <c r="C1702" s="510">
        <v>1980</v>
      </c>
      <c r="D1702" s="510">
        <v>0</v>
      </c>
      <c r="E1702" s="510">
        <v>0</v>
      </c>
      <c r="F1702" s="510">
        <v>0</v>
      </c>
      <c r="G1702" s="510">
        <v>0</v>
      </c>
    </row>
    <row r="1703" spans="1:7" x14ac:dyDescent="0.25">
      <c r="A1703" s="509" t="s">
        <v>2961</v>
      </c>
      <c r="B1703" s="509" t="s">
        <v>2287</v>
      </c>
      <c r="C1703" s="510">
        <v>0</v>
      </c>
      <c r="D1703" s="510">
        <v>0</v>
      </c>
      <c r="E1703" s="510">
        <v>0</v>
      </c>
      <c r="F1703" s="510">
        <v>0</v>
      </c>
      <c r="G1703" s="510">
        <v>0</v>
      </c>
    </row>
    <row r="1704" spans="1:7" x14ac:dyDescent="0.25">
      <c r="A1704" s="509" t="s">
        <v>2962</v>
      </c>
      <c r="B1704" s="509" t="s">
        <v>1080</v>
      </c>
      <c r="C1704" s="510">
        <v>0</v>
      </c>
      <c r="D1704" s="510">
        <v>0</v>
      </c>
      <c r="E1704" s="510">
        <v>0</v>
      </c>
      <c r="F1704" s="510">
        <v>0</v>
      </c>
      <c r="G1704" s="510">
        <v>0</v>
      </c>
    </row>
    <row r="1705" spans="1:7" x14ac:dyDescent="0.25">
      <c r="A1705" s="509" t="s">
        <v>2963</v>
      </c>
      <c r="B1705" s="509" t="s">
        <v>2290</v>
      </c>
      <c r="C1705" s="510">
        <v>0</v>
      </c>
      <c r="D1705" s="510">
        <v>0</v>
      </c>
      <c r="E1705" s="510">
        <v>0</v>
      </c>
      <c r="F1705" s="510">
        <v>0</v>
      </c>
      <c r="G1705" s="510">
        <v>0</v>
      </c>
    </row>
    <row r="1706" spans="1:7" x14ac:dyDescent="0.25">
      <c r="A1706" s="509" t="s">
        <v>1196</v>
      </c>
      <c r="B1706" s="509" t="s">
        <v>1154</v>
      </c>
      <c r="C1706" s="510">
        <v>0</v>
      </c>
      <c r="D1706" s="510">
        <v>0</v>
      </c>
      <c r="E1706" s="510">
        <v>0</v>
      </c>
      <c r="F1706" s="510">
        <v>0</v>
      </c>
      <c r="G1706" s="510">
        <v>0</v>
      </c>
    </row>
    <row r="1707" spans="1:7" x14ac:dyDescent="0.25">
      <c r="A1707" s="509" t="s">
        <v>1197</v>
      </c>
      <c r="B1707" s="509" t="s">
        <v>1156</v>
      </c>
      <c r="C1707" s="510">
        <v>0</v>
      </c>
      <c r="D1707" s="510">
        <v>0</v>
      </c>
      <c r="E1707" s="510">
        <v>0</v>
      </c>
      <c r="F1707" s="510">
        <v>0</v>
      </c>
      <c r="G1707" s="510">
        <v>0</v>
      </c>
    </row>
    <row r="1708" spans="1:7" x14ac:dyDescent="0.25">
      <c r="A1708" s="509" t="s">
        <v>1198</v>
      </c>
      <c r="B1708" s="509" t="s">
        <v>1158</v>
      </c>
      <c r="C1708" s="510">
        <v>0</v>
      </c>
      <c r="D1708" s="510">
        <v>0</v>
      </c>
      <c r="E1708" s="510">
        <v>0</v>
      </c>
      <c r="F1708" s="510">
        <v>0</v>
      </c>
      <c r="G1708" s="510">
        <v>0</v>
      </c>
    </row>
    <row r="1709" spans="1:7" x14ac:dyDescent="0.25">
      <c r="A1709" s="509" t="s">
        <v>1199</v>
      </c>
      <c r="B1709" s="509" t="s">
        <v>1160</v>
      </c>
      <c r="C1709" s="510">
        <v>0</v>
      </c>
      <c r="D1709" s="510">
        <v>0</v>
      </c>
      <c r="E1709" s="510">
        <v>0</v>
      </c>
      <c r="F1709" s="510">
        <v>0</v>
      </c>
      <c r="G1709" s="510">
        <v>0</v>
      </c>
    </row>
    <row r="1710" spans="1:7" x14ac:dyDescent="0.25">
      <c r="A1710" s="509" t="s">
        <v>807</v>
      </c>
      <c r="B1710" s="509" t="s">
        <v>175</v>
      </c>
      <c r="C1710" s="510">
        <v>13000</v>
      </c>
      <c r="D1710" s="510">
        <v>0</v>
      </c>
      <c r="E1710" s="510">
        <v>7639.73</v>
      </c>
      <c r="F1710" s="510">
        <v>0</v>
      </c>
      <c r="G1710" s="510">
        <v>7639.73</v>
      </c>
    </row>
    <row r="1711" spans="1:7" x14ac:dyDescent="0.25">
      <c r="A1711" s="509" t="s">
        <v>790</v>
      </c>
      <c r="B1711" s="509" t="s">
        <v>178</v>
      </c>
      <c r="C1711" s="510">
        <v>110</v>
      </c>
      <c r="D1711" s="510">
        <v>0</v>
      </c>
      <c r="E1711" s="510">
        <v>0</v>
      </c>
      <c r="F1711" s="510">
        <v>0</v>
      </c>
      <c r="G1711" s="510">
        <v>0</v>
      </c>
    </row>
    <row r="1712" spans="1:7" x14ac:dyDescent="0.25">
      <c r="A1712" s="509" t="s">
        <v>339</v>
      </c>
      <c r="B1712" s="509" t="s">
        <v>76</v>
      </c>
      <c r="C1712" s="510">
        <v>187821.76</v>
      </c>
      <c r="D1712" s="510">
        <v>0</v>
      </c>
      <c r="E1712" s="510">
        <v>97535.32</v>
      </c>
      <c r="F1712" s="510">
        <v>4258.25</v>
      </c>
      <c r="G1712" s="510">
        <v>93277.07</v>
      </c>
    </row>
    <row r="1713" spans="1:7" x14ac:dyDescent="0.25">
      <c r="A1713" s="509" t="s">
        <v>1104</v>
      </c>
      <c r="B1713" s="509" t="s">
        <v>667</v>
      </c>
      <c r="C1713" s="510">
        <v>0</v>
      </c>
      <c r="D1713" s="510">
        <v>0</v>
      </c>
      <c r="E1713" s="510">
        <v>0</v>
      </c>
      <c r="F1713" s="510">
        <v>0</v>
      </c>
      <c r="G1713" s="510">
        <v>0</v>
      </c>
    </row>
    <row r="1714" spans="1:7" x14ac:dyDescent="0.25">
      <c r="A1714" s="509" t="s">
        <v>340</v>
      </c>
      <c r="B1714" s="509" t="s">
        <v>37</v>
      </c>
      <c r="C1714" s="510">
        <v>5896.32</v>
      </c>
      <c r="D1714" s="510">
        <v>0</v>
      </c>
      <c r="E1714" s="510">
        <v>817</v>
      </c>
      <c r="F1714" s="510">
        <v>0</v>
      </c>
      <c r="G1714" s="510">
        <v>817</v>
      </c>
    </row>
    <row r="1715" spans="1:7" x14ac:dyDescent="0.25">
      <c r="A1715" s="509" t="s">
        <v>341</v>
      </c>
      <c r="B1715" s="509" t="s">
        <v>1076</v>
      </c>
      <c r="C1715" s="510">
        <v>4659.2</v>
      </c>
      <c r="D1715" s="510">
        <v>0</v>
      </c>
      <c r="E1715" s="510">
        <v>3640</v>
      </c>
      <c r="F1715" s="510">
        <v>280</v>
      </c>
      <c r="G1715" s="510">
        <v>3360</v>
      </c>
    </row>
    <row r="1716" spans="1:7" x14ac:dyDescent="0.25">
      <c r="A1716" s="509" t="s">
        <v>342</v>
      </c>
      <c r="B1716" s="509" t="s">
        <v>153</v>
      </c>
      <c r="C1716" s="510">
        <v>12299.36</v>
      </c>
      <c r="D1716" s="510">
        <v>0</v>
      </c>
      <c r="E1716" s="510">
        <v>6106.42</v>
      </c>
      <c r="F1716" s="510">
        <v>248.8</v>
      </c>
      <c r="G1716" s="510">
        <v>5857.62</v>
      </c>
    </row>
    <row r="1717" spans="1:7" x14ac:dyDescent="0.25">
      <c r="A1717" s="509" t="s">
        <v>343</v>
      </c>
      <c r="B1717" s="509" t="s">
        <v>154</v>
      </c>
      <c r="C1717" s="510">
        <v>2876.48</v>
      </c>
      <c r="D1717" s="510">
        <v>0</v>
      </c>
      <c r="E1717" s="510">
        <v>1452.78</v>
      </c>
      <c r="F1717" s="510">
        <v>58.19</v>
      </c>
      <c r="G1717" s="510">
        <v>1394.59</v>
      </c>
    </row>
    <row r="1718" spans="1:7" x14ac:dyDescent="0.25">
      <c r="A1718" s="509" t="s">
        <v>344</v>
      </c>
      <c r="B1718" s="509" t="s">
        <v>38</v>
      </c>
      <c r="C1718" s="510">
        <v>54671.839999999997</v>
      </c>
      <c r="D1718" s="510">
        <v>0</v>
      </c>
      <c r="E1718" s="510">
        <v>17428.169999999998</v>
      </c>
      <c r="F1718" s="510">
        <v>0</v>
      </c>
      <c r="G1718" s="510">
        <v>17428.169999999998</v>
      </c>
    </row>
    <row r="1719" spans="1:7" x14ac:dyDescent="0.25">
      <c r="A1719" s="509" t="s">
        <v>345</v>
      </c>
      <c r="B1719" s="509" t="s">
        <v>77</v>
      </c>
      <c r="C1719" s="510">
        <v>3124.8</v>
      </c>
      <c r="D1719" s="510">
        <v>0</v>
      </c>
      <c r="E1719" s="510">
        <v>1012.14</v>
      </c>
      <c r="F1719" s="510">
        <v>0</v>
      </c>
      <c r="G1719" s="510">
        <v>1012.14</v>
      </c>
    </row>
    <row r="1720" spans="1:7" x14ac:dyDescent="0.25">
      <c r="A1720" s="509" t="s">
        <v>346</v>
      </c>
      <c r="B1720" s="509" t="s">
        <v>78</v>
      </c>
      <c r="C1720" s="510">
        <v>551.84</v>
      </c>
      <c r="D1720" s="510">
        <v>0</v>
      </c>
      <c r="E1720" s="510">
        <v>198.67</v>
      </c>
      <c r="F1720" s="510">
        <v>0</v>
      </c>
      <c r="G1720" s="510">
        <v>198.67</v>
      </c>
    </row>
    <row r="1721" spans="1:7" x14ac:dyDescent="0.25">
      <c r="A1721" s="509" t="s">
        <v>2964</v>
      </c>
      <c r="B1721" s="509" t="s">
        <v>2292</v>
      </c>
      <c r="C1721" s="510">
        <v>0</v>
      </c>
      <c r="D1721" s="510">
        <v>0</v>
      </c>
      <c r="E1721" s="510">
        <v>0</v>
      </c>
      <c r="F1721" s="510">
        <v>0</v>
      </c>
      <c r="G1721" s="510">
        <v>0</v>
      </c>
    </row>
    <row r="1722" spans="1:7" x14ac:dyDescent="0.25">
      <c r="A1722" s="509" t="s">
        <v>347</v>
      </c>
      <c r="B1722" s="509" t="s">
        <v>893</v>
      </c>
      <c r="C1722" s="510">
        <v>7659.2</v>
      </c>
      <c r="D1722" s="510">
        <v>0</v>
      </c>
      <c r="E1722" s="510">
        <v>3920.35</v>
      </c>
      <c r="F1722" s="510">
        <v>172.88</v>
      </c>
      <c r="G1722" s="510">
        <v>3747.47</v>
      </c>
    </row>
    <row r="1723" spans="1:7" x14ac:dyDescent="0.25">
      <c r="A1723" s="509" t="s">
        <v>348</v>
      </c>
      <c r="B1723" s="509" t="s">
        <v>2249</v>
      </c>
      <c r="C1723" s="510">
        <v>743.84</v>
      </c>
      <c r="D1723" s="510">
        <v>0</v>
      </c>
      <c r="E1723" s="510">
        <v>342.35</v>
      </c>
      <c r="F1723" s="510">
        <v>95.85</v>
      </c>
      <c r="G1723" s="510">
        <v>246.5</v>
      </c>
    </row>
    <row r="1724" spans="1:7" x14ac:dyDescent="0.25">
      <c r="A1724" s="509" t="s">
        <v>349</v>
      </c>
      <c r="B1724" s="509" t="s">
        <v>64</v>
      </c>
      <c r="C1724" s="510">
        <v>1088</v>
      </c>
      <c r="D1724" s="510">
        <v>0</v>
      </c>
      <c r="E1724" s="510">
        <v>362.09</v>
      </c>
      <c r="F1724" s="510">
        <v>0</v>
      </c>
      <c r="G1724" s="510">
        <v>362.09</v>
      </c>
    </row>
    <row r="1725" spans="1:7" x14ac:dyDescent="0.25">
      <c r="A1725" s="509" t="s">
        <v>350</v>
      </c>
      <c r="B1725" s="509" t="s">
        <v>65</v>
      </c>
      <c r="C1725" s="510">
        <v>544</v>
      </c>
      <c r="D1725" s="510">
        <v>0</v>
      </c>
      <c r="E1725" s="510">
        <v>95.81</v>
      </c>
      <c r="F1725" s="510">
        <v>0</v>
      </c>
      <c r="G1725" s="510">
        <v>95.81</v>
      </c>
    </row>
    <row r="1726" spans="1:7" x14ac:dyDescent="0.25">
      <c r="A1726" s="509" t="s">
        <v>351</v>
      </c>
      <c r="B1726" s="509" t="s">
        <v>40</v>
      </c>
      <c r="C1726" s="510">
        <v>841.76</v>
      </c>
      <c r="D1726" s="510">
        <v>0</v>
      </c>
      <c r="E1726" s="510">
        <v>2.63</v>
      </c>
      <c r="F1726" s="510">
        <v>0</v>
      </c>
      <c r="G1726" s="510">
        <v>2.63</v>
      </c>
    </row>
    <row r="1727" spans="1:7" x14ac:dyDescent="0.25">
      <c r="A1727" s="509" t="s">
        <v>352</v>
      </c>
      <c r="B1727" s="509" t="s">
        <v>41</v>
      </c>
      <c r="C1727" s="510">
        <v>18.72</v>
      </c>
      <c r="D1727" s="510">
        <v>0</v>
      </c>
      <c r="E1727" s="510">
        <v>0</v>
      </c>
      <c r="F1727" s="510">
        <v>0</v>
      </c>
      <c r="G1727" s="510">
        <v>0</v>
      </c>
    </row>
    <row r="1728" spans="1:7" x14ac:dyDescent="0.25">
      <c r="A1728" s="509" t="s">
        <v>353</v>
      </c>
      <c r="B1728" s="509" t="s">
        <v>42</v>
      </c>
      <c r="C1728" s="510">
        <v>584.64</v>
      </c>
      <c r="D1728" s="510">
        <v>0</v>
      </c>
      <c r="E1728" s="510">
        <v>182.1</v>
      </c>
      <c r="F1728" s="510">
        <v>9.77</v>
      </c>
      <c r="G1728" s="510">
        <v>172.33</v>
      </c>
    </row>
    <row r="1729" spans="1:7" x14ac:dyDescent="0.25">
      <c r="A1729" s="509" t="s">
        <v>354</v>
      </c>
      <c r="B1729" s="509" t="s">
        <v>2252</v>
      </c>
      <c r="C1729" s="510">
        <v>17029.439999999999</v>
      </c>
      <c r="D1729" s="510">
        <v>0</v>
      </c>
      <c r="E1729" s="510">
        <v>8442.1299999999992</v>
      </c>
      <c r="F1729" s="510">
        <v>298.98</v>
      </c>
      <c r="G1729" s="510">
        <v>8143.15</v>
      </c>
    </row>
    <row r="1730" spans="1:7" x14ac:dyDescent="0.25">
      <c r="A1730" s="509" t="s">
        <v>355</v>
      </c>
      <c r="B1730" s="509" t="s">
        <v>44</v>
      </c>
      <c r="C1730" s="510">
        <v>14067.84</v>
      </c>
      <c r="D1730" s="510">
        <v>0</v>
      </c>
      <c r="E1730" s="510">
        <v>7007.75</v>
      </c>
      <c r="F1730" s="510">
        <v>248.52</v>
      </c>
      <c r="G1730" s="510">
        <v>6759.23</v>
      </c>
    </row>
    <row r="1731" spans="1:7" x14ac:dyDescent="0.25">
      <c r="A1731" s="509" t="s">
        <v>356</v>
      </c>
      <c r="B1731" s="509" t="s">
        <v>183</v>
      </c>
      <c r="C1731" s="510">
        <v>7200</v>
      </c>
      <c r="D1731" s="510">
        <v>0</v>
      </c>
      <c r="E1731" s="510">
        <v>0</v>
      </c>
      <c r="F1731" s="510">
        <v>0</v>
      </c>
      <c r="G1731" s="510">
        <v>0</v>
      </c>
    </row>
    <row r="1732" spans="1:7" x14ac:dyDescent="0.25">
      <c r="A1732" s="509" t="s">
        <v>2965</v>
      </c>
      <c r="B1732" s="509" t="s">
        <v>2254</v>
      </c>
      <c r="C1732" s="510">
        <v>0</v>
      </c>
      <c r="D1732" s="510">
        <v>0</v>
      </c>
      <c r="E1732" s="510">
        <v>0</v>
      </c>
      <c r="F1732" s="510">
        <v>0</v>
      </c>
      <c r="G1732" s="510">
        <v>0</v>
      </c>
    </row>
    <row r="1733" spans="1:7" x14ac:dyDescent="0.25">
      <c r="A1733" s="509" t="s">
        <v>2966</v>
      </c>
      <c r="B1733" s="509" t="s">
        <v>2256</v>
      </c>
      <c r="C1733" s="510">
        <v>0</v>
      </c>
      <c r="D1733" s="510">
        <v>0</v>
      </c>
      <c r="E1733" s="510">
        <v>0</v>
      </c>
      <c r="F1733" s="510">
        <v>0</v>
      </c>
      <c r="G1733" s="510">
        <v>0</v>
      </c>
    </row>
    <row r="1734" spans="1:7" x14ac:dyDescent="0.25">
      <c r="A1734" s="509" t="s">
        <v>357</v>
      </c>
      <c r="B1734" s="509" t="s">
        <v>1161</v>
      </c>
      <c r="C1734" s="510">
        <v>187</v>
      </c>
      <c r="D1734" s="510">
        <v>0</v>
      </c>
      <c r="E1734" s="510">
        <v>0</v>
      </c>
      <c r="F1734" s="510">
        <v>0</v>
      </c>
      <c r="G1734" s="510">
        <v>0</v>
      </c>
    </row>
    <row r="1735" spans="1:7" x14ac:dyDescent="0.25">
      <c r="A1735" s="509" t="s">
        <v>358</v>
      </c>
      <c r="B1735" s="509" t="s">
        <v>48</v>
      </c>
      <c r="C1735" s="510">
        <v>110</v>
      </c>
      <c r="D1735" s="510">
        <v>0</v>
      </c>
      <c r="E1735" s="510">
        <v>0</v>
      </c>
      <c r="F1735" s="510">
        <v>0</v>
      </c>
      <c r="G1735" s="510">
        <v>0</v>
      </c>
    </row>
    <row r="1736" spans="1:7" x14ac:dyDescent="0.25">
      <c r="A1736" s="509" t="s">
        <v>359</v>
      </c>
      <c r="B1736" s="509" t="s">
        <v>50</v>
      </c>
      <c r="C1736" s="510">
        <v>0</v>
      </c>
      <c r="D1736" s="510">
        <v>0</v>
      </c>
      <c r="E1736" s="510">
        <v>0</v>
      </c>
      <c r="F1736" s="510">
        <v>0</v>
      </c>
      <c r="G1736" s="510">
        <v>0</v>
      </c>
    </row>
    <row r="1737" spans="1:7" x14ac:dyDescent="0.25">
      <c r="A1737" s="509" t="s">
        <v>1200</v>
      </c>
      <c r="B1737" s="509" t="s">
        <v>52</v>
      </c>
      <c r="C1737" s="510">
        <v>0</v>
      </c>
      <c r="D1737" s="510">
        <v>0</v>
      </c>
      <c r="E1737" s="510">
        <v>0</v>
      </c>
      <c r="F1737" s="510">
        <v>0</v>
      </c>
      <c r="G1737" s="510">
        <v>0</v>
      </c>
    </row>
    <row r="1738" spans="1:7" x14ac:dyDescent="0.25">
      <c r="A1738" s="509" t="s">
        <v>2967</v>
      </c>
      <c r="B1738" s="509" t="s">
        <v>2269</v>
      </c>
      <c r="C1738" s="510">
        <v>0</v>
      </c>
      <c r="D1738" s="510">
        <v>0</v>
      </c>
      <c r="E1738" s="510">
        <v>0</v>
      </c>
      <c r="F1738" s="510">
        <v>0</v>
      </c>
      <c r="G1738" s="510">
        <v>0</v>
      </c>
    </row>
    <row r="1739" spans="1:7" x14ac:dyDescent="0.25">
      <c r="A1739" s="509" t="s">
        <v>2968</v>
      </c>
      <c r="B1739" s="509" t="s">
        <v>1151</v>
      </c>
      <c r="C1739" s="510">
        <v>0</v>
      </c>
      <c r="D1739" s="510">
        <v>0</v>
      </c>
      <c r="E1739" s="510">
        <v>0</v>
      </c>
      <c r="F1739" s="510">
        <v>0</v>
      </c>
      <c r="G1739" s="510">
        <v>0</v>
      </c>
    </row>
    <row r="1740" spans="1:7" x14ac:dyDescent="0.25">
      <c r="A1740" s="509" t="s">
        <v>360</v>
      </c>
      <c r="B1740" s="509" t="s">
        <v>54</v>
      </c>
      <c r="C1740" s="510">
        <v>715</v>
      </c>
      <c r="D1740" s="510">
        <v>0</v>
      </c>
      <c r="E1740" s="510">
        <v>647.34</v>
      </c>
      <c r="F1740" s="510">
        <v>0</v>
      </c>
      <c r="G1740" s="510">
        <v>647.34</v>
      </c>
    </row>
    <row r="1741" spans="1:7" x14ac:dyDescent="0.25">
      <c r="A1741" s="509" t="s">
        <v>2969</v>
      </c>
      <c r="B1741" s="509" t="s">
        <v>1152</v>
      </c>
      <c r="C1741" s="510">
        <v>0</v>
      </c>
      <c r="D1741" s="510">
        <v>0</v>
      </c>
      <c r="E1741" s="510">
        <v>0</v>
      </c>
      <c r="F1741" s="510">
        <v>0</v>
      </c>
      <c r="G1741" s="510">
        <v>0</v>
      </c>
    </row>
    <row r="1742" spans="1:7" x14ac:dyDescent="0.25">
      <c r="A1742" s="509" t="s">
        <v>2970</v>
      </c>
      <c r="B1742" s="509" t="s">
        <v>53</v>
      </c>
      <c r="C1742" s="510">
        <v>0</v>
      </c>
      <c r="D1742" s="510">
        <v>0</v>
      </c>
      <c r="E1742" s="510">
        <v>0</v>
      </c>
      <c r="F1742" s="510">
        <v>0</v>
      </c>
      <c r="G1742" s="510">
        <v>0</v>
      </c>
    </row>
    <row r="1743" spans="1:7" x14ac:dyDescent="0.25">
      <c r="A1743" s="509" t="s">
        <v>361</v>
      </c>
      <c r="B1743" s="509" t="s">
        <v>71</v>
      </c>
      <c r="C1743" s="510">
        <v>1320</v>
      </c>
      <c r="D1743" s="510">
        <v>0</v>
      </c>
      <c r="E1743" s="510">
        <v>368.13</v>
      </c>
      <c r="F1743" s="510">
        <v>0</v>
      </c>
      <c r="G1743" s="510">
        <v>368.13</v>
      </c>
    </row>
    <row r="1744" spans="1:7" x14ac:dyDescent="0.25">
      <c r="A1744" s="509" t="s">
        <v>2971</v>
      </c>
      <c r="B1744" s="509" t="s">
        <v>54</v>
      </c>
      <c r="C1744" s="510">
        <v>0</v>
      </c>
      <c r="D1744" s="510">
        <v>0</v>
      </c>
      <c r="E1744" s="510">
        <v>0</v>
      </c>
      <c r="F1744" s="510">
        <v>0</v>
      </c>
      <c r="G1744" s="510">
        <v>0</v>
      </c>
    </row>
    <row r="1745" spans="1:7" x14ac:dyDescent="0.25">
      <c r="A1745" s="509" t="s">
        <v>2972</v>
      </c>
      <c r="B1745" s="509" t="s">
        <v>2301</v>
      </c>
      <c r="C1745" s="510">
        <v>0</v>
      </c>
      <c r="D1745" s="510">
        <v>0</v>
      </c>
      <c r="E1745" s="510">
        <v>0</v>
      </c>
      <c r="F1745" s="510">
        <v>0</v>
      </c>
      <c r="G1745" s="510">
        <v>0</v>
      </c>
    </row>
    <row r="1746" spans="1:7" x14ac:dyDescent="0.25">
      <c r="A1746" s="509" t="s">
        <v>362</v>
      </c>
      <c r="B1746" s="509" t="s">
        <v>80</v>
      </c>
      <c r="C1746" s="510">
        <v>550</v>
      </c>
      <c r="D1746" s="510">
        <v>0</v>
      </c>
      <c r="E1746" s="510">
        <v>361.5</v>
      </c>
      <c r="F1746" s="510">
        <v>0</v>
      </c>
      <c r="G1746" s="510">
        <v>361.5</v>
      </c>
    </row>
    <row r="1747" spans="1:7" x14ac:dyDescent="0.25">
      <c r="A1747" s="509" t="s">
        <v>363</v>
      </c>
      <c r="B1747" s="509" t="s">
        <v>1163</v>
      </c>
      <c r="C1747" s="510">
        <v>18150</v>
      </c>
      <c r="D1747" s="510">
        <v>0</v>
      </c>
      <c r="E1747" s="510">
        <v>4490.08</v>
      </c>
      <c r="F1747" s="510">
        <v>5.95</v>
      </c>
      <c r="G1747" s="510">
        <v>4484.13</v>
      </c>
    </row>
    <row r="1748" spans="1:7" x14ac:dyDescent="0.25">
      <c r="A1748" s="509" t="s">
        <v>364</v>
      </c>
      <c r="B1748" s="509" t="s">
        <v>81</v>
      </c>
      <c r="C1748" s="510">
        <v>16.5</v>
      </c>
      <c r="D1748" s="510">
        <v>0</v>
      </c>
      <c r="E1748" s="510">
        <v>0</v>
      </c>
      <c r="F1748" s="510">
        <v>0</v>
      </c>
      <c r="G1748" s="510">
        <v>0</v>
      </c>
    </row>
    <row r="1749" spans="1:7" x14ac:dyDescent="0.25">
      <c r="A1749" s="509" t="s">
        <v>365</v>
      </c>
      <c r="B1749" s="509" t="s">
        <v>82</v>
      </c>
      <c r="C1749" s="510">
        <v>1815</v>
      </c>
      <c r="D1749" s="510">
        <v>0</v>
      </c>
      <c r="E1749" s="510">
        <v>627.16999999999996</v>
      </c>
      <c r="F1749" s="510">
        <v>0</v>
      </c>
      <c r="G1749" s="510">
        <v>627.16999999999996</v>
      </c>
    </row>
    <row r="1750" spans="1:7" x14ac:dyDescent="0.25">
      <c r="A1750" s="509" t="s">
        <v>366</v>
      </c>
      <c r="B1750" s="509" t="s">
        <v>221</v>
      </c>
      <c r="C1750" s="510">
        <v>0</v>
      </c>
      <c r="D1750" s="510">
        <v>0</v>
      </c>
      <c r="E1750" s="510">
        <v>0</v>
      </c>
      <c r="F1750" s="510">
        <v>0</v>
      </c>
      <c r="G1750" s="510">
        <v>0</v>
      </c>
    </row>
    <row r="1751" spans="1:7" x14ac:dyDescent="0.25">
      <c r="A1751" s="509" t="s">
        <v>935</v>
      </c>
      <c r="B1751" s="509" t="s">
        <v>83</v>
      </c>
      <c r="C1751" s="510">
        <v>385</v>
      </c>
      <c r="D1751" s="510">
        <v>0</v>
      </c>
      <c r="E1751" s="510">
        <v>42.81</v>
      </c>
      <c r="F1751" s="510">
        <v>0</v>
      </c>
      <c r="G1751" s="510">
        <v>42.81</v>
      </c>
    </row>
    <row r="1752" spans="1:7" x14ac:dyDescent="0.25">
      <c r="A1752" s="509" t="s">
        <v>2973</v>
      </c>
      <c r="B1752" s="509" t="s">
        <v>162</v>
      </c>
      <c r="C1752" s="510">
        <v>0</v>
      </c>
      <c r="D1752" s="510">
        <v>0</v>
      </c>
      <c r="E1752" s="510">
        <v>0</v>
      </c>
      <c r="F1752" s="510">
        <v>0</v>
      </c>
      <c r="G1752" s="510">
        <v>0</v>
      </c>
    </row>
    <row r="1753" spans="1:7" x14ac:dyDescent="0.25">
      <c r="A1753" s="509" t="s">
        <v>959</v>
      </c>
      <c r="B1753" s="509" t="s">
        <v>1086</v>
      </c>
      <c r="C1753" s="510">
        <v>4400</v>
      </c>
      <c r="D1753" s="510">
        <v>0</v>
      </c>
      <c r="E1753" s="510">
        <v>417.74</v>
      </c>
      <c r="F1753" s="510">
        <v>0</v>
      </c>
      <c r="G1753" s="510">
        <v>417.74</v>
      </c>
    </row>
    <row r="1754" spans="1:7" x14ac:dyDescent="0.25">
      <c r="A1754" s="509" t="s">
        <v>367</v>
      </c>
      <c r="B1754" s="509" t="s">
        <v>85</v>
      </c>
      <c r="C1754" s="510">
        <v>4400</v>
      </c>
      <c r="D1754" s="510">
        <v>0</v>
      </c>
      <c r="E1754" s="510">
        <v>4919.6099999999997</v>
      </c>
      <c r="F1754" s="510">
        <v>0</v>
      </c>
      <c r="G1754" s="510">
        <v>4919.6099999999997</v>
      </c>
    </row>
    <row r="1755" spans="1:7" x14ac:dyDescent="0.25">
      <c r="A1755" s="509" t="s">
        <v>368</v>
      </c>
      <c r="B1755" s="509" t="s">
        <v>1170</v>
      </c>
      <c r="C1755" s="510">
        <v>4400</v>
      </c>
      <c r="D1755" s="510">
        <v>0</v>
      </c>
      <c r="E1755" s="510">
        <v>1177.6099999999999</v>
      </c>
      <c r="F1755" s="510">
        <v>0</v>
      </c>
      <c r="G1755" s="510">
        <v>1177.6099999999999</v>
      </c>
    </row>
    <row r="1756" spans="1:7" x14ac:dyDescent="0.25">
      <c r="A1756" s="509" t="s">
        <v>2974</v>
      </c>
      <c r="B1756" s="509" t="s">
        <v>2975</v>
      </c>
      <c r="C1756" s="510">
        <v>0</v>
      </c>
      <c r="D1756" s="510">
        <v>0</v>
      </c>
      <c r="E1756" s="510">
        <v>0</v>
      </c>
      <c r="F1756" s="510">
        <v>0</v>
      </c>
      <c r="G1756" s="510">
        <v>0</v>
      </c>
    </row>
    <row r="1757" spans="1:7" x14ac:dyDescent="0.25">
      <c r="A1757" s="509" t="s">
        <v>369</v>
      </c>
      <c r="B1757" s="509" t="s">
        <v>55</v>
      </c>
      <c r="C1757" s="510">
        <v>6600</v>
      </c>
      <c r="D1757" s="510">
        <v>0</v>
      </c>
      <c r="E1757" s="510">
        <v>5037.6099999999997</v>
      </c>
      <c r="F1757" s="510">
        <v>91.08</v>
      </c>
      <c r="G1757" s="510">
        <v>4946.53</v>
      </c>
    </row>
    <row r="1758" spans="1:7" x14ac:dyDescent="0.25">
      <c r="A1758" s="509" t="s">
        <v>370</v>
      </c>
      <c r="B1758" s="509" t="s">
        <v>104</v>
      </c>
      <c r="C1758" s="510">
        <v>8250</v>
      </c>
      <c r="D1758" s="510">
        <v>0</v>
      </c>
      <c r="E1758" s="510">
        <v>0</v>
      </c>
      <c r="F1758" s="510">
        <v>0</v>
      </c>
      <c r="G1758" s="510">
        <v>0</v>
      </c>
    </row>
    <row r="1759" spans="1:7" x14ac:dyDescent="0.25">
      <c r="A1759" s="509" t="s">
        <v>2976</v>
      </c>
      <c r="B1759" s="509" t="s">
        <v>2977</v>
      </c>
      <c r="C1759" s="510">
        <v>0</v>
      </c>
      <c r="D1759" s="510">
        <v>0</v>
      </c>
      <c r="E1759" s="510">
        <v>0</v>
      </c>
      <c r="F1759" s="510">
        <v>0</v>
      </c>
      <c r="G1759" s="510">
        <v>0</v>
      </c>
    </row>
    <row r="1760" spans="1:7" x14ac:dyDescent="0.25">
      <c r="A1760" s="509" t="s">
        <v>2978</v>
      </c>
      <c r="B1760" s="509" t="s">
        <v>1080</v>
      </c>
      <c r="C1760" s="510">
        <v>0</v>
      </c>
      <c r="D1760" s="510">
        <v>0</v>
      </c>
      <c r="E1760" s="510">
        <v>0</v>
      </c>
      <c r="F1760" s="510">
        <v>0</v>
      </c>
      <c r="G1760" s="510">
        <v>0</v>
      </c>
    </row>
    <row r="1761" spans="1:7" x14ac:dyDescent="0.25">
      <c r="A1761" s="509" t="s">
        <v>371</v>
      </c>
      <c r="B1761" s="509" t="s">
        <v>121</v>
      </c>
      <c r="C1761" s="510">
        <v>5500</v>
      </c>
      <c r="D1761" s="510">
        <v>0</v>
      </c>
      <c r="E1761" s="510">
        <v>324</v>
      </c>
      <c r="F1761" s="510">
        <v>2</v>
      </c>
      <c r="G1761" s="510">
        <v>322</v>
      </c>
    </row>
    <row r="1762" spans="1:7" x14ac:dyDescent="0.25">
      <c r="A1762" s="509" t="s">
        <v>372</v>
      </c>
      <c r="B1762" s="509" t="s">
        <v>122</v>
      </c>
      <c r="C1762" s="510">
        <v>2500</v>
      </c>
      <c r="D1762" s="510">
        <v>0</v>
      </c>
      <c r="E1762" s="510">
        <v>671.46</v>
      </c>
      <c r="F1762" s="510">
        <v>0</v>
      </c>
      <c r="G1762" s="510">
        <v>671.46</v>
      </c>
    </row>
    <row r="1763" spans="1:7" x14ac:dyDescent="0.25">
      <c r="A1763" s="509" t="s">
        <v>373</v>
      </c>
      <c r="B1763" s="509" t="s">
        <v>123</v>
      </c>
      <c r="C1763" s="510">
        <v>1500</v>
      </c>
      <c r="D1763" s="510">
        <v>0</v>
      </c>
      <c r="E1763" s="510">
        <v>0</v>
      </c>
      <c r="F1763" s="510">
        <v>0</v>
      </c>
      <c r="G1763" s="510">
        <v>0</v>
      </c>
    </row>
    <row r="1764" spans="1:7" x14ac:dyDescent="0.25">
      <c r="A1764" s="509" t="s">
        <v>374</v>
      </c>
      <c r="B1764" s="509" t="s">
        <v>124</v>
      </c>
      <c r="C1764" s="510">
        <v>450</v>
      </c>
      <c r="D1764" s="510">
        <v>0</v>
      </c>
      <c r="E1764" s="510">
        <v>132.85</v>
      </c>
      <c r="F1764" s="510">
        <v>0</v>
      </c>
      <c r="G1764" s="510">
        <v>132.85</v>
      </c>
    </row>
    <row r="1765" spans="1:7" x14ac:dyDescent="0.25">
      <c r="A1765" s="509" t="s">
        <v>375</v>
      </c>
      <c r="B1765" s="509" t="s">
        <v>125</v>
      </c>
      <c r="C1765" s="510">
        <v>7500</v>
      </c>
      <c r="D1765" s="510">
        <v>0</v>
      </c>
      <c r="E1765" s="510">
        <v>320</v>
      </c>
      <c r="F1765" s="510">
        <v>0</v>
      </c>
      <c r="G1765" s="510">
        <v>320</v>
      </c>
    </row>
    <row r="1766" spans="1:7" x14ac:dyDescent="0.25">
      <c r="A1766" s="509" t="s">
        <v>376</v>
      </c>
      <c r="B1766" s="509" t="s">
        <v>126</v>
      </c>
      <c r="C1766" s="510">
        <v>2750</v>
      </c>
      <c r="D1766" s="510">
        <v>0</v>
      </c>
      <c r="E1766" s="510">
        <v>1179.8699999999999</v>
      </c>
      <c r="F1766" s="510">
        <v>0</v>
      </c>
      <c r="G1766" s="510">
        <v>1179.8699999999999</v>
      </c>
    </row>
    <row r="1767" spans="1:7" x14ac:dyDescent="0.25">
      <c r="A1767" s="509" t="s">
        <v>938</v>
      </c>
      <c r="B1767" s="509" t="s">
        <v>939</v>
      </c>
      <c r="C1767" s="510">
        <v>0</v>
      </c>
      <c r="D1767" s="510">
        <v>0</v>
      </c>
      <c r="E1767" s="510">
        <v>0</v>
      </c>
      <c r="F1767" s="510">
        <v>0</v>
      </c>
      <c r="G1767" s="510">
        <v>0</v>
      </c>
    </row>
    <row r="1768" spans="1:7" x14ac:dyDescent="0.25">
      <c r="A1768" s="509" t="s">
        <v>1201</v>
      </c>
      <c r="B1768" s="509" t="s">
        <v>1202</v>
      </c>
      <c r="C1768" s="510">
        <v>0</v>
      </c>
      <c r="D1768" s="510">
        <v>0</v>
      </c>
      <c r="E1768" s="510">
        <v>0</v>
      </c>
      <c r="F1768" s="510">
        <v>0</v>
      </c>
      <c r="G1768" s="510">
        <v>0</v>
      </c>
    </row>
    <row r="1769" spans="1:7" x14ac:dyDescent="0.25">
      <c r="A1769" s="509" t="s">
        <v>1203</v>
      </c>
      <c r="B1769" s="509" t="s">
        <v>1204</v>
      </c>
      <c r="C1769" s="510">
        <v>0</v>
      </c>
      <c r="D1769" s="510">
        <v>0</v>
      </c>
      <c r="E1769" s="510">
        <v>7278.18</v>
      </c>
      <c r="F1769" s="510">
        <v>7278.18</v>
      </c>
      <c r="G1769" s="510">
        <v>0</v>
      </c>
    </row>
    <row r="1770" spans="1:7" x14ac:dyDescent="0.25">
      <c r="A1770" s="509" t="s">
        <v>1205</v>
      </c>
      <c r="B1770" s="509" t="s">
        <v>1206</v>
      </c>
      <c r="C1770" s="510">
        <v>0</v>
      </c>
      <c r="D1770" s="510">
        <v>0</v>
      </c>
      <c r="E1770" s="510">
        <v>0</v>
      </c>
      <c r="F1770" s="510">
        <v>0</v>
      </c>
      <c r="G1770" s="510">
        <v>0</v>
      </c>
    </row>
    <row r="1771" spans="1:7" x14ac:dyDescent="0.25">
      <c r="A1771" s="509" t="s">
        <v>1207</v>
      </c>
      <c r="B1771" s="509" t="s">
        <v>1208</v>
      </c>
      <c r="C1771" s="510">
        <v>0</v>
      </c>
      <c r="D1771" s="510">
        <v>0</v>
      </c>
      <c r="E1771" s="510">
        <v>0</v>
      </c>
      <c r="F1771" s="510">
        <v>0</v>
      </c>
      <c r="G1771" s="510">
        <v>0</v>
      </c>
    </row>
    <row r="1772" spans="1:7" x14ac:dyDescent="0.25">
      <c r="A1772" s="509" t="s">
        <v>1209</v>
      </c>
      <c r="B1772" s="509" t="s">
        <v>1210</v>
      </c>
      <c r="C1772" s="510">
        <v>0</v>
      </c>
      <c r="D1772" s="510">
        <v>0</v>
      </c>
      <c r="E1772" s="510">
        <v>0</v>
      </c>
      <c r="F1772" s="510">
        <v>0</v>
      </c>
      <c r="G1772" s="510">
        <v>0</v>
      </c>
    </row>
    <row r="1773" spans="1:7" x14ac:dyDescent="0.25">
      <c r="A1773" s="509" t="s">
        <v>1211</v>
      </c>
      <c r="B1773" s="509" t="s">
        <v>1212</v>
      </c>
      <c r="C1773" s="510">
        <v>0</v>
      </c>
      <c r="D1773" s="510">
        <v>0</v>
      </c>
      <c r="E1773" s="510">
        <v>0</v>
      </c>
      <c r="F1773" s="510">
        <v>0</v>
      </c>
      <c r="G1773" s="510">
        <v>0</v>
      </c>
    </row>
    <row r="1774" spans="1:7" x14ac:dyDescent="0.25">
      <c r="A1774" s="509" t="s">
        <v>377</v>
      </c>
      <c r="B1774" s="509" t="s">
        <v>127</v>
      </c>
      <c r="C1774" s="510">
        <v>0</v>
      </c>
      <c r="D1774" s="510">
        <v>0</v>
      </c>
      <c r="E1774" s="510">
        <v>0</v>
      </c>
      <c r="F1774" s="510">
        <v>0</v>
      </c>
      <c r="G1774" s="510">
        <v>0</v>
      </c>
    </row>
    <row r="1775" spans="1:7" x14ac:dyDescent="0.25">
      <c r="A1775" s="509" t="s">
        <v>378</v>
      </c>
      <c r="B1775" s="509" t="s">
        <v>128</v>
      </c>
      <c r="C1775" s="510">
        <v>500</v>
      </c>
      <c r="D1775" s="510">
        <v>0</v>
      </c>
      <c r="E1775" s="510">
        <v>241</v>
      </c>
      <c r="F1775" s="510">
        <v>0</v>
      </c>
      <c r="G1775" s="510">
        <v>241</v>
      </c>
    </row>
    <row r="1776" spans="1:7" x14ac:dyDescent="0.25">
      <c r="A1776" s="509" t="s">
        <v>379</v>
      </c>
      <c r="B1776" s="509" t="s">
        <v>129</v>
      </c>
      <c r="C1776" s="510">
        <v>2250</v>
      </c>
      <c r="D1776" s="510">
        <v>0</v>
      </c>
      <c r="E1776" s="510">
        <v>938.74</v>
      </c>
      <c r="F1776" s="510">
        <v>0</v>
      </c>
      <c r="G1776" s="510">
        <v>938.74</v>
      </c>
    </row>
    <row r="1777" spans="1:7" x14ac:dyDescent="0.25">
      <c r="A1777" s="509" t="s">
        <v>380</v>
      </c>
      <c r="B1777" s="509" t="s">
        <v>130</v>
      </c>
      <c r="C1777" s="510">
        <v>500</v>
      </c>
      <c r="D1777" s="510">
        <v>0</v>
      </c>
      <c r="E1777" s="510">
        <v>241</v>
      </c>
      <c r="F1777" s="510">
        <v>0</v>
      </c>
      <c r="G1777" s="510">
        <v>241</v>
      </c>
    </row>
    <row r="1778" spans="1:7" x14ac:dyDescent="0.25">
      <c r="A1778" s="509" t="s">
        <v>381</v>
      </c>
      <c r="B1778" s="509" t="s">
        <v>131</v>
      </c>
      <c r="C1778" s="510">
        <v>2750</v>
      </c>
      <c r="D1778" s="510">
        <v>0</v>
      </c>
      <c r="E1778" s="510">
        <v>1202.8900000000001</v>
      </c>
      <c r="F1778" s="510">
        <v>0</v>
      </c>
      <c r="G1778" s="510">
        <v>1202.8900000000001</v>
      </c>
    </row>
    <row r="1779" spans="1:7" x14ac:dyDescent="0.25">
      <c r="A1779" s="509" t="s">
        <v>382</v>
      </c>
      <c r="B1779" s="509" t="s">
        <v>132</v>
      </c>
      <c r="C1779" s="510">
        <v>500</v>
      </c>
      <c r="D1779" s="510">
        <v>0</v>
      </c>
      <c r="E1779" s="510">
        <v>241</v>
      </c>
      <c r="F1779" s="510">
        <v>0</v>
      </c>
      <c r="G1779" s="510">
        <v>241</v>
      </c>
    </row>
    <row r="1780" spans="1:7" x14ac:dyDescent="0.25">
      <c r="A1780" s="509" t="s">
        <v>383</v>
      </c>
      <c r="B1780" s="509" t="s">
        <v>133</v>
      </c>
      <c r="C1780" s="510">
        <v>4200</v>
      </c>
      <c r="D1780" s="510">
        <v>0</v>
      </c>
      <c r="E1780" s="510">
        <v>2173.9299999999998</v>
      </c>
      <c r="F1780" s="510">
        <v>0</v>
      </c>
      <c r="G1780" s="510">
        <v>2173.9299999999998</v>
      </c>
    </row>
    <row r="1781" spans="1:7" x14ac:dyDescent="0.25">
      <c r="A1781" s="509" t="s">
        <v>384</v>
      </c>
      <c r="B1781" s="509" t="s">
        <v>134</v>
      </c>
      <c r="C1781" s="510">
        <v>500</v>
      </c>
      <c r="D1781" s="510">
        <v>0</v>
      </c>
      <c r="E1781" s="510">
        <v>320</v>
      </c>
      <c r="F1781" s="510">
        <v>0</v>
      </c>
      <c r="G1781" s="510">
        <v>320</v>
      </c>
    </row>
    <row r="1782" spans="1:7" x14ac:dyDescent="0.25">
      <c r="A1782" s="509" t="s">
        <v>385</v>
      </c>
      <c r="B1782" s="509" t="s">
        <v>135</v>
      </c>
      <c r="C1782" s="510">
        <v>1850</v>
      </c>
      <c r="D1782" s="510">
        <v>0</v>
      </c>
      <c r="E1782" s="510">
        <v>923.46</v>
      </c>
      <c r="F1782" s="510">
        <v>0</v>
      </c>
      <c r="G1782" s="510">
        <v>923.46</v>
      </c>
    </row>
    <row r="1783" spans="1:7" x14ac:dyDescent="0.25">
      <c r="A1783" s="509" t="s">
        <v>386</v>
      </c>
      <c r="B1783" s="509" t="s">
        <v>136</v>
      </c>
      <c r="C1783" s="510">
        <v>5250</v>
      </c>
      <c r="D1783" s="510">
        <v>0</v>
      </c>
      <c r="E1783" s="510">
        <v>2215.13</v>
      </c>
      <c r="F1783" s="510">
        <v>0</v>
      </c>
      <c r="G1783" s="510">
        <v>2215.13</v>
      </c>
    </row>
    <row r="1784" spans="1:7" x14ac:dyDescent="0.25">
      <c r="A1784" s="509" t="s">
        <v>387</v>
      </c>
      <c r="B1784" s="509" t="s">
        <v>137</v>
      </c>
      <c r="C1784" s="510">
        <v>8750</v>
      </c>
      <c r="D1784" s="510">
        <v>0</v>
      </c>
      <c r="E1784" s="510">
        <v>3728.84</v>
      </c>
      <c r="F1784" s="510">
        <v>0</v>
      </c>
      <c r="G1784" s="510">
        <v>3728.84</v>
      </c>
    </row>
    <row r="1785" spans="1:7" x14ac:dyDescent="0.25">
      <c r="A1785" s="509" t="s">
        <v>388</v>
      </c>
      <c r="B1785" s="509" t="s">
        <v>138</v>
      </c>
      <c r="C1785" s="510">
        <v>2000</v>
      </c>
      <c r="D1785" s="510">
        <v>0</v>
      </c>
      <c r="E1785" s="510">
        <v>2004.65</v>
      </c>
      <c r="F1785" s="510">
        <v>0</v>
      </c>
      <c r="G1785" s="510">
        <v>2004.65</v>
      </c>
    </row>
    <row r="1786" spans="1:7" x14ac:dyDescent="0.25">
      <c r="A1786" s="509" t="s">
        <v>389</v>
      </c>
      <c r="B1786" s="509" t="s">
        <v>139</v>
      </c>
      <c r="C1786" s="510">
        <v>11250</v>
      </c>
      <c r="D1786" s="510">
        <v>0</v>
      </c>
      <c r="E1786" s="510">
        <v>5264.9</v>
      </c>
      <c r="F1786" s="510">
        <v>0</v>
      </c>
      <c r="G1786" s="510">
        <v>5264.9</v>
      </c>
    </row>
    <row r="1787" spans="1:7" x14ac:dyDescent="0.25">
      <c r="A1787" s="509" t="s">
        <v>1213</v>
      </c>
      <c r="B1787" s="509" t="s">
        <v>1214</v>
      </c>
      <c r="C1787" s="510">
        <v>0</v>
      </c>
      <c r="D1787" s="510">
        <v>0</v>
      </c>
      <c r="E1787" s="510">
        <v>0</v>
      </c>
      <c r="F1787" s="510">
        <v>0</v>
      </c>
      <c r="G1787" s="510">
        <v>0</v>
      </c>
    </row>
    <row r="1788" spans="1:7" x14ac:dyDescent="0.25">
      <c r="A1788" s="509" t="s">
        <v>1215</v>
      </c>
      <c r="B1788" s="509" t="s">
        <v>1216</v>
      </c>
      <c r="C1788" s="510">
        <v>0</v>
      </c>
      <c r="D1788" s="510">
        <v>0</v>
      </c>
      <c r="E1788" s="510">
        <v>0</v>
      </c>
      <c r="F1788" s="510">
        <v>0</v>
      </c>
      <c r="G1788" s="510">
        <v>0</v>
      </c>
    </row>
    <row r="1789" spans="1:7" x14ac:dyDescent="0.25">
      <c r="A1789" s="509" t="s">
        <v>390</v>
      </c>
      <c r="B1789" s="509" t="s">
        <v>140</v>
      </c>
      <c r="C1789" s="510">
        <v>5000</v>
      </c>
      <c r="D1789" s="510">
        <v>0</v>
      </c>
      <c r="E1789" s="510">
        <v>359.03</v>
      </c>
      <c r="F1789" s="510">
        <v>0</v>
      </c>
      <c r="G1789" s="510">
        <v>359.03</v>
      </c>
    </row>
    <row r="1790" spans="1:7" x14ac:dyDescent="0.25">
      <c r="A1790" s="509" t="s">
        <v>391</v>
      </c>
      <c r="B1790" s="509" t="s">
        <v>141</v>
      </c>
      <c r="C1790" s="510">
        <v>2250</v>
      </c>
      <c r="D1790" s="510">
        <v>0</v>
      </c>
      <c r="E1790" s="510">
        <v>820.11</v>
      </c>
      <c r="F1790" s="510">
        <v>0</v>
      </c>
      <c r="G1790" s="510">
        <v>820.11</v>
      </c>
    </row>
    <row r="1791" spans="1:7" x14ac:dyDescent="0.25">
      <c r="A1791" s="509" t="s">
        <v>1217</v>
      </c>
      <c r="B1791" s="509" t="s">
        <v>1218</v>
      </c>
      <c r="C1791" s="510">
        <v>0</v>
      </c>
      <c r="D1791" s="510">
        <v>0</v>
      </c>
      <c r="E1791" s="510">
        <v>0</v>
      </c>
      <c r="F1791" s="510">
        <v>0</v>
      </c>
      <c r="G1791" s="510">
        <v>0</v>
      </c>
    </row>
    <row r="1792" spans="1:7" x14ac:dyDescent="0.25">
      <c r="A1792" s="509" t="s">
        <v>1219</v>
      </c>
      <c r="B1792" s="509" t="s">
        <v>1220</v>
      </c>
      <c r="C1792" s="510">
        <v>0</v>
      </c>
      <c r="D1792" s="510">
        <v>0</v>
      </c>
      <c r="E1792" s="510">
        <v>0</v>
      </c>
      <c r="F1792" s="510">
        <v>0</v>
      </c>
      <c r="G1792" s="510">
        <v>0</v>
      </c>
    </row>
    <row r="1793" spans="1:7" x14ac:dyDescent="0.25">
      <c r="A1793" s="509" t="s">
        <v>392</v>
      </c>
      <c r="B1793" s="509" t="s">
        <v>142</v>
      </c>
      <c r="C1793" s="510">
        <v>500</v>
      </c>
      <c r="D1793" s="510">
        <v>0</v>
      </c>
      <c r="E1793" s="510">
        <v>0</v>
      </c>
      <c r="F1793" s="510">
        <v>0</v>
      </c>
      <c r="G1793" s="510">
        <v>0</v>
      </c>
    </row>
    <row r="1794" spans="1:7" x14ac:dyDescent="0.25">
      <c r="A1794" s="509" t="s">
        <v>393</v>
      </c>
      <c r="B1794" s="509" t="s">
        <v>143</v>
      </c>
      <c r="C1794" s="510">
        <v>275</v>
      </c>
      <c r="D1794" s="510">
        <v>0</v>
      </c>
      <c r="E1794" s="510">
        <v>73.78</v>
      </c>
      <c r="F1794" s="510">
        <v>0</v>
      </c>
      <c r="G1794" s="510">
        <v>73.78</v>
      </c>
    </row>
    <row r="1795" spans="1:7" x14ac:dyDescent="0.25">
      <c r="A1795" s="509" t="s">
        <v>394</v>
      </c>
      <c r="B1795" s="509" t="s">
        <v>144</v>
      </c>
      <c r="C1795" s="510">
        <v>2000</v>
      </c>
      <c r="D1795" s="510">
        <v>0</v>
      </c>
      <c r="E1795" s="510">
        <v>1197</v>
      </c>
      <c r="F1795" s="510">
        <v>0</v>
      </c>
      <c r="G1795" s="510">
        <v>1197</v>
      </c>
    </row>
    <row r="1796" spans="1:7" x14ac:dyDescent="0.25">
      <c r="A1796" s="509" t="s">
        <v>395</v>
      </c>
      <c r="B1796" s="509" t="s">
        <v>145</v>
      </c>
      <c r="C1796" s="510">
        <v>10000</v>
      </c>
      <c r="D1796" s="510">
        <v>0</v>
      </c>
      <c r="E1796" s="510">
        <v>6331.38</v>
      </c>
      <c r="F1796" s="510">
        <v>0</v>
      </c>
      <c r="G1796" s="510">
        <v>6331.38</v>
      </c>
    </row>
    <row r="1797" spans="1:7" x14ac:dyDescent="0.25">
      <c r="A1797" s="509" t="s">
        <v>396</v>
      </c>
      <c r="B1797" s="509" t="s">
        <v>146</v>
      </c>
      <c r="C1797" s="510">
        <v>1000</v>
      </c>
      <c r="D1797" s="510">
        <v>0</v>
      </c>
      <c r="E1797" s="510">
        <v>488.12</v>
      </c>
      <c r="F1797" s="510">
        <v>0</v>
      </c>
      <c r="G1797" s="510">
        <v>488.12</v>
      </c>
    </row>
    <row r="1798" spans="1:7" x14ac:dyDescent="0.25">
      <c r="A1798" s="509" t="s">
        <v>397</v>
      </c>
      <c r="B1798" s="509" t="s">
        <v>147</v>
      </c>
      <c r="C1798" s="510">
        <v>1450</v>
      </c>
      <c r="D1798" s="510">
        <v>0</v>
      </c>
      <c r="E1798" s="510">
        <v>406.23</v>
      </c>
      <c r="F1798" s="510">
        <v>0</v>
      </c>
      <c r="G1798" s="510">
        <v>406.23</v>
      </c>
    </row>
    <row r="1799" spans="1:7" x14ac:dyDescent="0.25">
      <c r="A1799" s="509" t="s">
        <v>1221</v>
      </c>
      <c r="B1799" s="509" t="s">
        <v>1222</v>
      </c>
      <c r="C1799" s="510">
        <v>0</v>
      </c>
      <c r="D1799" s="510">
        <v>0</v>
      </c>
      <c r="E1799" s="510">
        <v>0</v>
      </c>
      <c r="F1799" s="510">
        <v>0</v>
      </c>
      <c r="G1799" s="510">
        <v>0</v>
      </c>
    </row>
    <row r="1800" spans="1:7" x14ac:dyDescent="0.25">
      <c r="A1800" s="509" t="s">
        <v>1223</v>
      </c>
      <c r="B1800" s="509" t="s">
        <v>1224</v>
      </c>
      <c r="C1800" s="510">
        <v>0</v>
      </c>
      <c r="D1800" s="510">
        <v>0</v>
      </c>
      <c r="E1800" s="510">
        <v>0</v>
      </c>
      <c r="F1800" s="510">
        <v>0</v>
      </c>
      <c r="G1800" s="510">
        <v>0</v>
      </c>
    </row>
    <row r="1801" spans="1:7" x14ac:dyDescent="0.25">
      <c r="A1801" s="509" t="s">
        <v>1225</v>
      </c>
      <c r="B1801" s="509" t="s">
        <v>1226</v>
      </c>
      <c r="C1801" s="510">
        <v>0</v>
      </c>
      <c r="D1801" s="510">
        <v>0</v>
      </c>
      <c r="E1801" s="510">
        <v>0</v>
      </c>
      <c r="F1801" s="510">
        <v>0</v>
      </c>
      <c r="G1801" s="510">
        <v>0</v>
      </c>
    </row>
    <row r="1802" spans="1:7" x14ac:dyDescent="0.25">
      <c r="A1802" s="509" t="s">
        <v>1227</v>
      </c>
      <c r="B1802" s="509" t="s">
        <v>1228</v>
      </c>
      <c r="C1802" s="510">
        <v>0</v>
      </c>
      <c r="D1802" s="510">
        <v>0</v>
      </c>
      <c r="E1802" s="510">
        <v>0</v>
      </c>
      <c r="F1802" s="510">
        <v>0</v>
      </c>
      <c r="G1802" s="510">
        <v>0</v>
      </c>
    </row>
    <row r="1803" spans="1:7" x14ac:dyDescent="0.25">
      <c r="A1803" s="509" t="s">
        <v>1229</v>
      </c>
      <c r="B1803" s="509" t="s">
        <v>1230</v>
      </c>
      <c r="C1803" s="510">
        <v>0</v>
      </c>
      <c r="D1803" s="510">
        <v>0</v>
      </c>
      <c r="E1803" s="510">
        <v>0</v>
      </c>
      <c r="F1803" s="510">
        <v>0</v>
      </c>
      <c r="G1803" s="510">
        <v>0</v>
      </c>
    </row>
    <row r="1804" spans="1:7" x14ac:dyDescent="0.25">
      <c r="A1804" s="509" t="s">
        <v>1231</v>
      </c>
      <c r="B1804" s="509" t="s">
        <v>1232</v>
      </c>
      <c r="C1804" s="510">
        <v>0</v>
      </c>
      <c r="D1804" s="510">
        <v>0</v>
      </c>
      <c r="E1804" s="510">
        <v>0</v>
      </c>
      <c r="F1804" s="510">
        <v>0</v>
      </c>
      <c r="G1804" s="510">
        <v>0</v>
      </c>
    </row>
    <row r="1805" spans="1:7" x14ac:dyDescent="0.25">
      <c r="A1805" s="509" t="s">
        <v>398</v>
      </c>
      <c r="B1805" s="509" t="s">
        <v>148</v>
      </c>
      <c r="C1805" s="510">
        <v>500</v>
      </c>
      <c r="D1805" s="510">
        <v>0</v>
      </c>
      <c r="E1805" s="510">
        <v>0</v>
      </c>
      <c r="F1805" s="510">
        <v>0</v>
      </c>
      <c r="G1805" s="510">
        <v>0</v>
      </c>
    </row>
    <row r="1806" spans="1:7" x14ac:dyDescent="0.25">
      <c r="A1806" s="509" t="s">
        <v>399</v>
      </c>
      <c r="B1806" s="509" t="s">
        <v>149</v>
      </c>
      <c r="C1806" s="510">
        <v>1650</v>
      </c>
      <c r="D1806" s="510">
        <v>0</v>
      </c>
      <c r="E1806" s="510">
        <v>650.97</v>
      </c>
      <c r="F1806" s="510">
        <v>0</v>
      </c>
      <c r="G1806" s="510">
        <v>650.97</v>
      </c>
    </row>
    <row r="1807" spans="1:7" x14ac:dyDescent="0.25">
      <c r="A1807" s="509" t="s">
        <v>400</v>
      </c>
      <c r="B1807" s="509" t="s">
        <v>936</v>
      </c>
      <c r="C1807" s="510">
        <v>15500</v>
      </c>
      <c r="D1807" s="510">
        <v>0</v>
      </c>
      <c r="E1807" s="510">
        <v>7294.52</v>
      </c>
      <c r="F1807" s="510">
        <v>0</v>
      </c>
      <c r="G1807" s="510">
        <v>7294.52</v>
      </c>
    </row>
    <row r="1808" spans="1:7" x14ac:dyDescent="0.25">
      <c r="A1808" s="509" t="s">
        <v>401</v>
      </c>
      <c r="B1808" s="509" t="s">
        <v>937</v>
      </c>
      <c r="C1808" s="510">
        <v>950</v>
      </c>
      <c r="D1808" s="510">
        <v>0</v>
      </c>
      <c r="E1808" s="510">
        <v>527.55999999999995</v>
      </c>
      <c r="F1808" s="510">
        <v>0</v>
      </c>
      <c r="G1808" s="510">
        <v>527.55999999999995</v>
      </c>
    </row>
    <row r="1809" spans="1:7" x14ac:dyDescent="0.25">
      <c r="A1809" s="509" t="s">
        <v>960</v>
      </c>
      <c r="B1809" s="509" t="s">
        <v>954</v>
      </c>
      <c r="C1809" s="510">
        <v>500</v>
      </c>
      <c r="D1809" s="510">
        <v>0</v>
      </c>
      <c r="E1809" s="510">
        <v>0</v>
      </c>
      <c r="F1809" s="510">
        <v>0</v>
      </c>
      <c r="G1809" s="510">
        <v>0</v>
      </c>
    </row>
    <row r="1810" spans="1:7" x14ac:dyDescent="0.25">
      <c r="A1810" s="509" t="s">
        <v>961</v>
      </c>
      <c r="B1810" s="509" t="s">
        <v>955</v>
      </c>
      <c r="C1810" s="510">
        <v>750</v>
      </c>
      <c r="D1810" s="510">
        <v>0</v>
      </c>
      <c r="E1810" s="510">
        <v>0</v>
      </c>
      <c r="F1810" s="510">
        <v>0</v>
      </c>
      <c r="G1810" s="510">
        <v>0</v>
      </c>
    </row>
    <row r="1811" spans="1:7" x14ac:dyDescent="0.25">
      <c r="A1811" s="509" t="s">
        <v>608</v>
      </c>
      <c r="B1811" s="509" t="s">
        <v>150</v>
      </c>
      <c r="C1811" s="510">
        <v>68283</v>
      </c>
      <c r="D1811" s="510">
        <v>0</v>
      </c>
      <c r="E1811" s="510">
        <v>27143.54</v>
      </c>
      <c r="F1811" s="510">
        <v>1956.22</v>
      </c>
      <c r="G1811" s="510">
        <v>25187.32</v>
      </c>
    </row>
    <row r="1812" spans="1:7" x14ac:dyDescent="0.25">
      <c r="A1812" s="509" t="s">
        <v>609</v>
      </c>
      <c r="B1812" s="509" t="s">
        <v>667</v>
      </c>
      <c r="C1812" s="510">
        <v>-39967.4</v>
      </c>
      <c r="D1812" s="510">
        <v>0</v>
      </c>
      <c r="E1812" s="510">
        <v>0</v>
      </c>
      <c r="F1812" s="510">
        <v>5322.85</v>
      </c>
      <c r="G1812" s="510">
        <v>-5322.85</v>
      </c>
    </row>
    <row r="1813" spans="1:7" x14ac:dyDescent="0.25">
      <c r="A1813" s="509" t="s">
        <v>603</v>
      </c>
      <c r="B1813" s="509" t="s">
        <v>37</v>
      </c>
      <c r="C1813" s="510">
        <v>349</v>
      </c>
      <c r="D1813" s="510">
        <v>0</v>
      </c>
      <c r="E1813" s="510">
        <v>0</v>
      </c>
      <c r="F1813" s="510">
        <v>0</v>
      </c>
      <c r="G1813" s="510">
        <v>0</v>
      </c>
    </row>
    <row r="1814" spans="1:7" x14ac:dyDescent="0.25">
      <c r="A1814" s="509" t="s">
        <v>597</v>
      </c>
      <c r="B1814" s="509" t="s">
        <v>153</v>
      </c>
      <c r="C1814" s="510">
        <v>3881</v>
      </c>
      <c r="D1814" s="510">
        <v>0</v>
      </c>
      <c r="E1814" s="510">
        <v>1423.51</v>
      </c>
      <c r="F1814" s="510">
        <v>113.08</v>
      </c>
      <c r="G1814" s="510">
        <v>1310.43</v>
      </c>
    </row>
    <row r="1815" spans="1:7" x14ac:dyDescent="0.25">
      <c r="A1815" s="509" t="s">
        <v>596</v>
      </c>
      <c r="B1815" s="509" t="s">
        <v>154</v>
      </c>
      <c r="C1815" s="510">
        <v>995</v>
      </c>
      <c r="D1815" s="510">
        <v>0</v>
      </c>
      <c r="E1815" s="510">
        <v>386.09</v>
      </c>
      <c r="F1815" s="510">
        <v>26.46</v>
      </c>
      <c r="G1815" s="510">
        <v>359.63</v>
      </c>
    </row>
    <row r="1816" spans="1:7" x14ac:dyDescent="0.25">
      <c r="A1816" s="509" t="s">
        <v>599</v>
      </c>
      <c r="B1816" s="509" t="s">
        <v>38</v>
      </c>
      <c r="C1816" s="510">
        <v>13244</v>
      </c>
      <c r="D1816" s="510">
        <v>0</v>
      </c>
      <c r="E1816" s="510">
        <v>5256.23</v>
      </c>
      <c r="F1816" s="510">
        <v>0</v>
      </c>
      <c r="G1816" s="510">
        <v>5256.23</v>
      </c>
    </row>
    <row r="1817" spans="1:7" x14ac:dyDescent="0.25">
      <c r="A1817" s="509" t="s">
        <v>591</v>
      </c>
      <c r="B1817" s="509" t="s">
        <v>77</v>
      </c>
      <c r="C1817" s="510">
        <v>800.25</v>
      </c>
      <c r="D1817" s="510">
        <v>0</v>
      </c>
      <c r="E1817" s="510">
        <v>308.43</v>
      </c>
      <c r="F1817" s="510">
        <v>0</v>
      </c>
      <c r="G1817" s="510">
        <v>308.43</v>
      </c>
    </row>
    <row r="1818" spans="1:7" x14ac:dyDescent="0.25">
      <c r="A1818" s="509" t="s">
        <v>607</v>
      </c>
      <c r="B1818" s="509" t="s">
        <v>78</v>
      </c>
      <c r="C1818" s="510">
        <v>131</v>
      </c>
      <c r="D1818" s="510">
        <v>0</v>
      </c>
      <c r="E1818" s="510">
        <v>58.75</v>
      </c>
      <c r="F1818" s="510">
        <v>0</v>
      </c>
      <c r="G1818" s="510">
        <v>58.75</v>
      </c>
    </row>
    <row r="1819" spans="1:7" x14ac:dyDescent="0.25">
      <c r="A1819" s="509" t="s">
        <v>2979</v>
      </c>
      <c r="B1819" s="509" t="s">
        <v>2292</v>
      </c>
      <c r="C1819" s="510">
        <v>0</v>
      </c>
      <c r="D1819" s="510">
        <v>0</v>
      </c>
      <c r="E1819" s="510">
        <v>0</v>
      </c>
      <c r="F1819" s="510">
        <v>0</v>
      </c>
      <c r="G1819" s="510">
        <v>0</v>
      </c>
    </row>
    <row r="1820" spans="1:7" x14ac:dyDescent="0.25">
      <c r="A1820" s="509" t="s">
        <v>610</v>
      </c>
      <c r="B1820" s="509" t="s">
        <v>893</v>
      </c>
      <c r="C1820" s="510">
        <v>647.79</v>
      </c>
      <c r="D1820" s="510">
        <v>0</v>
      </c>
      <c r="E1820" s="510">
        <v>265.13</v>
      </c>
      <c r="F1820" s="510">
        <v>14.66</v>
      </c>
      <c r="G1820" s="510">
        <v>250.47</v>
      </c>
    </row>
    <row r="1821" spans="1:7" x14ac:dyDescent="0.25">
      <c r="A1821" s="509" t="s">
        <v>598</v>
      </c>
      <c r="B1821" s="509" t="s">
        <v>2249</v>
      </c>
      <c r="C1821" s="510">
        <v>255</v>
      </c>
      <c r="D1821" s="510">
        <v>0</v>
      </c>
      <c r="E1821" s="510">
        <v>186.52</v>
      </c>
      <c r="F1821" s="510">
        <v>57</v>
      </c>
      <c r="G1821" s="510">
        <v>129.52000000000001</v>
      </c>
    </row>
    <row r="1822" spans="1:7" x14ac:dyDescent="0.25">
      <c r="A1822" s="509" t="s">
        <v>606</v>
      </c>
      <c r="B1822" s="509" t="s">
        <v>64</v>
      </c>
      <c r="C1822" s="510">
        <v>0</v>
      </c>
      <c r="D1822" s="510">
        <v>0</v>
      </c>
      <c r="E1822" s="510">
        <v>0</v>
      </c>
      <c r="F1822" s="510">
        <v>0</v>
      </c>
      <c r="G1822" s="510">
        <v>0</v>
      </c>
    </row>
    <row r="1823" spans="1:7" x14ac:dyDescent="0.25">
      <c r="A1823" s="509" t="s">
        <v>588</v>
      </c>
      <c r="B1823" s="509" t="s">
        <v>65</v>
      </c>
      <c r="C1823" s="510">
        <v>88</v>
      </c>
      <c r="D1823" s="510">
        <v>0</v>
      </c>
      <c r="E1823" s="510">
        <v>15.08</v>
      </c>
      <c r="F1823" s="510">
        <v>0</v>
      </c>
      <c r="G1823" s="510">
        <v>15.08</v>
      </c>
    </row>
    <row r="1824" spans="1:7" x14ac:dyDescent="0.25">
      <c r="A1824" s="509" t="s">
        <v>605</v>
      </c>
      <c r="B1824" s="509" t="s">
        <v>40</v>
      </c>
      <c r="C1824" s="510">
        <v>243</v>
      </c>
      <c r="D1824" s="510">
        <v>0</v>
      </c>
      <c r="E1824" s="510">
        <v>39.26</v>
      </c>
      <c r="F1824" s="510">
        <v>1.6</v>
      </c>
      <c r="G1824" s="510">
        <v>37.659999999999997</v>
      </c>
    </row>
    <row r="1825" spans="1:7" x14ac:dyDescent="0.25">
      <c r="A1825" s="509" t="s">
        <v>595</v>
      </c>
      <c r="B1825" s="509" t="s">
        <v>41</v>
      </c>
      <c r="C1825" s="510">
        <v>5.39</v>
      </c>
      <c r="D1825" s="510">
        <v>0</v>
      </c>
      <c r="E1825" s="510">
        <v>0.92</v>
      </c>
      <c r="F1825" s="510">
        <v>0.04</v>
      </c>
      <c r="G1825" s="510">
        <v>0.88</v>
      </c>
    </row>
    <row r="1826" spans="1:7" x14ac:dyDescent="0.25">
      <c r="A1826" s="509" t="s">
        <v>592</v>
      </c>
      <c r="B1826" s="509" t="s">
        <v>42</v>
      </c>
      <c r="C1826" s="510">
        <v>208</v>
      </c>
      <c r="D1826" s="510">
        <v>0</v>
      </c>
      <c r="E1826" s="510">
        <v>102.09</v>
      </c>
      <c r="F1826" s="510">
        <v>6.53</v>
      </c>
      <c r="G1826" s="510">
        <v>95.56</v>
      </c>
    </row>
    <row r="1827" spans="1:7" x14ac:dyDescent="0.25">
      <c r="A1827" s="509" t="s">
        <v>589</v>
      </c>
      <c r="B1827" s="509" t="s">
        <v>2252</v>
      </c>
      <c r="C1827" s="510">
        <v>6057</v>
      </c>
      <c r="D1827" s="510">
        <v>0</v>
      </c>
      <c r="E1827" s="510">
        <v>2141.83</v>
      </c>
      <c r="F1827" s="510">
        <v>165.06</v>
      </c>
      <c r="G1827" s="510">
        <v>1976.77</v>
      </c>
    </row>
    <row r="1828" spans="1:7" x14ac:dyDescent="0.25">
      <c r="A1828" s="509" t="s">
        <v>590</v>
      </c>
      <c r="B1828" s="509" t="s">
        <v>44</v>
      </c>
      <c r="C1828" s="510">
        <v>5004</v>
      </c>
      <c r="D1828" s="510">
        <v>0</v>
      </c>
      <c r="E1828" s="510">
        <v>1776.21</v>
      </c>
      <c r="F1828" s="510">
        <v>136.09</v>
      </c>
      <c r="G1828" s="510">
        <v>1640.12</v>
      </c>
    </row>
    <row r="1829" spans="1:7" x14ac:dyDescent="0.25">
      <c r="A1829" s="509" t="s">
        <v>602</v>
      </c>
      <c r="B1829" s="509" t="s">
        <v>183</v>
      </c>
      <c r="C1829" s="510">
        <v>2981</v>
      </c>
      <c r="D1829" s="510">
        <v>0</v>
      </c>
      <c r="E1829" s="510">
        <v>0</v>
      </c>
      <c r="F1829" s="510">
        <v>0</v>
      </c>
      <c r="G1829" s="510">
        <v>0</v>
      </c>
    </row>
    <row r="1830" spans="1:7" x14ac:dyDescent="0.25">
      <c r="A1830" s="509" t="s">
        <v>2980</v>
      </c>
      <c r="B1830" s="509" t="s">
        <v>2254</v>
      </c>
      <c r="C1830" s="510">
        <v>0</v>
      </c>
      <c r="D1830" s="510">
        <v>0</v>
      </c>
      <c r="E1830" s="510">
        <v>130.49</v>
      </c>
      <c r="F1830" s="510">
        <v>0</v>
      </c>
      <c r="G1830" s="510">
        <v>130.49</v>
      </c>
    </row>
    <row r="1831" spans="1:7" x14ac:dyDescent="0.25">
      <c r="A1831" s="509" t="s">
        <v>2981</v>
      </c>
      <c r="B1831" s="509" t="s">
        <v>2256</v>
      </c>
      <c r="C1831" s="510">
        <v>0</v>
      </c>
      <c r="D1831" s="510">
        <v>0</v>
      </c>
      <c r="E1831" s="510">
        <v>166.08</v>
      </c>
      <c r="F1831" s="510">
        <v>0</v>
      </c>
      <c r="G1831" s="510">
        <v>166.08</v>
      </c>
    </row>
    <row r="1832" spans="1:7" x14ac:dyDescent="0.25">
      <c r="A1832" s="509" t="s">
        <v>2982</v>
      </c>
      <c r="B1832" s="509" t="s">
        <v>1161</v>
      </c>
      <c r="C1832" s="510">
        <v>44</v>
      </c>
      <c r="D1832" s="510">
        <v>0</v>
      </c>
      <c r="E1832" s="510">
        <v>0</v>
      </c>
      <c r="F1832" s="510">
        <v>0</v>
      </c>
      <c r="G1832" s="510">
        <v>0</v>
      </c>
    </row>
    <row r="1833" spans="1:7" x14ac:dyDescent="0.25">
      <c r="A1833" s="509" t="s">
        <v>604</v>
      </c>
      <c r="B1833" s="509" t="s">
        <v>70</v>
      </c>
      <c r="C1833" s="510">
        <v>0</v>
      </c>
      <c r="D1833" s="510">
        <v>0</v>
      </c>
      <c r="E1833" s="510">
        <v>0</v>
      </c>
      <c r="F1833" s="510">
        <v>0</v>
      </c>
      <c r="G1833" s="510">
        <v>0</v>
      </c>
    </row>
    <row r="1834" spans="1:7" x14ac:dyDescent="0.25">
      <c r="A1834" s="509" t="s">
        <v>2983</v>
      </c>
      <c r="B1834" s="509" t="s">
        <v>47</v>
      </c>
      <c r="C1834" s="510">
        <v>0</v>
      </c>
      <c r="D1834" s="510">
        <v>0</v>
      </c>
      <c r="E1834" s="510">
        <v>0</v>
      </c>
      <c r="F1834" s="510">
        <v>0</v>
      </c>
      <c r="G1834" s="510">
        <v>0</v>
      </c>
    </row>
    <row r="1835" spans="1:7" x14ac:dyDescent="0.25">
      <c r="A1835" s="509" t="s">
        <v>601</v>
      </c>
      <c r="B1835" s="509" t="s">
        <v>48</v>
      </c>
      <c r="C1835" s="510">
        <v>0</v>
      </c>
      <c r="D1835" s="510">
        <v>0</v>
      </c>
      <c r="E1835" s="510">
        <v>0</v>
      </c>
      <c r="F1835" s="510">
        <v>0</v>
      </c>
      <c r="G1835" s="510">
        <v>0</v>
      </c>
    </row>
    <row r="1836" spans="1:7" x14ac:dyDescent="0.25">
      <c r="A1836" s="509" t="s">
        <v>2984</v>
      </c>
      <c r="B1836" s="509" t="s">
        <v>49</v>
      </c>
      <c r="C1836" s="510">
        <v>0</v>
      </c>
      <c r="D1836" s="510">
        <v>0</v>
      </c>
      <c r="E1836" s="510">
        <v>0</v>
      </c>
      <c r="F1836" s="510">
        <v>0</v>
      </c>
      <c r="G1836" s="510">
        <v>0</v>
      </c>
    </row>
    <row r="1837" spans="1:7" x14ac:dyDescent="0.25">
      <c r="A1837" s="509" t="s">
        <v>2985</v>
      </c>
      <c r="B1837" s="509" t="s">
        <v>50</v>
      </c>
      <c r="C1837" s="510">
        <v>0</v>
      </c>
      <c r="D1837" s="510">
        <v>0</v>
      </c>
      <c r="E1837" s="510">
        <v>0</v>
      </c>
      <c r="F1837" s="510">
        <v>0</v>
      </c>
      <c r="G1837" s="510">
        <v>0</v>
      </c>
    </row>
    <row r="1838" spans="1:7" x14ac:dyDescent="0.25">
      <c r="A1838" s="509" t="s">
        <v>2986</v>
      </c>
      <c r="B1838" s="509" t="s">
        <v>51</v>
      </c>
      <c r="C1838" s="510">
        <v>0</v>
      </c>
      <c r="D1838" s="510">
        <v>0</v>
      </c>
      <c r="E1838" s="510">
        <v>0</v>
      </c>
      <c r="F1838" s="510">
        <v>0</v>
      </c>
      <c r="G1838" s="510">
        <v>0</v>
      </c>
    </row>
    <row r="1839" spans="1:7" x14ac:dyDescent="0.25">
      <c r="A1839" s="509" t="s">
        <v>2987</v>
      </c>
      <c r="B1839" s="509" t="s">
        <v>1151</v>
      </c>
      <c r="C1839" s="510">
        <v>0</v>
      </c>
      <c r="D1839" s="510">
        <v>0</v>
      </c>
      <c r="E1839" s="510">
        <v>0</v>
      </c>
      <c r="F1839" s="510">
        <v>0</v>
      </c>
      <c r="G1839" s="510">
        <v>0</v>
      </c>
    </row>
    <row r="1840" spans="1:7" x14ac:dyDescent="0.25">
      <c r="A1840" s="509" t="s">
        <v>2988</v>
      </c>
      <c r="B1840" s="509" t="s">
        <v>1152</v>
      </c>
      <c r="C1840" s="510">
        <v>0</v>
      </c>
      <c r="D1840" s="510">
        <v>0</v>
      </c>
      <c r="E1840" s="510">
        <v>0</v>
      </c>
      <c r="F1840" s="510">
        <v>0</v>
      </c>
      <c r="G1840" s="510">
        <v>0</v>
      </c>
    </row>
    <row r="1841" spans="1:7" x14ac:dyDescent="0.25">
      <c r="A1841" s="509" t="s">
        <v>2989</v>
      </c>
      <c r="B1841" s="509" t="s">
        <v>53</v>
      </c>
      <c r="C1841" s="510">
        <v>0</v>
      </c>
      <c r="D1841" s="510">
        <v>0</v>
      </c>
      <c r="E1841" s="510">
        <v>0</v>
      </c>
      <c r="F1841" s="510">
        <v>0</v>
      </c>
      <c r="G1841" s="510">
        <v>0</v>
      </c>
    </row>
    <row r="1842" spans="1:7" x14ac:dyDescent="0.25">
      <c r="A1842" s="509" t="s">
        <v>600</v>
      </c>
      <c r="B1842" s="509" t="s">
        <v>54</v>
      </c>
      <c r="C1842" s="510">
        <v>82.5</v>
      </c>
      <c r="D1842" s="510">
        <v>0</v>
      </c>
      <c r="E1842" s="510">
        <v>0</v>
      </c>
      <c r="F1842" s="510">
        <v>0</v>
      </c>
      <c r="G1842" s="510">
        <v>0</v>
      </c>
    </row>
    <row r="1843" spans="1:7" x14ac:dyDescent="0.25">
      <c r="A1843" s="509" t="s">
        <v>1233</v>
      </c>
      <c r="B1843" s="509" t="s">
        <v>1176</v>
      </c>
      <c r="C1843" s="510">
        <v>0</v>
      </c>
      <c r="D1843" s="510">
        <v>0</v>
      </c>
      <c r="E1843" s="510">
        <v>0</v>
      </c>
      <c r="F1843" s="510">
        <v>0</v>
      </c>
      <c r="G1843" s="510">
        <v>0</v>
      </c>
    </row>
    <row r="1844" spans="1:7" x14ac:dyDescent="0.25">
      <c r="A1844" s="509" t="s">
        <v>593</v>
      </c>
      <c r="B1844" s="509" t="s">
        <v>152</v>
      </c>
      <c r="C1844" s="510">
        <v>22000</v>
      </c>
      <c r="D1844" s="510">
        <v>0</v>
      </c>
      <c r="E1844" s="510">
        <v>931.64</v>
      </c>
      <c r="F1844" s="510">
        <v>0</v>
      </c>
      <c r="G1844" s="510">
        <v>931.64</v>
      </c>
    </row>
    <row r="1845" spans="1:7" x14ac:dyDescent="0.25">
      <c r="A1845" s="509" t="s">
        <v>594</v>
      </c>
      <c r="B1845" s="509" t="s">
        <v>1177</v>
      </c>
      <c r="C1845" s="510">
        <v>11000</v>
      </c>
      <c r="D1845" s="510">
        <v>0</v>
      </c>
      <c r="E1845" s="510">
        <v>41007.339999999997</v>
      </c>
      <c r="F1845" s="510">
        <v>0</v>
      </c>
      <c r="G1845" s="510">
        <v>41007.339999999997</v>
      </c>
    </row>
    <row r="1846" spans="1:7" x14ac:dyDescent="0.25">
      <c r="A1846" s="509" t="s">
        <v>2990</v>
      </c>
      <c r="B1846" s="509" t="s">
        <v>55</v>
      </c>
      <c r="C1846" s="510">
        <v>0</v>
      </c>
      <c r="D1846" s="510">
        <v>0</v>
      </c>
      <c r="E1846" s="510">
        <v>0</v>
      </c>
      <c r="F1846" s="510">
        <v>0</v>
      </c>
      <c r="G1846" s="510">
        <v>0</v>
      </c>
    </row>
    <row r="1847" spans="1:7" x14ac:dyDescent="0.25">
      <c r="A1847" s="509" t="s">
        <v>2991</v>
      </c>
      <c r="B1847" s="509" t="s">
        <v>1080</v>
      </c>
      <c r="C1847" s="510">
        <v>0</v>
      </c>
      <c r="D1847" s="510">
        <v>0</v>
      </c>
      <c r="E1847" s="510">
        <v>0</v>
      </c>
      <c r="F1847" s="510">
        <v>0</v>
      </c>
      <c r="G1847" s="510">
        <v>0</v>
      </c>
    </row>
    <row r="1848" spans="1:7" x14ac:dyDescent="0.25">
      <c r="A1848" s="509" t="s">
        <v>2992</v>
      </c>
      <c r="B1848" s="509" t="s">
        <v>1933</v>
      </c>
      <c r="C1848" s="510">
        <v>0</v>
      </c>
      <c r="D1848" s="510">
        <v>0</v>
      </c>
      <c r="E1848" s="510">
        <v>0</v>
      </c>
      <c r="F1848" s="510">
        <v>0</v>
      </c>
      <c r="G1848" s="510">
        <v>0</v>
      </c>
    </row>
    <row r="1849" spans="1:7" x14ac:dyDescent="0.25">
      <c r="A1849" s="509" t="s">
        <v>2993</v>
      </c>
      <c r="B1849" s="509" t="s">
        <v>1935</v>
      </c>
      <c r="C1849" s="510">
        <v>0</v>
      </c>
      <c r="D1849" s="510">
        <v>-3221015.67</v>
      </c>
      <c r="E1849" s="510">
        <v>3221015.67</v>
      </c>
      <c r="F1849" s="510">
        <v>0</v>
      </c>
      <c r="G1849" s="510">
        <v>0</v>
      </c>
    </row>
    <row r="1850" spans="1:7" x14ac:dyDescent="0.25">
      <c r="A1850" s="509" t="s">
        <v>2994</v>
      </c>
      <c r="B1850" s="509" t="s">
        <v>1937</v>
      </c>
      <c r="C1850" s="510">
        <v>0</v>
      </c>
      <c r="D1850" s="510">
        <v>0</v>
      </c>
      <c r="E1850" s="510">
        <v>0</v>
      </c>
      <c r="F1850" s="510">
        <v>0</v>
      </c>
      <c r="G1850" s="510">
        <v>0</v>
      </c>
    </row>
    <row r="1851" spans="1:7" x14ac:dyDescent="0.25">
      <c r="A1851" s="509" t="s">
        <v>2995</v>
      </c>
      <c r="B1851" s="509" t="s">
        <v>1939</v>
      </c>
      <c r="C1851" s="510">
        <v>0</v>
      </c>
      <c r="D1851" s="510">
        <v>0</v>
      </c>
      <c r="E1851" s="510">
        <v>0</v>
      </c>
      <c r="F1851" s="510">
        <v>0</v>
      </c>
      <c r="G1851" s="510">
        <v>0</v>
      </c>
    </row>
    <row r="1852" spans="1:7" x14ac:dyDescent="0.25">
      <c r="A1852" s="509" t="s">
        <v>2996</v>
      </c>
      <c r="B1852" s="509" t="s">
        <v>1941</v>
      </c>
      <c r="C1852" s="510">
        <v>0</v>
      </c>
      <c r="D1852" s="510">
        <v>0</v>
      </c>
      <c r="E1852" s="510">
        <v>0</v>
      </c>
      <c r="F1852" s="510">
        <v>0</v>
      </c>
      <c r="G1852" s="510">
        <v>0</v>
      </c>
    </row>
    <row r="1853" spans="1:7" x14ac:dyDescent="0.25">
      <c r="A1853" s="509" t="s">
        <v>2997</v>
      </c>
      <c r="B1853" s="509" t="s">
        <v>1943</v>
      </c>
      <c r="C1853" s="510">
        <v>0</v>
      </c>
      <c r="D1853" s="510">
        <v>0</v>
      </c>
      <c r="E1853" s="510">
        <v>0</v>
      </c>
      <c r="F1853" s="510">
        <v>0</v>
      </c>
      <c r="G1853" s="510">
        <v>0</v>
      </c>
    </row>
    <row r="1854" spans="1:7" x14ac:dyDescent="0.25">
      <c r="A1854" s="509" t="s">
        <v>2998</v>
      </c>
      <c r="B1854" s="509" t="s">
        <v>1945</v>
      </c>
      <c r="C1854" s="510">
        <v>0</v>
      </c>
      <c r="D1854" s="510">
        <v>5358748.79</v>
      </c>
      <c r="E1854" s="510">
        <v>0</v>
      </c>
      <c r="F1854" s="510">
        <v>0</v>
      </c>
      <c r="G1854" s="510">
        <v>5358748.79</v>
      </c>
    </row>
    <row r="1855" spans="1:7" x14ac:dyDescent="0.25">
      <c r="A1855" s="509" t="s">
        <v>2999</v>
      </c>
      <c r="B1855" s="509" t="s">
        <v>1947</v>
      </c>
      <c r="C1855" s="510">
        <v>0</v>
      </c>
      <c r="D1855" s="510">
        <v>0</v>
      </c>
      <c r="E1855" s="510">
        <v>0</v>
      </c>
      <c r="F1855" s="510">
        <v>0</v>
      </c>
      <c r="G1855" s="510">
        <v>0</v>
      </c>
    </row>
    <row r="1856" spans="1:7" x14ac:dyDescent="0.25">
      <c r="A1856" s="509" t="s">
        <v>3000</v>
      </c>
      <c r="B1856" s="509" t="s">
        <v>1949</v>
      </c>
      <c r="C1856" s="510">
        <v>0</v>
      </c>
      <c r="D1856" s="510">
        <v>0</v>
      </c>
      <c r="E1856" s="510">
        <v>0</v>
      </c>
      <c r="F1856" s="510">
        <v>0</v>
      </c>
      <c r="G1856" s="510">
        <v>0</v>
      </c>
    </row>
    <row r="1857" spans="1:7" x14ac:dyDescent="0.25">
      <c r="A1857" s="509" t="s">
        <v>3001</v>
      </c>
      <c r="B1857" s="509" t="s">
        <v>1951</v>
      </c>
      <c r="C1857" s="510">
        <v>0</v>
      </c>
      <c r="D1857" s="510">
        <v>0</v>
      </c>
      <c r="E1857" s="510">
        <v>0</v>
      </c>
      <c r="F1857" s="510">
        <v>0</v>
      </c>
      <c r="G1857" s="510">
        <v>0</v>
      </c>
    </row>
    <row r="1858" spans="1:7" x14ac:dyDescent="0.25">
      <c r="A1858" s="509" t="s">
        <v>3002</v>
      </c>
      <c r="B1858" s="509" t="s">
        <v>1953</v>
      </c>
      <c r="C1858" s="510">
        <v>0</v>
      </c>
      <c r="D1858" s="510">
        <v>0</v>
      </c>
      <c r="E1858" s="510">
        <v>0</v>
      </c>
      <c r="F1858" s="510">
        <v>3339185.78</v>
      </c>
      <c r="G1858" s="510">
        <v>-3339185.78</v>
      </c>
    </row>
    <row r="1859" spans="1:7" x14ac:dyDescent="0.25">
      <c r="A1859" s="509" t="s">
        <v>3003</v>
      </c>
      <c r="B1859" s="509" t="s">
        <v>1955</v>
      </c>
      <c r="C1859" s="510">
        <v>0</v>
      </c>
      <c r="D1859" s="510">
        <v>0</v>
      </c>
      <c r="E1859" s="510">
        <v>0</v>
      </c>
      <c r="F1859" s="510">
        <v>0</v>
      </c>
      <c r="G1859" s="510">
        <v>0</v>
      </c>
    </row>
    <row r="1860" spans="1:7" x14ac:dyDescent="0.25">
      <c r="A1860" s="509" t="s">
        <v>3004</v>
      </c>
      <c r="B1860" s="509" t="s">
        <v>1963</v>
      </c>
      <c r="C1860" s="510">
        <v>0</v>
      </c>
      <c r="D1860" s="510">
        <v>0</v>
      </c>
      <c r="E1860" s="510">
        <v>0</v>
      </c>
      <c r="F1860" s="510">
        <v>0</v>
      </c>
      <c r="G1860" s="510">
        <v>0</v>
      </c>
    </row>
    <row r="1861" spans="1:7" x14ac:dyDescent="0.25">
      <c r="A1861" s="509" t="s">
        <v>3005</v>
      </c>
      <c r="B1861" s="509" t="s">
        <v>1965</v>
      </c>
      <c r="C1861" s="510">
        <v>0</v>
      </c>
      <c r="D1861" s="510">
        <v>0</v>
      </c>
      <c r="E1861" s="510">
        <v>0</v>
      </c>
      <c r="F1861" s="510">
        <v>0</v>
      </c>
      <c r="G1861" s="510">
        <v>0</v>
      </c>
    </row>
    <row r="1862" spans="1:7" x14ac:dyDescent="0.25">
      <c r="A1862" s="509" t="s">
        <v>3006</v>
      </c>
      <c r="B1862" s="509" t="s">
        <v>1967</v>
      </c>
      <c r="C1862" s="510">
        <v>0</v>
      </c>
      <c r="D1862" s="510">
        <v>0</v>
      </c>
      <c r="E1862" s="510">
        <v>0</v>
      </c>
      <c r="F1862" s="510">
        <v>0</v>
      </c>
      <c r="G1862" s="510">
        <v>0</v>
      </c>
    </row>
    <row r="1863" spans="1:7" x14ac:dyDescent="0.25">
      <c r="A1863" s="509" t="s">
        <v>3007</v>
      </c>
      <c r="B1863" s="509" t="s">
        <v>1969</v>
      </c>
      <c r="C1863" s="510">
        <v>0</v>
      </c>
      <c r="D1863" s="510">
        <v>0</v>
      </c>
      <c r="E1863" s="510">
        <v>0</v>
      </c>
      <c r="F1863" s="510">
        <v>0</v>
      </c>
      <c r="G1863" s="510">
        <v>0</v>
      </c>
    </row>
    <row r="1864" spans="1:7" x14ac:dyDescent="0.25">
      <c r="A1864" s="509" t="s">
        <v>3008</v>
      </c>
      <c r="B1864" s="509" t="s">
        <v>1971</v>
      </c>
      <c r="C1864" s="510">
        <v>0</v>
      </c>
      <c r="D1864" s="510">
        <v>0</v>
      </c>
      <c r="E1864" s="510">
        <v>0</v>
      </c>
      <c r="F1864" s="510">
        <v>0</v>
      </c>
      <c r="G1864" s="510">
        <v>0</v>
      </c>
    </row>
    <row r="1865" spans="1:7" x14ac:dyDescent="0.25">
      <c r="A1865" s="509" t="s">
        <v>3009</v>
      </c>
      <c r="B1865" s="509" t="s">
        <v>1973</v>
      </c>
      <c r="C1865" s="510">
        <v>0</v>
      </c>
      <c r="D1865" s="510">
        <v>0</v>
      </c>
      <c r="E1865" s="510">
        <v>0</v>
      </c>
      <c r="F1865" s="510">
        <v>0</v>
      </c>
      <c r="G1865" s="510">
        <v>0</v>
      </c>
    </row>
    <row r="1866" spans="1:7" x14ac:dyDescent="0.25">
      <c r="A1866" s="509" t="s">
        <v>3010</v>
      </c>
      <c r="B1866" s="509" t="s">
        <v>1975</v>
      </c>
      <c r="C1866" s="510">
        <v>0</v>
      </c>
      <c r="D1866" s="510">
        <v>0</v>
      </c>
      <c r="E1866" s="510">
        <v>0</v>
      </c>
      <c r="F1866" s="510">
        <v>0</v>
      </c>
      <c r="G1866" s="510">
        <v>0</v>
      </c>
    </row>
    <row r="1867" spans="1:7" x14ac:dyDescent="0.25">
      <c r="A1867" s="509" t="s">
        <v>3011</v>
      </c>
      <c r="B1867" s="509" t="s">
        <v>1977</v>
      </c>
      <c r="C1867" s="510">
        <v>0</v>
      </c>
      <c r="D1867" s="510">
        <v>0</v>
      </c>
      <c r="E1867" s="510">
        <v>0</v>
      </c>
      <c r="F1867" s="510">
        <v>0</v>
      </c>
      <c r="G1867" s="510">
        <v>0</v>
      </c>
    </row>
    <row r="1868" spans="1:7" x14ac:dyDescent="0.25">
      <c r="A1868" s="509" t="s">
        <v>3012</v>
      </c>
      <c r="B1868" s="509" t="s">
        <v>1979</v>
      </c>
      <c r="C1868" s="510">
        <v>0</v>
      </c>
      <c r="D1868" s="510">
        <v>204725.43</v>
      </c>
      <c r="E1868" s="510">
        <v>5014.1000000000004</v>
      </c>
      <c r="F1868" s="510">
        <v>5014.1099999999997</v>
      </c>
      <c r="G1868" s="510">
        <v>204725.42</v>
      </c>
    </row>
    <row r="1869" spans="1:7" x14ac:dyDescent="0.25">
      <c r="A1869" s="509" t="s">
        <v>3013</v>
      </c>
      <c r="B1869" s="509" t="s">
        <v>1981</v>
      </c>
      <c r="C1869" s="510">
        <v>0</v>
      </c>
      <c r="D1869" s="510">
        <v>0</v>
      </c>
      <c r="E1869" s="510">
        <v>0</v>
      </c>
      <c r="F1869" s="510">
        <v>0</v>
      </c>
      <c r="G1869" s="510">
        <v>0</v>
      </c>
    </row>
    <row r="1870" spans="1:7" x14ac:dyDescent="0.25">
      <c r="A1870" s="509" t="s">
        <v>3014</v>
      </c>
      <c r="B1870" s="509" t="s">
        <v>1983</v>
      </c>
      <c r="C1870" s="510">
        <v>0</v>
      </c>
      <c r="D1870" s="510">
        <v>0</v>
      </c>
      <c r="E1870" s="510">
        <v>0</v>
      </c>
      <c r="F1870" s="510">
        <v>0</v>
      </c>
      <c r="G1870" s="510">
        <v>0</v>
      </c>
    </row>
    <row r="1871" spans="1:7" x14ac:dyDescent="0.25">
      <c r="A1871" s="509" t="s">
        <v>3015</v>
      </c>
      <c r="B1871" s="509" t="s">
        <v>1985</v>
      </c>
      <c r="C1871" s="510">
        <v>0</v>
      </c>
      <c r="D1871" s="510">
        <v>0</v>
      </c>
      <c r="E1871" s="510">
        <v>123184.22</v>
      </c>
      <c r="F1871" s="510">
        <v>123184.22</v>
      </c>
      <c r="G1871" s="510">
        <v>0</v>
      </c>
    </row>
    <row r="1872" spans="1:7" x14ac:dyDescent="0.25">
      <c r="A1872" s="509" t="s">
        <v>3016</v>
      </c>
      <c r="B1872" s="509" t="s">
        <v>1987</v>
      </c>
      <c r="C1872" s="510">
        <v>0</v>
      </c>
      <c r="D1872" s="510">
        <v>0</v>
      </c>
      <c r="E1872" s="510">
        <v>0</v>
      </c>
      <c r="F1872" s="510">
        <v>0</v>
      </c>
      <c r="G1872" s="510">
        <v>0</v>
      </c>
    </row>
    <row r="1873" spans="1:7" x14ac:dyDescent="0.25">
      <c r="A1873" s="509" t="s">
        <v>3017</v>
      </c>
      <c r="B1873" s="509" t="s">
        <v>1989</v>
      </c>
      <c r="C1873" s="510">
        <v>0</v>
      </c>
      <c r="D1873" s="510">
        <v>0</v>
      </c>
      <c r="E1873" s="510">
        <v>0</v>
      </c>
      <c r="F1873" s="510">
        <v>0</v>
      </c>
      <c r="G1873" s="510">
        <v>0</v>
      </c>
    </row>
    <row r="1874" spans="1:7" x14ac:dyDescent="0.25">
      <c r="A1874" s="509" t="s">
        <v>3018</v>
      </c>
      <c r="B1874" s="509" t="s">
        <v>1991</v>
      </c>
      <c r="C1874" s="510">
        <v>0</v>
      </c>
      <c r="D1874" s="510">
        <v>0</v>
      </c>
      <c r="E1874" s="510">
        <v>0</v>
      </c>
      <c r="F1874" s="510">
        <v>0</v>
      </c>
      <c r="G1874" s="510">
        <v>0</v>
      </c>
    </row>
    <row r="1875" spans="1:7" x14ac:dyDescent="0.25">
      <c r="A1875" s="509" t="s">
        <v>3019</v>
      </c>
      <c r="B1875" s="509" t="s">
        <v>2371</v>
      </c>
      <c r="C1875" s="510">
        <v>0</v>
      </c>
      <c r="D1875" s="510">
        <v>0</v>
      </c>
      <c r="E1875" s="510">
        <v>0</v>
      </c>
      <c r="F1875" s="510">
        <v>0</v>
      </c>
      <c r="G1875" s="510">
        <v>0</v>
      </c>
    </row>
    <row r="1876" spans="1:7" x14ac:dyDescent="0.25">
      <c r="A1876" s="509" t="s">
        <v>3020</v>
      </c>
      <c r="B1876" s="509" t="s">
        <v>2003</v>
      </c>
      <c r="C1876" s="510">
        <v>0</v>
      </c>
      <c r="D1876" s="510">
        <v>0</v>
      </c>
      <c r="E1876" s="510">
        <v>0</v>
      </c>
      <c r="F1876" s="510">
        <v>0</v>
      </c>
      <c r="G1876" s="510">
        <v>0</v>
      </c>
    </row>
    <row r="1877" spans="1:7" x14ac:dyDescent="0.25">
      <c r="A1877" s="509" t="s">
        <v>3021</v>
      </c>
      <c r="B1877" s="509" t="s">
        <v>2004</v>
      </c>
      <c r="C1877" s="510">
        <v>0</v>
      </c>
      <c r="D1877" s="510">
        <v>0</v>
      </c>
      <c r="E1877" s="510">
        <v>0</v>
      </c>
      <c r="F1877" s="510">
        <v>0</v>
      </c>
      <c r="G1877" s="510">
        <v>0</v>
      </c>
    </row>
    <row r="1878" spans="1:7" x14ac:dyDescent="0.25">
      <c r="A1878" s="509" t="s">
        <v>3022</v>
      </c>
      <c r="B1878" s="509" t="s">
        <v>2008</v>
      </c>
      <c r="C1878" s="510">
        <v>0</v>
      </c>
      <c r="D1878" s="510">
        <v>0</v>
      </c>
      <c r="E1878" s="510">
        <v>0</v>
      </c>
      <c r="F1878" s="510">
        <v>0</v>
      </c>
      <c r="G1878" s="510">
        <v>0</v>
      </c>
    </row>
    <row r="1879" spans="1:7" x14ac:dyDescent="0.25">
      <c r="A1879" s="509" t="s">
        <v>3023</v>
      </c>
      <c r="B1879" s="509" t="s">
        <v>2010</v>
      </c>
      <c r="C1879" s="510">
        <v>0</v>
      </c>
      <c r="D1879" s="510">
        <v>0</v>
      </c>
      <c r="E1879" s="510">
        <v>0</v>
      </c>
      <c r="F1879" s="510">
        <v>0</v>
      </c>
      <c r="G1879" s="510">
        <v>0</v>
      </c>
    </row>
    <row r="1880" spans="1:7" x14ac:dyDescent="0.25">
      <c r="A1880" s="509" t="s">
        <v>3024</v>
      </c>
      <c r="B1880" s="509" t="s">
        <v>2016</v>
      </c>
      <c r="C1880" s="510">
        <v>0</v>
      </c>
      <c r="D1880" s="510">
        <v>0</v>
      </c>
      <c r="E1880" s="510">
        <v>0</v>
      </c>
      <c r="F1880" s="510">
        <v>0</v>
      </c>
      <c r="G1880" s="510">
        <v>0</v>
      </c>
    </row>
    <row r="1881" spans="1:7" x14ac:dyDescent="0.25">
      <c r="A1881" s="509" t="s">
        <v>3025</v>
      </c>
      <c r="B1881" s="509" t="s">
        <v>2018</v>
      </c>
      <c r="C1881" s="510">
        <v>0</v>
      </c>
      <c r="D1881" s="510">
        <v>850</v>
      </c>
      <c r="E1881" s="510">
        <v>0</v>
      </c>
      <c r="F1881" s="510">
        <v>850</v>
      </c>
      <c r="G1881" s="510">
        <v>0</v>
      </c>
    </row>
    <row r="1882" spans="1:7" x14ac:dyDescent="0.25">
      <c r="A1882" s="509" t="s">
        <v>3026</v>
      </c>
      <c r="B1882" s="509" t="s">
        <v>2020</v>
      </c>
      <c r="C1882" s="510">
        <v>0</v>
      </c>
      <c r="D1882" s="510">
        <v>0</v>
      </c>
      <c r="E1882" s="510">
        <v>0</v>
      </c>
      <c r="F1882" s="510">
        <v>0</v>
      </c>
      <c r="G1882" s="510">
        <v>0</v>
      </c>
    </row>
    <row r="1883" spans="1:7" x14ac:dyDescent="0.25">
      <c r="A1883" s="509" t="s">
        <v>3027</v>
      </c>
      <c r="B1883" s="509" t="s">
        <v>2022</v>
      </c>
      <c r="C1883" s="510">
        <v>0</v>
      </c>
      <c r="D1883" s="510">
        <v>0</v>
      </c>
      <c r="E1883" s="510">
        <v>0</v>
      </c>
      <c r="F1883" s="510">
        <v>0</v>
      </c>
      <c r="G1883" s="510">
        <v>0</v>
      </c>
    </row>
    <row r="1884" spans="1:7" x14ac:dyDescent="0.25">
      <c r="A1884" s="509" t="s">
        <v>3028</v>
      </c>
      <c r="B1884" s="509" t="s">
        <v>2024</v>
      </c>
      <c r="C1884" s="510">
        <v>0</v>
      </c>
      <c r="D1884" s="510">
        <v>0</v>
      </c>
      <c r="E1884" s="510">
        <v>0</v>
      </c>
      <c r="F1884" s="510">
        <v>0</v>
      </c>
      <c r="G1884" s="510">
        <v>0</v>
      </c>
    </row>
    <row r="1885" spans="1:7" x14ac:dyDescent="0.25">
      <c r="A1885" s="509" t="s">
        <v>3029</v>
      </c>
      <c r="B1885" s="509" t="s">
        <v>2026</v>
      </c>
      <c r="C1885" s="510">
        <v>0</v>
      </c>
      <c r="D1885" s="510">
        <v>0</v>
      </c>
      <c r="E1885" s="510">
        <v>0</v>
      </c>
      <c r="F1885" s="510">
        <v>0</v>
      </c>
      <c r="G1885" s="510">
        <v>0</v>
      </c>
    </row>
    <row r="1886" spans="1:7" x14ac:dyDescent="0.25">
      <c r="A1886" s="509" t="s">
        <v>3030</v>
      </c>
      <c r="B1886" s="509" t="s">
        <v>2028</v>
      </c>
      <c r="C1886" s="510">
        <v>0</v>
      </c>
      <c r="D1886" s="510">
        <v>0</v>
      </c>
      <c r="E1886" s="510">
        <v>0</v>
      </c>
      <c r="F1886" s="510">
        <v>0</v>
      </c>
      <c r="G1886" s="510">
        <v>0</v>
      </c>
    </row>
    <row r="1887" spans="1:7" x14ac:dyDescent="0.25">
      <c r="A1887" s="509" t="s">
        <v>3031</v>
      </c>
      <c r="B1887" s="509" t="s">
        <v>2032</v>
      </c>
      <c r="C1887" s="510">
        <v>0</v>
      </c>
      <c r="D1887" s="510">
        <v>0</v>
      </c>
      <c r="E1887" s="510">
        <v>0</v>
      </c>
      <c r="F1887" s="510">
        <v>0</v>
      </c>
      <c r="G1887" s="510">
        <v>0</v>
      </c>
    </row>
    <row r="1888" spans="1:7" x14ac:dyDescent="0.25">
      <c r="A1888" s="509" t="s">
        <v>3032</v>
      </c>
      <c r="B1888" s="509" t="s">
        <v>2034</v>
      </c>
      <c r="C1888" s="510">
        <v>0</v>
      </c>
      <c r="D1888" s="510">
        <v>0</v>
      </c>
      <c r="E1888" s="510">
        <v>0</v>
      </c>
      <c r="F1888" s="510">
        <v>0</v>
      </c>
      <c r="G1888" s="510">
        <v>0</v>
      </c>
    </row>
    <row r="1889" spans="1:7" x14ac:dyDescent="0.25">
      <c r="A1889" s="509" t="s">
        <v>3033</v>
      </c>
      <c r="B1889" s="509" t="s">
        <v>2036</v>
      </c>
      <c r="C1889" s="510">
        <v>0</v>
      </c>
      <c r="D1889" s="510">
        <v>0</v>
      </c>
      <c r="E1889" s="510">
        <v>0</v>
      </c>
      <c r="F1889" s="510">
        <v>0</v>
      </c>
      <c r="G1889" s="510">
        <v>0</v>
      </c>
    </row>
    <row r="1890" spans="1:7" x14ac:dyDescent="0.25">
      <c r="A1890" s="509" t="s">
        <v>3034</v>
      </c>
      <c r="B1890" s="509" t="s">
        <v>2038</v>
      </c>
      <c r="C1890" s="510">
        <v>0</v>
      </c>
      <c r="D1890" s="510">
        <v>0</v>
      </c>
      <c r="E1890" s="510">
        <v>0</v>
      </c>
      <c r="F1890" s="510">
        <v>0</v>
      </c>
      <c r="G1890" s="510">
        <v>0</v>
      </c>
    </row>
    <row r="1891" spans="1:7" x14ac:dyDescent="0.25">
      <c r="A1891" s="509" t="s">
        <v>3035</v>
      </c>
      <c r="B1891" s="509" t="s">
        <v>2040</v>
      </c>
      <c r="C1891" s="510">
        <v>0</v>
      </c>
      <c r="D1891" s="510">
        <v>0</v>
      </c>
      <c r="E1891" s="510">
        <v>0</v>
      </c>
      <c r="F1891" s="510">
        <v>0</v>
      </c>
      <c r="G1891" s="510">
        <v>0</v>
      </c>
    </row>
    <row r="1892" spans="1:7" x14ac:dyDescent="0.25">
      <c r="A1892" s="509" t="s">
        <v>3036</v>
      </c>
      <c r="B1892" s="509" t="s">
        <v>2042</v>
      </c>
      <c r="C1892" s="510">
        <v>0</v>
      </c>
      <c r="D1892" s="510">
        <v>0</v>
      </c>
      <c r="E1892" s="510">
        <v>0</v>
      </c>
      <c r="F1892" s="510">
        <v>0</v>
      </c>
      <c r="G1892" s="510">
        <v>0</v>
      </c>
    </row>
    <row r="1893" spans="1:7" x14ac:dyDescent="0.25">
      <c r="A1893" s="509" t="s">
        <v>3037</v>
      </c>
      <c r="B1893" s="509" t="s">
        <v>2050</v>
      </c>
      <c r="C1893" s="510">
        <v>0</v>
      </c>
      <c r="D1893" s="510">
        <v>0</v>
      </c>
      <c r="E1893" s="510">
        <v>0</v>
      </c>
      <c r="F1893" s="510">
        <v>0</v>
      </c>
      <c r="G1893" s="510">
        <v>0</v>
      </c>
    </row>
    <row r="1894" spans="1:7" x14ac:dyDescent="0.25">
      <c r="A1894" s="509" t="s">
        <v>3038</v>
      </c>
      <c r="B1894" s="509" t="s">
        <v>1468</v>
      </c>
      <c r="C1894" s="510">
        <v>0</v>
      </c>
      <c r="D1894" s="510">
        <v>0</v>
      </c>
      <c r="E1894" s="510">
        <v>0</v>
      </c>
      <c r="F1894" s="510">
        <v>0</v>
      </c>
      <c r="G1894" s="510">
        <v>0</v>
      </c>
    </row>
    <row r="1895" spans="1:7" x14ac:dyDescent="0.25">
      <c r="A1895" s="509" t="s">
        <v>3039</v>
      </c>
      <c r="B1895" s="509" t="s">
        <v>1472</v>
      </c>
      <c r="C1895" s="510">
        <v>0</v>
      </c>
      <c r="D1895" s="510">
        <v>0</v>
      </c>
      <c r="E1895" s="510">
        <v>0</v>
      </c>
      <c r="F1895" s="510">
        <v>0</v>
      </c>
      <c r="G1895" s="510">
        <v>0</v>
      </c>
    </row>
    <row r="1896" spans="1:7" x14ac:dyDescent="0.25">
      <c r="A1896" s="509" t="s">
        <v>3040</v>
      </c>
      <c r="B1896" s="509" t="s">
        <v>1480</v>
      </c>
      <c r="C1896" s="510">
        <v>0</v>
      </c>
      <c r="D1896" s="510">
        <v>0</v>
      </c>
      <c r="E1896" s="510">
        <v>0</v>
      </c>
      <c r="F1896" s="510">
        <v>0</v>
      </c>
      <c r="G1896" s="510">
        <v>0</v>
      </c>
    </row>
    <row r="1897" spans="1:7" x14ac:dyDescent="0.25">
      <c r="A1897" s="509" t="s">
        <v>3041</v>
      </c>
      <c r="B1897" s="509" t="s">
        <v>1482</v>
      </c>
      <c r="C1897" s="510">
        <v>0</v>
      </c>
      <c r="D1897" s="510">
        <v>0</v>
      </c>
      <c r="E1897" s="510">
        <v>0</v>
      </c>
      <c r="F1897" s="510">
        <v>0</v>
      </c>
      <c r="G1897" s="510">
        <v>0</v>
      </c>
    </row>
    <row r="1898" spans="1:7" x14ac:dyDescent="0.25">
      <c r="A1898" s="509" t="s">
        <v>3042</v>
      </c>
      <c r="B1898" s="509" t="s">
        <v>1484</v>
      </c>
      <c r="C1898" s="510">
        <v>0</v>
      </c>
      <c r="D1898" s="510">
        <v>0</v>
      </c>
      <c r="E1898" s="510">
        <v>0</v>
      </c>
      <c r="F1898" s="510">
        <v>0</v>
      </c>
      <c r="G1898" s="510">
        <v>0</v>
      </c>
    </row>
    <row r="1899" spans="1:7" x14ac:dyDescent="0.25">
      <c r="A1899" s="509" t="s">
        <v>3043</v>
      </c>
      <c r="B1899" s="509" t="s">
        <v>2052</v>
      </c>
      <c r="C1899" s="510">
        <v>0</v>
      </c>
      <c r="D1899" s="510">
        <v>0</v>
      </c>
      <c r="E1899" s="510">
        <v>0</v>
      </c>
      <c r="F1899" s="510">
        <v>0</v>
      </c>
      <c r="G1899" s="510">
        <v>0</v>
      </c>
    </row>
    <row r="1900" spans="1:7" x14ac:dyDescent="0.25">
      <c r="A1900" s="509" t="s">
        <v>3044</v>
      </c>
      <c r="B1900" s="509" t="s">
        <v>1486</v>
      </c>
      <c r="C1900" s="510">
        <v>0</v>
      </c>
      <c r="D1900" s="510">
        <v>0</v>
      </c>
      <c r="E1900" s="510">
        <v>0</v>
      </c>
      <c r="F1900" s="510">
        <v>0</v>
      </c>
      <c r="G1900" s="510">
        <v>0</v>
      </c>
    </row>
    <row r="1901" spans="1:7" x14ac:dyDescent="0.25">
      <c r="A1901" s="509" t="s">
        <v>3045</v>
      </c>
      <c r="B1901" s="509" t="s">
        <v>1488</v>
      </c>
      <c r="C1901" s="510">
        <v>0</v>
      </c>
      <c r="D1901" s="510">
        <v>0</v>
      </c>
      <c r="E1901" s="510">
        <v>0</v>
      </c>
      <c r="F1901" s="510">
        <v>0</v>
      </c>
      <c r="G1901" s="510">
        <v>0</v>
      </c>
    </row>
    <row r="1902" spans="1:7" x14ac:dyDescent="0.25">
      <c r="A1902" s="509" t="s">
        <v>3046</v>
      </c>
      <c r="B1902" s="509" t="s">
        <v>1491</v>
      </c>
      <c r="C1902" s="510">
        <v>0</v>
      </c>
      <c r="D1902" s="510">
        <v>0</v>
      </c>
      <c r="E1902" s="510">
        <v>0</v>
      </c>
      <c r="F1902" s="510">
        <v>0</v>
      </c>
      <c r="G1902" s="510">
        <v>0</v>
      </c>
    </row>
    <row r="1903" spans="1:7" x14ac:dyDescent="0.25">
      <c r="A1903" s="509" t="s">
        <v>1747</v>
      </c>
      <c r="B1903" s="509" t="s">
        <v>1493</v>
      </c>
      <c r="C1903" s="510">
        <v>0</v>
      </c>
      <c r="D1903" s="510">
        <v>0</v>
      </c>
      <c r="E1903" s="510">
        <v>0</v>
      </c>
      <c r="F1903" s="510">
        <v>0</v>
      </c>
      <c r="G1903" s="510">
        <v>0</v>
      </c>
    </row>
    <row r="1904" spans="1:7" x14ac:dyDescent="0.25">
      <c r="A1904" s="509" t="s">
        <v>3047</v>
      </c>
      <c r="B1904" s="509" t="s">
        <v>1495</v>
      </c>
      <c r="C1904" s="510">
        <v>0</v>
      </c>
      <c r="D1904" s="510">
        <v>0</v>
      </c>
      <c r="E1904" s="510">
        <v>0</v>
      </c>
      <c r="F1904" s="510">
        <v>0</v>
      </c>
      <c r="G1904" s="510">
        <v>0</v>
      </c>
    </row>
    <row r="1905" spans="1:7" x14ac:dyDescent="0.25">
      <c r="A1905" s="509" t="s">
        <v>1748</v>
      </c>
      <c r="B1905" s="509" t="s">
        <v>1499</v>
      </c>
      <c r="C1905" s="510">
        <v>0</v>
      </c>
      <c r="D1905" s="510">
        <v>2068934.7</v>
      </c>
      <c r="E1905" s="510">
        <v>0</v>
      </c>
      <c r="F1905" s="510">
        <v>0</v>
      </c>
      <c r="G1905" s="510">
        <v>2068934.7</v>
      </c>
    </row>
    <row r="1906" spans="1:7" x14ac:dyDescent="0.25">
      <c r="A1906" s="509" t="s">
        <v>3048</v>
      </c>
      <c r="B1906" s="509" t="s">
        <v>2054</v>
      </c>
      <c r="C1906" s="510">
        <v>0</v>
      </c>
      <c r="D1906" s="510">
        <v>0</v>
      </c>
      <c r="E1906" s="510">
        <v>0</v>
      </c>
      <c r="F1906" s="510">
        <v>0</v>
      </c>
      <c r="G1906" s="510">
        <v>0</v>
      </c>
    </row>
    <row r="1907" spans="1:7" x14ac:dyDescent="0.25">
      <c r="A1907" s="509" t="s">
        <v>1749</v>
      </c>
      <c r="B1907" s="509" t="s">
        <v>1750</v>
      </c>
      <c r="C1907" s="510">
        <v>0</v>
      </c>
      <c r="D1907" s="510">
        <v>390248.66</v>
      </c>
      <c r="E1907" s="510">
        <v>0</v>
      </c>
      <c r="F1907" s="510">
        <v>0</v>
      </c>
      <c r="G1907" s="510">
        <v>390248.66</v>
      </c>
    </row>
    <row r="1908" spans="1:7" x14ac:dyDescent="0.25">
      <c r="A1908" s="509" t="s">
        <v>1751</v>
      </c>
      <c r="B1908" s="509" t="s">
        <v>1752</v>
      </c>
      <c r="C1908" s="510">
        <v>0</v>
      </c>
      <c r="D1908" s="510">
        <v>5453917.8899999997</v>
      </c>
      <c r="E1908" s="510">
        <v>0</v>
      </c>
      <c r="F1908" s="510">
        <v>0</v>
      </c>
      <c r="G1908" s="510">
        <v>5453917.8899999997</v>
      </c>
    </row>
    <row r="1909" spans="1:7" x14ac:dyDescent="0.25">
      <c r="A1909" s="509" t="s">
        <v>1753</v>
      </c>
      <c r="B1909" s="509" t="s">
        <v>1541</v>
      </c>
      <c r="C1909" s="510">
        <v>0</v>
      </c>
      <c r="D1909" s="510">
        <v>0</v>
      </c>
      <c r="E1909" s="510">
        <v>0</v>
      </c>
      <c r="F1909" s="510">
        <v>0</v>
      </c>
      <c r="G1909" s="510">
        <v>0</v>
      </c>
    </row>
    <row r="1910" spans="1:7" x14ac:dyDescent="0.25">
      <c r="A1910" s="509" t="s">
        <v>1754</v>
      </c>
      <c r="B1910" s="509" t="s">
        <v>1755</v>
      </c>
      <c r="C1910" s="510">
        <v>0</v>
      </c>
      <c r="D1910" s="510">
        <v>2483968.46</v>
      </c>
      <c r="E1910" s="510">
        <v>0</v>
      </c>
      <c r="F1910" s="510">
        <v>0</v>
      </c>
      <c r="G1910" s="510">
        <v>2483968.46</v>
      </c>
    </row>
    <row r="1911" spans="1:7" x14ac:dyDescent="0.25">
      <c r="A1911" s="509" t="s">
        <v>1756</v>
      </c>
      <c r="B1911" s="509" t="s">
        <v>1757</v>
      </c>
      <c r="C1911" s="510">
        <v>0</v>
      </c>
      <c r="D1911" s="510">
        <v>0</v>
      </c>
      <c r="E1911" s="510">
        <v>0</v>
      </c>
      <c r="F1911" s="510">
        <v>0</v>
      </c>
      <c r="G1911" s="510">
        <v>0</v>
      </c>
    </row>
    <row r="1912" spans="1:7" x14ac:dyDescent="0.25">
      <c r="A1912" s="509" t="s">
        <v>1758</v>
      </c>
      <c r="B1912" s="509" t="s">
        <v>1759</v>
      </c>
      <c r="C1912" s="510">
        <v>0</v>
      </c>
      <c r="D1912" s="510">
        <v>0</v>
      </c>
      <c r="E1912" s="510">
        <v>0</v>
      </c>
      <c r="F1912" s="510">
        <v>0</v>
      </c>
      <c r="G1912" s="510">
        <v>0</v>
      </c>
    </row>
    <row r="1913" spans="1:7" x14ac:dyDescent="0.25">
      <c r="A1913" s="509" t="s">
        <v>1760</v>
      </c>
      <c r="B1913" s="509" t="s">
        <v>1761</v>
      </c>
      <c r="C1913" s="510">
        <v>0</v>
      </c>
      <c r="D1913" s="510">
        <v>0</v>
      </c>
      <c r="E1913" s="510">
        <v>0</v>
      </c>
      <c r="F1913" s="510">
        <v>0</v>
      </c>
      <c r="G1913" s="510">
        <v>0</v>
      </c>
    </row>
    <row r="1914" spans="1:7" x14ac:dyDescent="0.25">
      <c r="A1914" s="509" t="s">
        <v>3049</v>
      </c>
      <c r="B1914" s="509" t="s">
        <v>2059</v>
      </c>
      <c r="C1914" s="510">
        <v>0</v>
      </c>
      <c r="D1914" s="510">
        <v>0</v>
      </c>
      <c r="E1914" s="510">
        <v>0</v>
      </c>
      <c r="F1914" s="510">
        <v>0</v>
      </c>
      <c r="G1914" s="510">
        <v>0</v>
      </c>
    </row>
    <row r="1915" spans="1:7" x14ac:dyDescent="0.25">
      <c r="A1915" s="509" t="s">
        <v>3050</v>
      </c>
      <c r="B1915" s="509" t="s">
        <v>1545</v>
      </c>
      <c r="C1915" s="510">
        <v>0</v>
      </c>
      <c r="D1915" s="510">
        <v>0</v>
      </c>
      <c r="E1915" s="510">
        <v>0</v>
      </c>
      <c r="F1915" s="510">
        <v>0</v>
      </c>
      <c r="G1915" s="510">
        <v>0</v>
      </c>
    </row>
    <row r="1916" spans="1:7" x14ac:dyDescent="0.25">
      <c r="A1916" s="509" t="s">
        <v>3051</v>
      </c>
      <c r="B1916" s="509" t="s">
        <v>1550</v>
      </c>
      <c r="C1916" s="510">
        <v>0</v>
      </c>
      <c r="D1916" s="510">
        <v>0</v>
      </c>
      <c r="E1916" s="510">
        <v>0</v>
      </c>
      <c r="F1916" s="510">
        <v>0</v>
      </c>
      <c r="G1916" s="510">
        <v>0</v>
      </c>
    </row>
    <row r="1917" spans="1:7" x14ac:dyDescent="0.25">
      <c r="A1917" s="509" t="s">
        <v>3052</v>
      </c>
      <c r="B1917" s="509" t="s">
        <v>1552</v>
      </c>
      <c r="C1917" s="510">
        <v>0</v>
      </c>
      <c r="D1917" s="510">
        <v>0</v>
      </c>
      <c r="E1917" s="510">
        <v>0</v>
      </c>
      <c r="F1917" s="510">
        <v>0</v>
      </c>
      <c r="G1917" s="510">
        <v>0</v>
      </c>
    </row>
    <row r="1918" spans="1:7" x14ac:dyDescent="0.25">
      <c r="A1918" s="509" t="s">
        <v>3053</v>
      </c>
      <c r="B1918" s="509" t="s">
        <v>1556</v>
      </c>
      <c r="C1918" s="510">
        <v>0</v>
      </c>
      <c r="D1918" s="510">
        <v>0</v>
      </c>
      <c r="E1918" s="510">
        <v>0</v>
      </c>
      <c r="F1918" s="510">
        <v>0</v>
      </c>
      <c r="G1918" s="510">
        <v>0</v>
      </c>
    </row>
    <row r="1919" spans="1:7" x14ac:dyDescent="0.25">
      <c r="A1919" s="509" t="s">
        <v>3054</v>
      </c>
      <c r="B1919" s="509" t="s">
        <v>1558</v>
      </c>
      <c r="C1919" s="510">
        <v>0</v>
      </c>
      <c r="D1919" s="510">
        <v>0</v>
      </c>
      <c r="E1919" s="510">
        <v>0</v>
      </c>
      <c r="F1919" s="510">
        <v>0</v>
      </c>
      <c r="G1919" s="510">
        <v>0</v>
      </c>
    </row>
    <row r="1920" spans="1:7" x14ac:dyDescent="0.25">
      <c r="A1920" s="509" t="s">
        <v>3055</v>
      </c>
      <c r="B1920" s="509" t="s">
        <v>2066</v>
      </c>
      <c r="C1920" s="510">
        <v>0</v>
      </c>
      <c r="D1920" s="510">
        <v>0</v>
      </c>
      <c r="E1920" s="510">
        <v>0</v>
      </c>
      <c r="F1920" s="510">
        <v>0</v>
      </c>
      <c r="G1920" s="510">
        <v>0</v>
      </c>
    </row>
    <row r="1921" spans="1:7" x14ac:dyDescent="0.25">
      <c r="A1921" s="509" t="s">
        <v>3056</v>
      </c>
      <c r="B1921" s="509" t="s">
        <v>2068</v>
      </c>
      <c r="C1921" s="510">
        <v>0</v>
      </c>
      <c r="D1921" s="510">
        <v>0</v>
      </c>
      <c r="E1921" s="510">
        <v>0</v>
      </c>
      <c r="F1921" s="510">
        <v>0</v>
      </c>
      <c r="G1921" s="510">
        <v>0</v>
      </c>
    </row>
    <row r="1922" spans="1:7" x14ac:dyDescent="0.25">
      <c r="A1922" s="509" t="s">
        <v>3057</v>
      </c>
      <c r="B1922" s="509" t="s">
        <v>2070</v>
      </c>
      <c r="C1922" s="510">
        <v>0</v>
      </c>
      <c r="D1922" s="510">
        <v>12950.47</v>
      </c>
      <c r="E1922" s="510">
        <v>0</v>
      </c>
      <c r="F1922" s="510">
        <v>0</v>
      </c>
      <c r="G1922" s="510">
        <v>12950.47</v>
      </c>
    </row>
    <row r="1923" spans="1:7" x14ac:dyDescent="0.25">
      <c r="A1923" s="509" t="s">
        <v>3058</v>
      </c>
      <c r="B1923" s="509" t="s">
        <v>2072</v>
      </c>
      <c r="C1923" s="510">
        <v>0</v>
      </c>
      <c r="D1923" s="510">
        <v>-12950.47</v>
      </c>
      <c r="E1923" s="510">
        <v>0</v>
      </c>
      <c r="F1923" s="510">
        <v>0</v>
      </c>
      <c r="G1923" s="510">
        <v>-12950.47</v>
      </c>
    </row>
    <row r="1924" spans="1:7" x14ac:dyDescent="0.25">
      <c r="A1924" s="509" t="s">
        <v>3059</v>
      </c>
      <c r="B1924" s="509" t="s">
        <v>2076</v>
      </c>
      <c r="C1924" s="510">
        <v>0</v>
      </c>
      <c r="D1924" s="510">
        <v>0</v>
      </c>
      <c r="E1924" s="510">
        <v>0</v>
      </c>
      <c r="F1924" s="510">
        <v>0</v>
      </c>
      <c r="G1924" s="510">
        <v>0</v>
      </c>
    </row>
    <row r="1925" spans="1:7" x14ac:dyDescent="0.25">
      <c r="A1925" s="509" t="s">
        <v>3060</v>
      </c>
      <c r="B1925" s="509" t="s">
        <v>2078</v>
      </c>
      <c r="C1925" s="510">
        <v>0</v>
      </c>
      <c r="D1925" s="510">
        <v>0</v>
      </c>
      <c r="E1925" s="510">
        <v>0</v>
      </c>
      <c r="F1925" s="510">
        <v>0</v>
      </c>
      <c r="G1925" s="510">
        <v>0</v>
      </c>
    </row>
    <row r="1926" spans="1:7" x14ac:dyDescent="0.25">
      <c r="A1926" s="509" t="s">
        <v>3061</v>
      </c>
      <c r="B1926" s="509" t="s">
        <v>1560</v>
      </c>
      <c r="C1926" s="510">
        <v>0</v>
      </c>
      <c r="D1926" s="510">
        <v>0</v>
      </c>
      <c r="E1926" s="510">
        <v>0</v>
      </c>
      <c r="F1926" s="510">
        <v>0</v>
      </c>
      <c r="G1926" s="510">
        <v>0</v>
      </c>
    </row>
    <row r="1927" spans="1:7" x14ac:dyDescent="0.25">
      <c r="A1927" s="509" t="s">
        <v>3062</v>
      </c>
      <c r="B1927" s="509" t="s">
        <v>104</v>
      </c>
      <c r="C1927" s="510">
        <v>0</v>
      </c>
      <c r="D1927" s="510">
        <v>0</v>
      </c>
      <c r="E1927" s="510">
        <v>0</v>
      </c>
      <c r="F1927" s="510">
        <v>0</v>
      </c>
      <c r="G1927" s="510">
        <v>0</v>
      </c>
    </row>
    <row r="1928" spans="1:7" x14ac:dyDescent="0.25">
      <c r="A1928" s="509" t="s">
        <v>3063</v>
      </c>
      <c r="B1928" s="509" t="s">
        <v>2080</v>
      </c>
      <c r="C1928" s="510">
        <v>0</v>
      </c>
      <c r="D1928" s="510">
        <v>-4530927.29</v>
      </c>
      <c r="E1928" s="510">
        <v>0</v>
      </c>
      <c r="F1928" s="510">
        <v>0</v>
      </c>
      <c r="G1928" s="510">
        <v>-4530927.29</v>
      </c>
    </row>
    <row r="1929" spans="1:7" x14ac:dyDescent="0.25">
      <c r="A1929" s="509" t="s">
        <v>3064</v>
      </c>
      <c r="B1929" s="509" t="s">
        <v>2082</v>
      </c>
      <c r="C1929" s="510">
        <v>0</v>
      </c>
      <c r="D1929" s="510">
        <v>0</v>
      </c>
      <c r="E1929" s="510">
        <v>118170.11</v>
      </c>
      <c r="F1929" s="510">
        <v>118170.11</v>
      </c>
      <c r="G1929" s="510">
        <v>0</v>
      </c>
    </row>
    <row r="1930" spans="1:7" x14ac:dyDescent="0.25">
      <c r="A1930" s="509" t="s">
        <v>3065</v>
      </c>
      <c r="B1930" s="509" t="s">
        <v>2084</v>
      </c>
      <c r="C1930" s="510">
        <v>0</v>
      </c>
      <c r="D1930" s="510">
        <v>0</v>
      </c>
      <c r="E1930" s="510">
        <v>0</v>
      </c>
      <c r="F1930" s="510">
        <v>0</v>
      </c>
      <c r="G1930" s="510">
        <v>0</v>
      </c>
    </row>
    <row r="1931" spans="1:7" x14ac:dyDescent="0.25">
      <c r="A1931" s="509" t="s">
        <v>3066</v>
      </c>
      <c r="B1931" s="509" t="s">
        <v>2092</v>
      </c>
      <c r="C1931" s="510">
        <v>0</v>
      </c>
      <c r="D1931" s="510">
        <v>0</v>
      </c>
      <c r="E1931" s="510">
        <v>0</v>
      </c>
      <c r="F1931" s="510">
        <v>0</v>
      </c>
      <c r="G1931" s="510">
        <v>0</v>
      </c>
    </row>
    <row r="1932" spans="1:7" x14ac:dyDescent="0.25">
      <c r="A1932" s="509" t="s">
        <v>3067</v>
      </c>
      <c r="B1932" s="509" t="s">
        <v>2094</v>
      </c>
      <c r="C1932" s="510">
        <v>0</v>
      </c>
      <c r="D1932" s="510">
        <v>0</v>
      </c>
      <c r="E1932" s="510">
        <v>0</v>
      </c>
      <c r="F1932" s="510">
        <v>0</v>
      </c>
      <c r="G1932" s="510">
        <v>0</v>
      </c>
    </row>
    <row r="1933" spans="1:7" x14ac:dyDescent="0.25">
      <c r="A1933" s="509" t="s">
        <v>3068</v>
      </c>
      <c r="B1933" s="509" t="s">
        <v>2096</v>
      </c>
      <c r="C1933" s="510">
        <v>0</v>
      </c>
      <c r="D1933" s="510">
        <v>0</v>
      </c>
      <c r="E1933" s="510">
        <v>0</v>
      </c>
      <c r="F1933" s="510">
        <v>0</v>
      </c>
      <c r="G1933" s="510">
        <v>0</v>
      </c>
    </row>
    <row r="1934" spans="1:7" x14ac:dyDescent="0.25">
      <c r="A1934" s="509" t="s">
        <v>3069</v>
      </c>
      <c r="B1934" s="509" t="s">
        <v>2098</v>
      </c>
      <c r="C1934" s="510">
        <v>0</v>
      </c>
      <c r="D1934" s="510">
        <v>0</v>
      </c>
      <c r="E1934" s="510">
        <v>0</v>
      </c>
      <c r="F1934" s="510">
        <v>0</v>
      </c>
      <c r="G1934" s="510">
        <v>0</v>
      </c>
    </row>
    <row r="1935" spans="1:7" x14ac:dyDescent="0.25">
      <c r="A1935" s="509" t="s">
        <v>3070</v>
      </c>
      <c r="B1935" s="509" t="s">
        <v>2108</v>
      </c>
      <c r="C1935" s="510">
        <v>0</v>
      </c>
      <c r="D1935" s="510">
        <v>-20531</v>
      </c>
      <c r="E1935" s="510">
        <v>20531</v>
      </c>
      <c r="F1935" s="510">
        <v>0</v>
      </c>
      <c r="G1935" s="510">
        <v>0</v>
      </c>
    </row>
    <row r="1936" spans="1:7" x14ac:dyDescent="0.25">
      <c r="A1936" s="509" t="s">
        <v>3071</v>
      </c>
      <c r="B1936" s="509" t="s">
        <v>2112</v>
      </c>
      <c r="C1936" s="510">
        <v>0</v>
      </c>
      <c r="D1936" s="510">
        <v>0</v>
      </c>
      <c r="E1936" s="510">
        <v>0</v>
      </c>
      <c r="F1936" s="510">
        <v>0</v>
      </c>
      <c r="G1936" s="510">
        <v>0</v>
      </c>
    </row>
    <row r="1937" spans="1:7" x14ac:dyDescent="0.25">
      <c r="A1937" s="509" t="s">
        <v>3072</v>
      </c>
      <c r="B1937" s="509" t="s">
        <v>2114</v>
      </c>
      <c r="C1937" s="510">
        <v>0</v>
      </c>
      <c r="D1937" s="510">
        <v>0</v>
      </c>
      <c r="E1937" s="510">
        <v>0</v>
      </c>
      <c r="F1937" s="510">
        <v>0</v>
      </c>
      <c r="G1937" s="510">
        <v>0</v>
      </c>
    </row>
    <row r="1938" spans="1:7" x14ac:dyDescent="0.25">
      <c r="A1938" s="509" t="s">
        <v>3073</v>
      </c>
      <c r="B1938" s="509" t="s">
        <v>2116</v>
      </c>
      <c r="C1938" s="510">
        <v>0</v>
      </c>
      <c r="D1938" s="510">
        <v>0</v>
      </c>
      <c r="E1938" s="510">
        <v>0</v>
      </c>
      <c r="F1938" s="510">
        <v>0</v>
      </c>
      <c r="G1938" s="510">
        <v>0</v>
      </c>
    </row>
    <row r="1939" spans="1:7" x14ac:dyDescent="0.25">
      <c r="A1939" s="509" t="s">
        <v>3074</v>
      </c>
      <c r="B1939" s="509" t="s">
        <v>2003</v>
      </c>
      <c r="C1939" s="510">
        <v>0</v>
      </c>
      <c r="D1939" s="510">
        <v>0</v>
      </c>
      <c r="E1939" s="510">
        <v>0</v>
      </c>
      <c r="F1939" s="510">
        <v>0</v>
      </c>
      <c r="G1939" s="510">
        <v>0</v>
      </c>
    </row>
    <row r="1940" spans="1:7" x14ac:dyDescent="0.25">
      <c r="A1940" s="509" t="s">
        <v>3075</v>
      </c>
      <c r="B1940" s="509" t="s">
        <v>2123</v>
      </c>
      <c r="C1940" s="510">
        <v>0</v>
      </c>
      <c r="D1940" s="510">
        <v>0</v>
      </c>
      <c r="E1940" s="510">
        <v>0</v>
      </c>
      <c r="F1940" s="510">
        <v>0</v>
      </c>
      <c r="G1940" s="510">
        <v>0</v>
      </c>
    </row>
    <row r="1941" spans="1:7" x14ac:dyDescent="0.25">
      <c r="A1941" s="509" t="s">
        <v>3076</v>
      </c>
      <c r="B1941" s="509" t="s">
        <v>2137</v>
      </c>
      <c r="C1941" s="510">
        <v>0</v>
      </c>
      <c r="D1941" s="510">
        <v>-8115753.9199999999</v>
      </c>
      <c r="E1941" s="510">
        <v>0</v>
      </c>
      <c r="F1941" s="510">
        <v>0</v>
      </c>
      <c r="G1941" s="510">
        <v>-8115753.9199999999</v>
      </c>
    </row>
    <row r="1942" spans="1:7" x14ac:dyDescent="0.25">
      <c r="A1942" s="509" t="s">
        <v>3077</v>
      </c>
      <c r="B1942" s="509" t="s">
        <v>2139</v>
      </c>
      <c r="C1942" s="510">
        <v>0</v>
      </c>
      <c r="D1942" s="510">
        <v>-73166.05</v>
      </c>
      <c r="E1942" s="510">
        <v>0</v>
      </c>
      <c r="F1942" s="510">
        <v>0</v>
      </c>
      <c r="G1942" s="510">
        <v>-73166.05</v>
      </c>
    </row>
    <row r="1943" spans="1:7" x14ac:dyDescent="0.25">
      <c r="A1943" s="509" t="s">
        <v>3078</v>
      </c>
      <c r="B1943" s="509" t="s">
        <v>2141</v>
      </c>
      <c r="C1943" s="510">
        <v>0</v>
      </c>
      <c r="D1943" s="510">
        <v>0</v>
      </c>
      <c r="E1943" s="510">
        <v>0</v>
      </c>
      <c r="F1943" s="510">
        <v>0</v>
      </c>
      <c r="G1943" s="510">
        <v>0</v>
      </c>
    </row>
    <row r="1944" spans="1:7" x14ac:dyDescent="0.25">
      <c r="A1944" s="509" t="s">
        <v>3079</v>
      </c>
      <c r="B1944" s="509" t="s">
        <v>2143</v>
      </c>
      <c r="C1944" s="510">
        <v>0</v>
      </c>
      <c r="D1944" s="510">
        <v>0</v>
      </c>
      <c r="E1944" s="510">
        <v>0</v>
      </c>
      <c r="F1944" s="510">
        <v>0</v>
      </c>
      <c r="G1944" s="510">
        <v>0</v>
      </c>
    </row>
    <row r="1945" spans="1:7" x14ac:dyDescent="0.25">
      <c r="A1945" s="509" t="s">
        <v>3080</v>
      </c>
      <c r="B1945" s="509" t="s">
        <v>2145</v>
      </c>
      <c r="C1945" s="510">
        <v>0</v>
      </c>
      <c r="D1945" s="510">
        <v>0</v>
      </c>
      <c r="E1945" s="510">
        <v>0</v>
      </c>
      <c r="F1945" s="510">
        <v>0</v>
      </c>
      <c r="G1945" s="510">
        <v>0</v>
      </c>
    </row>
    <row r="1946" spans="1:7" x14ac:dyDescent="0.25">
      <c r="A1946" s="509" t="s">
        <v>3081</v>
      </c>
      <c r="B1946" s="509" t="s">
        <v>2149</v>
      </c>
      <c r="C1946" s="510">
        <v>0</v>
      </c>
      <c r="D1946" s="510">
        <v>0</v>
      </c>
      <c r="E1946" s="510">
        <v>0</v>
      </c>
      <c r="F1946" s="510">
        <v>0</v>
      </c>
      <c r="G1946" s="510">
        <v>0</v>
      </c>
    </row>
    <row r="1947" spans="1:7" x14ac:dyDescent="0.25">
      <c r="A1947" s="509" t="s">
        <v>3082</v>
      </c>
      <c r="B1947" s="509" t="s">
        <v>2151</v>
      </c>
      <c r="C1947" s="510">
        <v>0</v>
      </c>
      <c r="D1947" s="510">
        <v>0</v>
      </c>
      <c r="E1947" s="510">
        <v>0</v>
      </c>
      <c r="F1947" s="510">
        <v>0</v>
      </c>
      <c r="G1947" s="510">
        <v>0</v>
      </c>
    </row>
    <row r="1948" spans="1:7" x14ac:dyDescent="0.25">
      <c r="A1948" s="509" t="s">
        <v>3083</v>
      </c>
      <c r="B1948" s="509" t="s">
        <v>2157</v>
      </c>
      <c r="C1948" s="510">
        <v>0</v>
      </c>
      <c r="D1948" s="510">
        <v>0</v>
      </c>
      <c r="E1948" s="510">
        <v>0</v>
      </c>
      <c r="F1948" s="510">
        <v>0</v>
      </c>
      <c r="G1948" s="510">
        <v>0</v>
      </c>
    </row>
    <row r="1949" spans="1:7" x14ac:dyDescent="0.25">
      <c r="A1949" s="509" t="s">
        <v>3084</v>
      </c>
      <c r="B1949" s="509" t="s">
        <v>2159</v>
      </c>
      <c r="C1949" s="510">
        <v>0</v>
      </c>
      <c r="D1949" s="510">
        <v>0</v>
      </c>
      <c r="E1949" s="510">
        <v>0</v>
      </c>
      <c r="F1949" s="510">
        <v>0</v>
      </c>
      <c r="G1949" s="510">
        <v>0</v>
      </c>
    </row>
    <row r="1950" spans="1:7" x14ac:dyDescent="0.25">
      <c r="A1950" s="509" t="s">
        <v>3085</v>
      </c>
      <c r="B1950" s="509" t="s">
        <v>2161</v>
      </c>
      <c r="C1950" s="510">
        <v>0</v>
      </c>
      <c r="D1950" s="510">
        <v>0</v>
      </c>
      <c r="E1950" s="510">
        <v>0</v>
      </c>
      <c r="F1950" s="510">
        <v>0</v>
      </c>
      <c r="G1950" s="510">
        <v>0</v>
      </c>
    </row>
    <row r="1951" spans="1:7" x14ac:dyDescent="0.25">
      <c r="A1951" s="509" t="s">
        <v>3086</v>
      </c>
      <c r="B1951" s="509" t="s">
        <v>2163</v>
      </c>
      <c r="C1951" s="510">
        <v>0</v>
      </c>
      <c r="D1951" s="510">
        <v>0</v>
      </c>
      <c r="E1951" s="510">
        <v>0</v>
      </c>
      <c r="F1951" s="510">
        <v>0</v>
      </c>
      <c r="G1951" s="510">
        <v>0</v>
      </c>
    </row>
    <row r="1952" spans="1:7" x14ac:dyDescent="0.25">
      <c r="A1952" s="509" t="s">
        <v>3087</v>
      </c>
      <c r="B1952" s="509" t="s">
        <v>2165</v>
      </c>
      <c r="C1952" s="510">
        <v>0</v>
      </c>
      <c r="D1952" s="510">
        <v>0</v>
      </c>
      <c r="E1952" s="510">
        <v>0</v>
      </c>
      <c r="F1952" s="510">
        <v>0</v>
      </c>
      <c r="G1952" s="510">
        <v>0</v>
      </c>
    </row>
    <row r="1953" spans="1:7" x14ac:dyDescent="0.25">
      <c r="A1953" s="509" t="s">
        <v>3088</v>
      </c>
      <c r="B1953" s="509" t="s">
        <v>2167</v>
      </c>
      <c r="C1953" s="510">
        <v>0</v>
      </c>
      <c r="D1953" s="510">
        <v>0</v>
      </c>
      <c r="E1953" s="510">
        <v>0</v>
      </c>
      <c r="F1953" s="510">
        <v>0</v>
      </c>
      <c r="G1953" s="510">
        <v>0</v>
      </c>
    </row>
    <row r="1954" spans="1:7" x14ac:dyDescent="0.25">
      <c r="A1954" s="509" t="s">
        <v>3089</v>
      </c>
      <c r="B1954" s="509" t="s">
        <v>2169</v>
      </c>
      <c r="C1954" s="510">
        <v>0</v>
      </c>
      <c r="D1954" s="510">
        <v>0</v>
      </c>
      <c r="E1954" s="510">
        <v>0</v>
      </c>
      <c r="F1954" s="510">
        <v>0</v>
      </c>
      <c r="G1954" s="510">
        <v>0</v>
      </c>
    </row>
    <row r="1955" spans="1:7" x14ac:dyDescent="0.25">
      <c r="A1955" s="509" t="s">
        <v>3090</v>
      </c>
      <c r="B1955" s="509" t="s">
        <v>2206</v>
      </c>
      <c r="C1955" s="510">
        <v>0</v>
      </c>
      <c r="D1955" s="510">
        <v>0</v>
      </c>
      <c r="E1955" s="510">
        <v>0</v>
      </c>
      <c r="F1955" s="510">
        <v>0</v>
      </c>
      <c r="G1955" s="510">
        <v>0</v>
      </c>
    </row>
    <row r="1956" spans="1:7" x14ac:dyDescent="0.25">
      <c r="A1956" s="509" t="s">
        <v>3091</v>
      </c>
      <c r="B1956" s="509" t="s">
        <v>2218</v>
      </c>
      <c r="C1956" s="510">
        <v>0</v>
      </c>
      <c r="D1956" s="510">
        <v>0</v>
      </c>
      <c r="E1956" s="510">
        <v>0</v>
      </c>
      <c r="F1956" s="510">
        <v>0</v>
      </c>
      <c r="G1956" s="510">
        <v>0</v>
      </c>
    </row>
    <row r="1957" spans="1:7" x14ac:dyDescent="0.25">
      <c r="A1957" s="509" t="s">
        <v>3092</v>
      </c>
      <c r="B1957" s="509" t="s">
        <v>1120</v>
      </c>
      <c r="C1957" s="510">
        <v>0</v>
      </c>
      <c r="D1957" s="510">
        <v>0</v>
      </c>
      <c r="E1957" s="510">
        <v>0</v>
      </c>
      <c r="F1957" s="510">
        <v>0</v>
      </c>
      <c r="G1957" s="510">
        <v>0</v>
      </c>
    </row>
    <row r="1958" spans="1:7" x14ac:dyDescent="0.25">
      <c r="A1958" s="509" t="s">
        <v>3093</v>
      </c>
      <c r="B1958" s="509" t="s">
        <v>1121</v>
      </c>
      <c r="C1958" s="510">
        <v>0</v>
      </c>
      <c r="D1958" s="510">
        <v>0</v>
      </c>
      <c r="E1958" s="510">
        <v>0</v>
      </c>
      <c r="F1958" s="510">
        <v>0</v>
      </c>
      <c r="G1958" s="510">
        <v>0</v>
      </c>
    </row>
    <row r="1959" spans="1:7" x14ac:dyDescent="0.25">
      <c r="A1959" s="509" t="s">
        <v>3094</v>
      </c>
      <c r="B1959" s="509" t="s">
        <v>1122</v>
      </c>
      <c r="C1959" s="510">
        <v>0</v>
      </c>
      <c r="D1959" s="510">
        <v>0</v>
      </c>
      <c r="E1959" s="510">
        <v>0</v>
      </c>
      <c r="F1959" s="510">
        <v>0</v>
      </c>
      <c r="G1959" s="510">
        <v>0</v>
      </c>
    </row>
    <row r="1960" spans="1:7" x14ac:dyDescent="0.25">
      <c r="A1960" s="509" t="s">
        <v>3095</v>
      </c>
      <c r="B1960" s="509" t="s">
        <v>1123</v>
      </c>
      <c r="C1960" s="510">
        <v>0</v>
      </c>
      <c r="D1960" s="510">
        <v>0</v>
      </c>
      <c r="E1960" s="510">
        <v>0</v>
      </c>
      <c r="F1960" s="510">
        <v>0</v>
      </c>
      <c r="G1960" s="510">
        <v>0</v>
      </c>
    </row>
    <row r="1961" spans="1:7" x14ac:dyDescent="0.25">
      <c r="A1961" s="509" t="s">
        <v>3096</v>
      </c>
      <c r="B1961" s="509" t="s">
        <v>1124</v>
      </c>
      <c r="C1961" s="510">
        <v>0</v>
      </c>
      <c r="D1961" s="510">
        <v>0</v>
      </c>
      <c r="E1961" s="510">
        <v>0</v>
      </c>
      <c r="F1961" s="510">
        <v>0</v>
      </c>
      <c r="G1961" s="510">
        <v>0</v>
      </c>
    </row>
    <row r="1962" spans="1:7" x14ac:dyDescent="0.25">
      <c r="A1962" s="509" t="s">
        <v>3097</v>
      </c>
      <c r="B1962" s="509" t="s">
        <v>1125</v>
      </c>
      <c r="C1962" s="510">
        <v>0</v>
      </c>
      <c r="D1962" s="510">
        <v>0</v>
      </c>
      <c r="E1962" s="510">
        <v>0</v>
      </c>
      <c r="F1962" s="510">
        <v>0</v>
      </c>
      <c r="G1962" s="510">
        <v>0</v>
      </c>
    </row>
    <row r="1963" spans="1:7" x14ac:dyDescent="0.25">
      <c r="A1963" s="509" t="s">
        <v>3098</v>
      </c>
      <c r="B1963" s="509" t="s">
        <v>6</v>
      </c>
      <c r="C1963" s="510">
        <v>0</v>
      </c>
      <c r="D1963" s="510">
        <v>0</v>
      </c>
      <c r="E1963" s="510">
        <v>0</v>
      </c>
      <c r="F1963" s="510">
        <v>0</v>
      </c>
      <c r="G1963" s="510">
        <v>0</v>
      </c>
    </row>
    <row r="1964" spans="1:7" x14ac:dyDescent="0.25">
      <c r="A1964" s="509" t="s">
        <v>3099</v>
      </c>
      <c r="B1964" s="509" t="s">
        <v>855</v>
      </c>
      <c r="C1964" s="510">
        <v>0</v>
      </c>
      <c r="D1964" s="510">
        <v>0</v>
      </c>
      <c r="E1964" s="510">
        <v>0</v>
      </c>
      <c r="F1964" s="510">
        <v>0</v>
      </c>
      <c r="G1964" s="510">
        <v>0</v>
      </c>
    </row>
    <row r="1965" spans="1:7" x14ac:dyDescent="0.25">
      <c r="A1965" s="509" t="s">
        <v>3100</v>
      </c>
      <c r="B1965" s="509" t="s">
        <v>2694</v>
      </c>
      <c r="C1965" s="510">
        <v>0</v>
      </c>
      <c r="D1965" s="510">
        <v>0</v>
      </c>
      <c r="E1965" s="510">
        <v>0</v>
      </c>
      <c r="F1965" s="510">
        <v>0</v>
      </c>
      <c r="G1965" s="510">
        <v>0</v>
      </c>
    </row>
    <row r="1966" spans="1:7" x14ac:dyDescent="0.25">
      <c r="A1966" s="509" t="s">
        <v>3101</v>
      </c>
      <c r="B1966" s="509" t="s">
        <v>1126</v>
      </c>
      <c r="C1966" s="510">
        <v>0</v>
      </c>
      <c r="D1966" s="510">
        <v>0</v>
      </c>
      <c r="E1966" s="510">
        <v>0</v>
      </c>
      <c r="F1966" s="510">
        <v>0</v>
      </c>
      <c r="G1966" s="510">
        <v>0</v>
      </c>
    </row>
    <row r="1967" spans="1:7" x14ac:dyDescent="0.25">
      <c r="A1967" s="509" t="s">
        <v>3102</v>
      </c>
      <c r="B1967" s="509" t="s">
        <v>8</v>
      </c>
      <c r="C1967" s="510">
        <v>0</v>
      </c>
      <c r="D1967" s="510">
        <v>0</v>
      </c>
      <c r="E1967" s="510">
        <v>0</v>
      </c>
      <c r="F1967" s="510">
        <v>0</v>
      </c>
      <c r="G1967" s="510">
        <v>0</v>
      </c>
    </row>
    <row r="1968" spans="1:7" x14ac:dyDescent="0.25">
      <c r="A1968" s="509" t="s">
        <v>3103</v>
      </c>
      <c r="B1968" s="509" t="s">
        <v>10</v>
      </c>
      <c r="C1968" s="510">
        <v>0</v>
      </c>
      <c r="D1968" s="510">
        <v>0</v>
      </c>
      <c r="E1968" s="510">
        <v>0</v>
      </c>
      <c r="F1968" s="510">
        <v>0</v>
      </c>
      <c r="G1968" s="510">
        <v>0</v>
      </c>
    </row>
    <row r="1969" spans="1:7" x14ac:dyDescent="0.25">
      <c r="A1969" s="509" t="s">
        <v>3104</v>
      </c>
      <c r="B1969" s="509" t="s">
        <v>12</v>
      </c>
      <c r="C1969" s="510">
        <v>0</v>
      </c>
      <c r="D1969" s="510">
        <v>0</v>
      </c>
      <c r="E1969" s="510">
        <v>0</v>
      </c>
      <c r="F1969" s="510">
        <v>0</v>
      </c>
      <c r="G1969" s="510">
        <v>0</v>
      </c>
    </row>
    <row r="1970" spans="1:7" x14ac:dyDescent="0.25">
      <c r="A1970" s="509" t="s">
        <v>3105</v>
      </c>
      <c r="B1970" s="509" t="s">
        <v>13</v>
      </c>
      <c r="C1970" s="510">
        <v>0</v>
      </c>
      <c r="D1970" s="510">
        <v>0</v>
      </c>
      <c r="E1970" s="510">
        <v>0</v>
      </c>
      <c r="F1970" s="510">
        <v>0</v>
      </c>
      <c r="G1970" s="510">
        <v>0</v>
      </c>
    </row>
    <row r="1971" spans="1:7" x14ac:dyDescent="0.25">
      <c r="A1971" s="509" t="s">
        <v>3106</v>
      </c>
      <c r="B1971" s="509" t="s">
        <v>2230</v>
      </c>
      <c r="C1971" s="510">
        <v>0</v>
      </c>
      <c r="D1971" s="510">
        <v>0</v>
      </c>
      <c r="E1971" s="510">
        <v>0</v>
      </c>
      <c r="F1971" s="510">
        <v>0</v>
      </c>
      <c r="G1971" s="510">
        <v>0</v>
      </c>
    </row>
    <row r="1972" spans="1:7" x14ac:dyDescent="0.25">
      <c r="A1972" s="509" t="s">
        <v>943</v>
      </c>
      <c r="B1972" s="509" t="s">
        <v>15</v>
      </c>
      <c r="C1972" s="510">
        <v>8000</v>
      </c>
      <c r="D1972" s="510">
        <v>0</v>
      </c>
      <c r="E1972" s="510">
        <v>850</v>
      </c>
      <c r="F1972" s="510">
        <v>5014.1000000000004</v>
      </c>
      <c r="G1972" s="510">
        <v>-4164.1000000000004</v>
      </c>
    </row>
    <row r="1973" spans="1:7" x14ac:dyDescent="0.25">
      <c r="A1973" s="509" t="s">
        <v>3107</v>
      </c>
      <c r="B1973" s="509" t="s">
        <v>16</v>
      </c>
      <c r="C1973" s="510">
        <v>0</v>
      </c>
      <c r="D1973" s="510">
        <v>0</v>
      </c>
      <c r="E1973" s="510">
        <v>0</v>
      </c>
      <c r="F1973" s="510">
        <v>0</v>
      </c>
      <c r="G1973" s="510">
        <v>0</v>
      </c>
    </row>
    <row r="1974" spans="1:7" x14ac:dyDescent="0.25">
      <c r="A1974" s="509" t="s">
        <v>3108</v>
      </c>
      <c r="B1974" s="509" t="s">
        <v>2232</v>
      </c>
      <c r="C1974" s="510">
        <v>0</v>
      </c>
      <c r="D1974" s="510">
        <v>0</v>
      </c>
      <c r="E1974" s="510">
        <v>0</v>
      </c>
      <c r="F1974" s="510">
        <v>0</v>
      </c>
      <c r="G1974" s="510">
        <v>0</v>
      </c>
    </row>
    <row r="1975" spans="1:7" x14ac:dyDescent="0.25">
      <c r="A1975" s="509" t="s">
        <v>940</v>
      </c>
      <c r="B1975" s="509" t="s">
        <v>17</v>
      </c>
      <c r="C1975" s="510">
        <v>0</v>
      </c>
      <c r="D1975" s="510">
        <v>0</v>
      </c>
      <c r="E1975" s="510">
        <v>0</v>
      </c>
      <c r="F1975" s="510">
        <v>0</v>
      </c>
      <c r="G1975" s="510">
        <v>0</v>
      </c>
    </row>
    <row r="1976" spans="1:7" x14ac:dyDescent="0.25">
      <c r="A1976" s="509" t="s">
        <v>3109</v>
      </c>
      <c r="B1976" s="509" t="s">
        <v>18</v>
      </c>
      <c r="C1976" s="510">
        <v>0</v>
      </c>
      <c r="D1976" s="510">
        <v>0</v>
      </c>
      <c r="E1976" s="510">
        <v>0</v>
      </c>
      <c r="F1976" s="510">
        <v>0</v>
      </c>
      <c r="G1976" s="510">
        <v>0</v>
      </c>
    </row>
    <row r="1977" spans="1:7" x14ac:dyDescent="0.25">
      <c r="A1977" s="509" t="s">
        <v>941</v>
      </c>
      <c r="B1977" s="509" t="s">
        <v>1128</v>
      </c>
      <c r="C1977" s="510">
        <v>3300</v>
      </c>
      <c r="D1977" s="510">
        <v>0</v>
      </c>
      <c r="E1977" s="510">
        <v>0</v>
      </c>
      <c r="F1977" s="510">
        <v>0</v>
      </c>
      <c r="G1977" s="510">
        <v>0</v>
      </c>
    </row>
    <row r="1978" spans="1:7" x14ac:dyDescent="0.25">
      <c r="A1978" s="509" t="s">
        <v>3110</v>
      </c>
      <c r="B1978" s="509" t="s">
        <v>3111</v>
      </c>
      <c r="C1978" s="510">
        <v>0</v>
      </c>
      <c r="D1978" s="510">
        <v>0</v>
      </c>
      <c r="E1978" s="510">
        <v>0</v>
      </c>
      <c r="F1978" s="510">
        <v>0</v>
      </c>
      <c r="G1978" s="510">
        <v>0</v>
      </c>
    </row>
    <row r="1979" spans="1:7" x14ac:dyDescent="0.25">
      <c r="A1979" s="509" t="s">
        <v>3112</v>
      </c>
      <c r="B1979" s="509" t="s">
        <v>181</v>
      </c>
      <c r="C1979" s="510">
        <v>0</v>
      </c>
      <c r="D1979" s="510">
        <v>0</v>
      </c>
      <c r="E1979" s="510">
        <v>0</v>
      </c>
      <c r="F1979" s="510">
        <v>0</v>
      </c>
      <c r="G1979" s="510">
        <v>0</v>
      </c>
    </row>
    <row r="1980" spans="1:7" x14ac:dyDescent="0.25">
      <c r="A1980" s="509" t="s">
        <v>942</v>
      </c>
      <c r="B1980" s="509" t="s">
        <v>21</v>
      </c>
      <c r="C1980" s="510">
        <v>0</v>
      </c>
      <c r="D1980" s="510">
        <v>0</v>
      </c>
      <c r="E1980" s="510">
        <v>0</v>
      </c>
      <c r="F1980" s="510">
        <v>0</v>
      </c>
      <c r="G1980" s="510">
        <v>0</v>
      </c>
    </row>
    <row r="1981" spans="1:7" x14ac:dyDescent="0.25">
      <c r="A1981" s="509" t="s">
        <v>3113</v>
      </c>
      <c r="B1981" s="509" t="s">
        <v>2242</v>
      </c>
      <c r="C1981" s="510">
        <v>0</v>
      </c>
      <c r="D1981" s="510">
        <v>0</v>
      </c>
      <c r="E1981" s="510">
        <v>0</v>
      </c>
      <c r="F1981" s="510">
        <v>0</v>
      </c>
      <c r="G1981" s="510">
        <v>0</v>
      </c>
    </row>
    <row r="1982" spans="1:7" x14ac:dyDescent="0.25">
      <c r="A1982" s="509" t="s">
        <v>3114</v>
      </c>
      <c r="B1982" s="509" t="s">
        <v>2244</v>
      </c>
      <c r="C1982" s="510">
        <v>0</v>
      </c>
      <c r="D1982" s="510">
        <v>0</v>
      </c>
      <c r="E1982" s="510">
        <v>0</v>
      </c>
      <c r="F1982" s="510">
        <v>0</v>
      </c>
      <c r="G1982" s="510">
        <v>0</v>
      </c>
    </row>
    <row r="1983" spans="1:7" x14ac:dyDescent="0.25">
      <c r="A1983" s="509" t="s">
        <v>3115</v>
      </c>
      <c r="B1983" s="509" t="s">
        <v>32</v>
      </c>
      <c r="C1983" s="510">
        <v>0</v>
      </c>
      <c r="D1983" s="510">
        <v>0</v>
      </c>
      <c r="E1983" s="510">
        <v>0</v>
      </c>
      <c r="F1983" s="510">
        <v>0</v>
      </c>
      <c r="G1983" s="510">
        <v>0</v>
      </c>
    </row>
    <row r="1984" spans="1:7" x14ac:dyDescent="0.25">
      <c r="A1984" s="509" t="s">
        <v>3116</v>
      </c>
      <c r="B1984" s="509" t="s">
        <v>3117</v>
      </c>
      <c r="C1984" s="510">
        <v>0</v>
      </c>
      <c r="D1984" s="510">
        <v>0</v>
      </c>
      <c r="E1984" s="510">
        <v>0</v>
      </c>
      <c r="F1984" s="510">
        <v>0</v>
      </c>
      <c r="G1984" s="510">
        <v>0</v>
      </c>
    </row>
    <row r="1985" spans="1:7" x14ac:dyDescent="0.25">
      <c r="A1985" s="509" t="s">
        <v>3118</v>
      </c>
      <c r="B1985" s="509" t="s">
        <v>867</v>
      </c>
      <c r="C1985" s="510">
        <v>0</v>
      </c>
      <c r="D1985" s="510">
        <v>0</v>
      </c>
      <c r="E1985" s="510">
        <v>0</v>
      </c>
      <c r="F1985" s="510">
        <v>0</v>
      </c>
      <c r="G1985" s="510">
        <v>0</v>
      </c>
    </row>
    <row r="1986" spans="1:7" x14ac:dyDescent="0.25">
      <c r="A1986" s="509" t="s">
        <v>3119</v>
      </c>
      <c r="B1986" s="509" t="s">
        <v>2248</v>
      </c>
      <c r="C1986" s="510">
        <v>0</v>
      </c>
      <c r="D1986" s="510">
        <v>0</v>
      </c>
      <c r="E1986" s="510">
        <v>0</v>
      </c>
      <c r="F1986" s="510">
        <v>0</v>
      </c>
      <c r="G1986" s="510">
        <v>0</v>
      </c>
    </row>
    <row r="1987" spans="1:7" x14ac:dyDescent="0.25">
      <c r="A1987" s="509" t="s">
        <v>3120</v>
      </c>
      <c r="B1987" s="509" t="s">
        <v>665</v>
      </c>
      <c r="C1987" s="510">
        <v>0</v>
      </c>
      <c r="D1987" s="510">
        <v>0</v>
      </c>
      <c r="E1987" s="510">
        <v>0</v>
      </c>
      <c r="F1987" s="510">
        <v>0</v>
      </c>
      <c r="G1987" s="510">
        <v>0</v>
      </c>
    </row>
    <row r="1988" spans="1:7" x14ac:dyDescent="0.25">
      <c r="A1988" s="509" t="s">
        <v>3121</v>
      </c>
      <c r="B1988" s="509" t="s">
        <v>667</v>
      </c>
      <c r="C1988" s="510">
        <v>0</v>
      </c>
      <c r="D1988" s="510">
        <v>0</v>
      </c>
      <c r="E1988" s="510">
        <v>0</v>
      </c>
      <c r="F1988" s="510">
        <v>0</v>
      </c>
      <c r="G1988" s="510">
        <v>0</v>
      </c>
    </row>
    <row r="1989" spans="1:7" x14ac:dyDescent="0.25">
      <c r="A1989" s="509" t="s">
        <v>3122</v>
      </c>
      <c r="B1989" s="509" t="s">
        <v>37</v>
      </c>
      <c r="C1989" s="510">
        <v>0</v>
      </c>
      <c r="D1989" s="510">
        <v>0</v>
      </c>
      <c r="E1989" s="510">
        <v>0</v>
      </c>
      <c r="F1989" s="510">
        <v>0</v>
      </c>
      <c r="G1989" s="510">
        <v>0</v>
      </c>
    </row>
    <row r="1990" spans="1:7" x14ac:dyDescent="0.25">
      <c r="A1990" s="509" t="s">
        <v>3123</v>
      </c>
      <c r="B1990" s="509" t="s">
        <v>153</v>
      </c>
      <c r="C1990" s="510">
        <v>0</v>
      </c>
      <c r="D1990" s="510">
        <v>0</v>
      </c>
      <c r="E1990" s="510">
        <v>0</v>
      </c>
      <c r="F1990" s="510">
        <v>0</v>
      </c>
      <c r="G1990" s="510">
        <v>0</v>
      </c>
    </row>
    <row r="1991" spans="1:7" x14ac:dyDescent="0.25">
      <c r="A1991" s="509" t="s">
        <v>3124</v>
      </c>
      <c r="B1991" s="509" t="s">
        <v>154</v>
      </c>
      <c r="C1991" s="510">
        <v>0</v>
      </c>
      <c r="D1991" s="510">
        <v>0</v>
      </c>
      <c r="E1991" s="510">
        <v>0</v>
      </c>
      <c r="F1991" s="510">
        <v>0</v>
      </c>
      <c r="G1991" s="510">
        <v>0</v>
      </c>
    </row>
    <row r="1992" spans="1:7" x14ac:dyDescent="0.25">
      <c r="A1992" s="509" t="s">
        <v>3125</v>
      </c>
      <c r="B1992" s="509" t="s">
        <v>38</v>
      </c>
      <c r="C1992" s="510">
        <v>0</v>
      </c>
      <c r="D1992" s="510">
        <v>0</v>
      </c>
      <c r="E1992" s="510">
        <v>0</v>
      </c>
      <c r="F1992" s="510">
        <v>0</v>
      </c>
      <c r="G1992" s="510">
        <v>0</v>
      </c>
    </row>
    <row r="1993" spans="1:7" x14ac:dyDescent="0.25">
      <c r="A1993" s="509" t="s">
        <v>3126</v>
      </c>
      <c r="B1993" s="509" t="s">
        <v>77</v>
      </c>
      <c r="C1993" s="510">
        <v>0</v>
      </c>
      <c r="D1993" s="510">
        <v>0</v>
      </c>
      <c r="E1993" s="510">
        <v>0</v>
      </c>
      <c r="F1993" s="510">
        <v>0</v>
      </c>
      <c r="G1993" s="510">
        <v>0</v>
      </c>
    </row>
    <row r="1994" spans="1:7" x14ac:dyDescent="0.25">
      <c r="A1994" s="509" t="s">
        <v>3127</v>
      </c>
      <c r="B1994" s="509" t="s">
        <v>78</v>
      </c>
      <c r="C1994" s="510">
        <v>0</v>
      </c>
      <c r="D1994" s="510">
        <v>0</v>
      </c>
      <c r="E1994" s="510">
        <v>0</v>
      </c>
      <c r="F1994" s="510">
        <v>0</v>
      </c>
      <c r="G1994" s="510">
        <v>0</v>
      </c>
    </row>
    <row r="1995" spans="1:7" x14ac:dyDescent="0.25">
      <c r="A1995" s="509" t="s">
        <v>3128</v>
      </c>
      <c r="B1995" s="509" t="s">
        <v>893</v>
      </c>
      <c r="C1995" s="510">
        <v>0</v>
      </c>
      <c r="D1995" s="510">
        <v>0</v>
      </c>
      <c r="E1995" s="510">
        <v>0</v>
      </c>
      <c r="F1995" s="510">
        <v>0</v>
      </c>
      <c r="G1995" s="510">
        <v>0</v>
      </c>
    </row>
    <row r="1996" spans="1:7" x14ac:dyDescent="0.25">
      <c r="A1996" s="509" t="s">
        <v>3129</v>
      </c>
      <c r="B1996" s="509" t="s">
        <v>2249</v>
      </c>
      <c r="C1996" s="510">
        <v>0</v>
      </c>
      <c r="D1996" s="510">
        <v>0</v>
      </c>
      <c r="E1996" s="510">
        <v>0</v>
      </c>
      <c r="F1996" s="510">
        <v>0</v>
      </c>
      <c r="G1996" s="510">
        <v>0</v>
      </c>
    </row>
    <row r="1997" spans="1:7" x14ac:dyDescent="0.25">
      <c r="A1997" s="509" t="s">
        <v>3130</v>
      </c>
      <c r="B1997" s="509" t="s">
        <v>64</v>
      </c>
      <c r="C1997" s="510">
        <v>0</v>
      </c>
      <c r="D1997" s="510">
        <v>0</v>
      </c>
      <c r="E1997" s="510">
        <v>0</v>
      </c>
      <c r="F1997" s="510">
        <v>0</v>
      </c>
      <c r="G1997" s="510">
        <v>0</v>
      </c>
    </row>
    <row r="1998" spans="1:7" x14ac:dyDescent="0.25">
      <c r="A1998" s="509" t="s">
        <v>3131</v>
      </c>
      <c r="B1998" s="509" t="s">
        <v>40</v>
      </c>
      <c r="C1998" s="510">
        <v>0</v>
      </c>
      <c r="D1998" s="510">
        <v>0</v>
      </c>
      <c r="E1998" s="510">
        <v>0</v>
      </c>
      <c r="F1998" s="510">
        <v>0</v>
      </c>
      <c r="G1998" s="510">
        <v>0</v>
      </c>
    </row>
    <row r="1999" spans="1:7" x14ac:dyDescent="0.25">
      <c r="A1999" s="509" t="s">
        <v>3132</v>
      </c>
      <c r="B1999" s="509" t="s">
        <v>41</v>
      </c>
      <c r="C1999" s="510">
        <v>0</v>
      </c>
      <c r="D1999" s="510">
        <v>0</v>
      </c>
      <c r="E1999" s="510">
        <v>0</v>
      </c>
      <c r="F1999" s="510">
        <v>0</v>
      </c>
      <c r="G1999" s="510">
        <v>0</v>
      </c>
    </row>
    <row r="2000" spans="1:7" x14ac:dyDescent="0.25">
      <c r="A2000" s="509" t="s">
        <v>3133</v>
      </c>
      <c r="B2000" s="509" t="s">
        <v>155</v>
      </c>
      <c r="C2000" s="510">
        <v>0</v>
      </c>
      <c r="D2000" s="510">
        <v>0</v>
      </c>
      <c r="E2000" s="510">
        <v>0</v>
      </c>
      <c r="F2000" s="510">
        <v>0</v>
      </c>
      <c r="G2000" s="510">
        <v>0</v>
      </c>
    </row>
    <row r="2001" spans="1:7" x14ac:dyDescent="0.25">
      <c r="A2001" s="509" t="s">
        <v>3134</v>
      </c>
      <c r="B2001" s="509" t="s">
        <v>42</v>
      </c>
      <c r="C2001" s="510">
        <v>0</v>
      </c>
      <c r="D2001" s="510">
        <v>0</v>
      </c>
      <c r="E2001" s="510">
        <v>0</v>
      </c>
      <c r="F2001" s="510">
        <v>0</v>
      </c>
      <c r="G2001" s="510">
        <v>0</v>
      </c>
    </row>
    <row r="2002" spans="1:7" x14ac:dyDescent="0.25">
      <c r="A2002" s="509" t="s">
        <v>3135</v>
      </c>
      <c r="B2002" s="509" t="s">
        <v>2252</v>
      </c>
      <c r="C2002" s="510">
        <v>0</v>
      </c>
      <c r="D2002" s="510">
        <v>0</v>
      </c>
      <c r="E2002" s="510">
        <v>0</v>
      </c>
      <c r="F2002" s="510">
        <v>0</v>
      </c>
      <c r="G2002" s="510">
        <v>0</v>
      </c>
    </row>
    <row r="2003" spans="1:7" x14ac:dyDescent="0.25">
      <c r="A2003" s="509" t="s">
        <v>3136</v>
      </c>
      <c r="B2003" s="509" t="s">
        <v>44</v>
      </c>
      <c r="C2003" s="510">
        <v>0</v>
      </c>
      <c r="D2003" s="510">
        <v>0</v>
      </c>
      <c r="E2003" s="510">
        <v>0</v>
      </c>
      <c r="F2003" s="510">
        <v>0</v>
      </c>
      <c r="G2003" s="510">
        <v>0</v>
      </c>
    </row>
    <row r="2004" spans="1:7" x14ac:dyDescent="0.25">
      <c r="A2004" s="509" t="s">
        <v>3137</v>
      </c>
      <c r="B2004" s="509" t="s">
        <v>156</v>
      </c>
      <c r="C2004" s="510">
        <v>0</v>
      </c>
      <c r="D2004" s="510">
        <v>0</v>
      </c>
      <c r="E2004" s="510">
        <v>0</v>
      </c>
      <c r="F2004" s="510">
        <v>0</v>
      </c>
      <c r="G2004" s="510">
        <v>0</v>
      </c>
    </row>
    <row r="2005" spans="1:7" x14ac:dyDescent="0.25">
      <c r="A2005" s="509" t="s">
        <v>3138</v>
      </c>
      <c r="B2005" s="509" t="s">
        <v>2258</v>
      </c>
      <c r="C2005" s="510">
        <v>0</v>
      </c>
      <c r="D2005" s="510">
        <v>0</v>
      </c>
      <c r="E2005" s="510">
        <v>0</v>
      </c>
      <c r="F2005" s="510">
        <v>0</v>
      </c>
      <c r="G2005" s="510">
        <v>0</v>
      </c>
    </row>
    <row r="2006" spans="1:7" x14ac:dyDescent="0.25">
      <c r="A2006" s="509" t="s">
        <v>3139</v>
      </c>
      <c r="B2006" s="509" t="s">
        <v>2260</v>
      </c>
      <c r="C2006" s="510">
        <v>0</v>
      </c>
      <c r="D2006" s="510">
        <v>0</v>
      </c>
      <c r="E2006" s="510">
        <v>0</v>
      </c>
      <c r="F2006" s="510">
        <v>0</v>
      </c>
      <c r="G2006" s="510">
        <v>0</v>
      </c>
    </row>
    <row r="2007" spans="1:7" x14ac:dyDescent="0.25">
      <c r="A2007" s="509" t="s">
        <v>3140</v>
      </c>
      <c r="B2007" s="509" t="s">
        <v>157</v>
      </c>
      <c r="C2007" s="510">
        <v>0</v>
      </c>
      <c r="D2007" s="510">
        <v>0</v>
      </c>
      <c r="E2007" s="510">
        <v>0</v>
      </c>
      <c r="F2007" s="510">
        <v>0</v>
      </c>
      <c r="G2007" s="510">
        <v>0</v>
      </c>
    </row>
    <row r="2008" spans="1:7" x14ac:dyDescent="0.25">
      <c r="A2008" s="509" t="s">
        <v>3141</v>
      </c>
      <c r="B2008" s="509" t="s">
        <v>2263</v>
      </c>
      <c r="C2008" s="510">
        <v>0</v>
      </c>
      <c r="D2008" s="510">
        <v>0</v>
      </c>
      <c r="E2008" s="510">
        <v>0</v>
      </c>
      <c r="F2008" s="510">
        <v>0</v>
      </c>
      <c r="G2008" s="510">
        <v>0</v>
      </c>
    </row>
    <row r="2009" spans="1:7" x14ac:dyDescent="0.25">
      <c r="A2009" s="509" t="s">
        <v>3142</v>
      </c>
      <c r="B2009" s="509" t="s">
        <v>159</v>
      </c>
      <c r="C2009" s="510">
        <v>0</v>
      </c>
      <c r="D2009" s="510">
        <v>0</v>
      </c>
      <c r="E2009" s="510">
        <v>0</v>
      </c>
      <c r="F2009" s="510">
        <v>0</v>
      </c>
      <c r="G2009" s="510">
        <v>0</v>
      </c>
    </row>
    <row r="2010" spans="1:7" x14ac:dyDescent="0.25">
      <c r="A2010" s="509" t="s">
        <v>3143</v>
      </c>
      <c r="B2010" s="509" t="s">
        <v>160</v>
      </c>
      <c r="C2010" s="510">
        <v>0</v>
      </c>
      <c r="D2010" s="510">
        <v>0</v>
      </c>
      <c r="E2010" s="510">
        <v>0</v>
      </c>
      <c r="F2010" s="510">
        <v>0</v>
      </c>
      <c r="G2010" s="510">
        <v>0</v>
      </c>
    </row>
    <row r="2011" spans="1:7" x14ac:dyDescent="0.25">
      <c r="A2011" s="509" t="s">
        <v>3144</v>
      </c>
      <c r="B2011" s="509" t="s">
        <v>161</v>
      </c>
      <c r="C2011" s="510">
        <v>0</v>
      </c>
      <c r="D2011" s="510">
        <v>0</v>
      </c>
      <c r="E2011" s="510">
        <v>0</v>
      </c>
      <c r="F2011" s="510">
        <v>0</v>
      </c>
      <c r="G2011" s="510">
        <v>0</v>
      </c>
    </row>
    <row r="2012" spans="1:7" x14ac:dyDescent="0.25">
      <c r="A2012" s="509" t="s">
        <v>3145</v>
      </c>
      <c r="B2012" s="509" t="s">
        <v>162</v>
      </c>
      <c r="C2012" s="510">
        <v>0</v>
      </c>
      <c r="D2012" s="510">
        <v>0</v>
      </c>
      <c r="E2012" s="510">
        <v>0</v>
      </c>
      <c r="F2012" s="510">
        <v>0</v>
      </c>
      <c r="G2012" s="510">
        <v>0</v>
      </c>
    </row>
    <row r="2013" spans="1:7" x14ac:dyDescent="0.25">
      <c r="A2013" s="509" t="s">
        <v>3146</v>
      </c>
      <c r="B2013" s="509" t="s">
        <v>83</v>
      </c>
      <c r="C2013" s="510">
        <v>0</v>
      </c>
      <c r="D2013" s="510">
        <v>0</v>
      </c>
      <c r="E2013" s="510">
        <v>0</v>
      </c>
      <c r="F2013" s="510">
        <v>0</v>
      </c>
      <c r="G2013" s="510">
        <v>0</v>
      </c>
    </row>
    <row r="2014" spans="1:7" x14ac:dyDescent="0.25">
      <c r="A2014" s="509" t="s">
        <v>3147</v>
      </c>
      <c r="B2014" s="509" t="s">
        <v>163</v>
      </c>
      <c r="C2014" s="510">
        <v>0</v>
      </c>
      <c r="D2014" s="510">
        <v>0</v>
      </c>
      <c r="E2014" s="510">
        <v>0</v>
      </c>
      <c r="F2014" s="510">
        <v>0</v>
      </c>
      <c r="G2014" s="510">
        <v>0</v>
      </c>
    </row>
    <row r="2015" spans="1:7" x14ac:dyDescent="0.25">
      <c r="A2015" s="509" t="s">
        <v>3148</v>
      </c>
      <c r="B2015" s="509" t="s">
        <v>2265</v>
      </c>
      <c r="C2015" s="510">
        <v>0</v>
      </c>
      <c r="D2015" s="510">
        <v>0</v>
      </c>
      <c r="E2015" s="510">
        <v>0</v>
      </c>
      <c r="F2015" s="510">
        <v>0</v>
      </c>
      <c r="G2015" s="510">
        <v>0</v>
      </c>
    </row>
    <row r="2016" spans="1:7" x14ac:dyDescent="0.25">
      <c r="A2016" s="509" t="s">
        <v>3149</v>
      </c>
      <c r="B2016" s="509" t="s">
        <v>70</v>
      </c>
      <c r="C2016" s="510">
        <v>0</v>
      </c>
      <c r="D2016" s="510">
        <v>0</v>
      </c>
      <c r="E2016" s="510">
        <v>0</v>
      </c>
      <c r="F2016" s="510">
        <v>0</v>
      </c>
      <c r="G2016" s="510">
        <v>0</v>
      </c>
    </row>
    <row r="2017" spans="1:7" x14ac:dyDescent="0.25">
      <c r="A2017" s="509" t="s">
        <v>3150</v>
      </c>
      <c r="B2017" s="509" t="s">
        <v>47</v>
      </c>
      <c r="C2017" s="510">
        <v>0</v>
      </c>
      <c r="D2017" s="510">
        <v>0</v>
      </c>
      <c r="E2017" s="510">
        <v>0</v>
      </c>
      <c r="F2017" s="510">
        <v>0</v>
      </c>
      <c r="G2017" s="510">
        <v>0</v>
      </c>
    </row>
    <row r="2018" spans="1:7" x14ac:dyDescent="0.25">
      <c r="A2018" s="509" t="s">
        <v>3151</v>
      </c>
      <c r="B2018" s="509" t="s">
        <v>48</v>
      </c>
      <c r="C2018" s="510">
        <v>0</v>
      </c>
      <c r="D2018" s="510">
        <v>0</v>
      </c>
      <c r="E2018" s="510">
        <v>0</v>
      </c>
      <c r="F2018" s="510">
        <v>0</v>
      </c>
      <c r="G2018" s="510">
        <v>0</v>
      </c>
    </row>
    <row r="2019" spans="1:7" x14ac:dyDescent="0.25">
      <c r="A2019" s="509" t="s">
        <v>3152</v>
      </c>
      <c r="B2019" s="509" t="s">
        <v>49</v>
      </c>
      <c r="C2019" s="510">
        <v>0</v>
      </c>
      <c r="D2019" s="510">
        <v>0</v>
      </c>
      <c r="E2019" s="510">
        <v>0</v>
      </c>
      <c r="F2019" s="510">
        <v>0</v>
      </c>
      <c r="G2019" s="510">
        <v>0</v>
      </c>
    </row>
    <row r="2020" spans="1:7" x14ac:dyDescent="0.25">
      <c r="A2020" s="509" t="s">
        <v>3153</v>
      </c>
      <c r="B2020" s="509" t="s">
        <v>50</v>
      </c>
      <c r="C2020" s="510">
        <v>0</v>
      </c>
      <c r="D2020" s="510">
        <v>0</v>
      </c>
      <c r="E2020" s="510">
        <v>0</v>
      </c>
      <c r="F2020" s="510">
        <v>0</v>
      </c>
      <c r="G2020" s="510">
        <v>0</v>
      </c>
    </row>
    <row r="2021" spans="1:7" x14ac:dyDescent="0.25">
      <c r="A2021" s="509" t="s">
        <v>3154</v>
      </c>
      <c r="B2021" s="509" t="s">
        <v>51</v>
      </c>
      <c r="C2021" s="510">
        <v>0</v>
      </c>
      <c r="D2021" s="510">
        <v>0</v>
      </c>
      <c r="E2021" s="510">
        <v>0</v>
      </c>
      <c r="F2021" s="510">
        <v>0</v>
      </c>
      <c r="G2021" s="510">
        <v>0</v>
      </c>
    </row>
    <row r="2022" spans="1:7" x14ac:dyDescent="0.25">
      <c r="A2022" s="509" t="s">
        <v>3155</v>
      </c>
      <c r="B2022" s="509" t="s">
        <v>164</v>
      </c>
      <c r="C2022" s="510">
        <v>0</v>
      </c>
      <c r="D2022" s="510">
        <v>0</v>
      </c>
      <c r="E2022" s="510">
        <v>0</v>
      </c>
      <c r="F2022" s="510">
        <v>0</v>
      </c>
      <c r="G2022" s="510">
        <v>0</v>
      </c>
    </row>
    <row r="2023" spans="1:7" x14ac:dyDescent="0.25">
      <c r="A2023" s="509" t="s">
        <v>3156</v>
      </c>
      <c r="B2023" s="509" t="s">
        <v>165</v>
      </c>
      <c r="C2023" s="510">
        <v>0</v>
      </c>
      <c r="D2023" s="510">
        <v>0</v>
      </c>
      <c r="E2023" s="510">
        <v>0</v>
      </c>
      <c r="F2023" s="510">
        <v>0</v>
      </c>
      <c r="G2023" s="510">
        <v>0</v>
      </c>
    </row>
    <row r="2024" spans="1:7" x14ac:dyDescent="0.25">
      <c r="A2024" s="509" t="s">
        <v>3157</v>
      </c>
      <c r="B2024" s="509" t="s">
        <v>166</v>
      </c>
      <c r="C2024" s="510">
        <v>0</v>
      </c>
      <c r="D2024" s="510">
        <v>0</v>
      </c>
      <c r="E2024" s="510">
        <v>0</v>
      </c>
      <c r="F2024" s="510">
        <v>0</v>
      </c>
      <c r="G2024" s="510">
        <v>0</v>
      </c>
    </row>
    <row r="2025" spans="1:7" x14ac:dyDescent="0.25">
      <c r="A2025" s="509" t="s">
        <v>3158</v>
      </c>
      <c r="B2025" s="509" t="s">
        <v>52</v>
      </c>
      <c r="C2025" s="510">
        <v>0</v>
      </c>
      <c r="D2025" s="510">
        <v>0</v>
      </c>
      <c r="E2025" s="510">
        <v>0</v>
      </c>
      <c r="F2025" s="510">
        <v>0</v>
      </c>
      <c r="G2025" s="510">
        <v>0</v>
      </c>
    </row>
    <row r="2026" spans="1:7" x14ac:dyDescent="0.25">
      <c r="A2026" s="509" t="s">
        <v>842</v>
      </c>
      <c r="B2026" s="509" t="s">
        <v>167</v>
      </c>
      <c r="C2026" s="510">
        <v>0</v>
      </c>
      <c r="D2026" s="510">
        <v>0</v>
      </c>
      <c r="E2026" s="510">
        <v>0</v>
      </c>
      <c r="F2026" s="510">
        <v>0</v>
      </c>
      <c r="G2026" s="510">
        <v>0</v>
      </c>
    </row>
    <row r="2027" spans="1:7" x14ac:dyDescent="0.25">
      <c r="A2027" s="509" t="s">
        <v>3159</v>
      </c>
      <c r="B2027" s="509" t="s">
        <v>2269</v>
      </c>
      <c r="C2027" s="510">
        <v>0</v>
      </c>
      <c r="D2027" s="510">
        <v>0</v>
      </c>
      <c r="E2027" s="510">
        <v>0</v>
      </c>
      <c r="F2027" s="510">
        <v>0</v>
      </c>
      <c r="G2027" s="510">
        <v>0</v>
      </c>
    </row>
    <row r="2028" spans="1:7" x14ac:dyDescent="0.25">
      <c r="A2028" s="509" t="s">
        <v>3160</v>
      </c>
      <c r="B2028" s="509" t="s">
        <v>1151</v>
      </c>
      <c r="C2028" s="510">
        <v>0</v>
      </c>
      <c r="D2028" s="510">
        <v>0</v>
      </c>
      <c r="E2028" s="510">
        <v>0</v>
      </c>
      <c r="F2028" s="510">
        <v>0</v>
      </c>
      <c r="G2028" s="510">
        <v>0</v>
      </c>
    </row>
    <row r="2029" spans="1:7" x14ac:dyDescent="0.25">
      <c r="A2029" s="509" t="s">
        <v>3161</v>
      </c>
      <c r="B2029" s="509" t="s">
        <v>180</v>
      </c>
      <c r="C2029" s="510">
        <v>0</v>
      </c>
      <c r="D2029" s="510">
        <v>0</v>
      </c>
      <c r="E2029" s="510">
        <v>0</v>
      </c>
      <c r="F2029" s="510">
        <v>0</v>
      </c>
      <c r="G2029" s="510">
        <v>0</v>
      </c>
    </row>
    <row r="2030" spans="1:7" x14ac:dyDescent="0.25">
      <c r="A2030" s="509" t="s">
        <v>3162</v>
      </c>
      <c r="B2030" s="509" t="s">
        <v>1152</v>
      </c>
      <c r="C2030" s="510">
        <v>0</v>
      </c>
      <c r="D2030" s="510">
        <v>0</v>
      </c>
      <c r="E2030" s="510">
        <v>0</v>
      </c>
      <c r="F2030" s="510">
        <v>0</v>
      </c>
      <c r="G2030" s="510">
        <v>0</v>
      </c>
    </row>
    <row r="2031" spans="1:7" x14ac:dyDescent="0.25">
      <c r="A2031" s="509" t="s">
        <v>3163</v>
      </c>
      <c r="B2031" s="509" t="s">
        <v>53</v>
      </c>
      <c r="C2031" s="510">
        <v>0</v>
      </c>
      <c r="D2031" s="510">
        <v>0</v>
      </c>
      <c r="E2031" s="510">
        <v>0</v>
      </c>
      <c r="F2031" s="510">
        <v>0</v>
      </c>
      <c r="G2031" s="510">
        <v>0</v>
      </c>
    </row>
    <row r="2032" spans="1:7" x14ac:dyDescent="0.25">
      <c r="A2032" s="509" t="s">
        <v>3164</v>
      </c>
      <c r="B2032" s="509" t="s">
        <v>71</v>
      </c>
      <c r="C2032" s="510">
        <v>0</v>
      </c>
      <c r="D2032" s="510">
        <v>0</v>
      </c>
      <c r="E2032" s="510">
        <v>0</v>
      </c>
      <c r="F2032" s="510">
        <v>0</v>
      </c>
      <c r="G2032" s="510">
        <v>0</v>
      </c>
    </row>
    <row r="2033" spans="1:7" x14ac:dyDescent="0.25">
      <c r="A2033" s="509" t="s">
        <v>3165</v>
      </c>
      <c r="B2033" s="509" t="s">
        <v>54</v>
      </c>
      <c r="C2033" s="510">
        <v>0</v>
      </c>
      <c r="D2033" s="510">
        <v>0</v>
      </c>
      <c r="E2033" s="510">
        <v>0</v>
      </c>
      <c r="F2033" s="510">
        <v>0</v>
      </c>
      <c r="G2033" s="510">
        <v>0</v>
      </c>
    </row>
    <row r="2034" spans="1:7" x14ac:dyDescent="0.25">
      <c r="A2034" s="509" t="s">
        <v>3166</v>
      </c>
      <c r="B2034" s="509" t="s">
        <v>170</v>
      </c>
      <c r="C2034" s="510">
        <v>0</v>
      </c>
      <c r="D2034" s="510">
        <v>0</v>
      </c>
      <c r="E2034" s="510">
        <v>0</v>
      </c>
      <c r="F2034" s="510">
        <v>0</v>
      </c>
      <c r="G2034" s="510">
        <v>0</v>
      </c>
    </row>
    <row r="2035" spans="1:7" x14ac:dyDescent="0.25">
      <c r="A2035" s="509" t="s">
        <v>3167</v>
      </c>
      <c r="B2035" s="509" t="s">
        <v>171</v>
      </c>
      <c r="C2035" s="510">
        <v>0</v>
      </c>
      <c r="D2035" s="510">
        <v>0</v>
      </c>
      <c r="E2035" s="510">
        <v>0</v>
      </c>
      <c r="F2035" s="510">
        <v>0</v>
      </c>
      <c r="G2035" s="510">
        <v>0</v>
      </c>
    </row>
    <row r="2036" spans="1:7" x14ac:dyDescent="0.25">
      <c r="A2036" s="509" t="s">
        <v>3168</v>
      </c>
      <c r="B2036" s="509" t="s">
        <v>2271</v>
      </c>
      <c r="C2036" s="510">
        <v>0</v>
      </c>
      <c r="D2036" s="510">
        <v>0</v>
      </c>
      <c r="E2036" s="510">
        <v>0</v>
      </c>
      <c r="F2036" s="510">
        <v>0</v>
      </c>
      <c r="G2036" s="510">
        <v>0</v>
      </c>
    </row>
    <row r="2037" spans="1:7" x14ac:dyDescent="0.25">
      <c r="A2037" s="509" t="s">
        <v>3169</v>
      </c>
      <c r="B2037" s="509" t="s">
        <v>172</v>
      </c>
      <c r="C2037" s="510">
        <v>0</v>
      </c>
      <c r="D2037" s="510">
        <v>0</v>
      </c>
      <c r="E2037" s="510">
        <v>0</v>
      </c>
      <c r="F2037" s="510">
        <v>0</v>
      </c>
      <c r="G2037" s="510">
        <v>0</v>
      </c>
    </row>
    <row r="2038" spans="1:7" x14ac:dyDescent="0.25">
      <c r="A2038" s="509" t="s">
        <v>3170</v>
      </c>
      <c r="B2038" s="509" t="s">
        <v>2272</v>
      </c>
      <c r="C2038" s="510">
        <v>0</v>
      </c>
      <c r="D2038" s="510">
        <v>0</v>
      </c>
      <c r="E2038" s="510">
        <v>0</v>
      </c>
      <c r="F2038" s="510">
        <v>0</v>
      </c>
      <c r="G2038" s="510">
        <v>0</v>
      </c>
    </row>
    <row r="2039" spans="1:7" x14ac:dyDescent="0.25">
      <c r="A2039" s="509" t="s">
        <v>841</v>
      </c>
      <c r="B2039" s="509" t="s">
        <v>1075</v>
      </c>
      <c r="C2039" s="510">
        <v>246368</v>
      </c>
      <c r="D2039" s="510">
        <v>0</v>
      </c>
      <c r="E2039" s="510">
        <v>123184.22</v>
      </c>
      <c r="F2039" s="510">
        <v>20531</v>
      </c>
      <c r="G2039" s="510">
        <v>102653.22</v>
      </c>
    </row>
    <row r="2040" spans="1:7" x14ac:dyDescent="0.25">
      <c r="A2040" s="509" t="s">
        <v>3171</v>
      </c>
      <c r="B2040" s="509" t="s">
        <v>2284</v>
      </c>
      <c r="C2040" s="510">
        <v>0</v>
      </c>
      <c r="D2040" s="510">
        <v>0</v>
      </c>
      <c r="E2040" s="510">
        <v>0</v>
      </c>
      <c r="F2040" s="510">
        <v>0</v>
      </c>
      <c r="G2040" s="510">
        <v>0</v>
      </c>
    </row>
    <row r="2041" spans="1:7" x14ac:dyDescent="0.25">
      <c r="A2041" s="509" t="s">
        <v>3172</v>
      </c>
      <c r="B2041" s="509" t="s">
        <v>1088</v>
      </c>
      <c r="C2041" s="510">
        <v>0</v>
      </c>
      <c r="D2041" s="510">
        <v>0</v>
      </c>
      <c r="E2041" s="510">
        <v>0</v>
      </c>
      <c r="F2041" s="510">
        <v>0</v>
      </c>
      <c r="G2041" s="510">
        <v>0</v>
      </c>
    </row>
    <row r="2042" spans="1:7" x14ac:dyDescent="0.25">
      <c r="A2042" s="509" t="s">
        <v>3173</v>
      </c>
      <c r="B2042" s="509" t="s">
        <v>2287</v>
      </c>
      <c r="C2042" s="510">
        <v>0</v>
      </c>
      <c r="D2042" s="510">
        <v>0</v>
      </c>
      <c r="E2042" s="510">
        <v>0</v>
      </c>
      <c r="F2042" s="510">
        <v>0</v>
      </c>
      <c r="G2042" s="510">
        <v>0</v>
      </c>
    </row>
    <row r="2043" spans="1:7" x14ac:dyDescent="0.25">
      <c r="A2043" s="509" t="s">
        <v>3174</v>
      </c>
      <c r="B2043" s="509" t="s">
        <v>2290</v>
      </c>
      <c r="C2043" s="510">
        <v>0</v>
      </c>
      <c r="D2043" s="510">
        <v>0</v>
      </c>
      <c r="E2043" s="510">
        <v>0</v>
      </c>
      <c r="F2043" s="510">
        <v>0</v>
      </c>
      <c r="G2043" s="510">
        <v>0</v>
      </c>
    </row>
    <row r="2044" spans="1:7" x14ac:dyDescent="0.25">
      <c r="A2044" s="509" t="s">
        <v>1234</v>
      </c>
      <c r="B2044" s="509" t="s">
        <v>1154</v>
      </c>
      <c r="C2044" s="510">
        <v>0</v>
      </c>
      <c r="D2044" s="510">
        <v>0</v>
      </c>
      <c r="E2044" s="510">
        <v>0</v>
      </c>
      <c r="F2044" s="510">
        <v>0</v>
      </c>
      <c r="G2044" s="510">
        <v>0</v>
      </c>
    </row>
    <row r="2045" spans="1:7" x14ac:dyDescent="0.25">
      <c r="A2045" s="509" t="s">
        <v>1235</v>
      </c>
      <c r="B2045" s="509" t="s">
        <v>1156</v>
      </c>
      <c r="C2045" s="510">
        <v>0</v>
      </c>
      <c r="D2045" s="510">
        <v>0</v>
      </c>
      <c r="E2045" s="510">
        <v>0</v>
      </c>
      <c r="F2045" s="510">
        <v>0</v>
      </c>
      <c r="G2045" s="510">
        <v>0</v>
      </c>
    </row>
    <row r="2046" spans="1:7" x14ac:dyDescent="0.25">
      <c r="A2046" s="509" t="s">
        <v>1236</v>
      </c>
      <c r="B2046" s="509" t="s">
        <v>1158</v>
      </c>
      <c r="C2046" s="510">
        <v>0</v>
      </c>
      <c r="D2046" s="510">
        <v>0</v>
      </c>
      <c r="E2046" s="510">
        <v>0</v>
      </c>
      <c r="F2046" s="510">
        <v>0</v>
      </c>
      <c r="G2046" s="510">
        <v>0</v>
      </c>
    </row>
    <row r="2047" spans="1:7" x14ac:dyDescent="0.25">
      <c r="A2047" s="509" t="s">
        <v>3175</v>
      </c>
      <c r="B2047" s="509" t="s">
        <v>178</v>
      </c>
      <c r="C2047" s="510">
        <v>0</v>
      </c>
      <c r="D2047" s="510">
        <v>0</v>
      </c>
      <c r="E2047" s="510">
        <v>0</v>
      </c>
      <c r="F2047" s="510">
        <v>0</v>
      </c>
      <c r="G2047" s="510">
        <v>0</v>
      </c>
    </row>
    <row r="2048" spans="1:7" x14ac:dyDescent="0.25">
      <c r="A2048" s="509" t="s">
        <v>3176</v>
      </c>
      <c r="B2048" s="509" t="s">
        <v>150</v>
      </c>
      <c r="C2048" s="510">
        <v>0</v>
      </c>
      <c r="D2048" s="510">
        <v>0</v>
      </c>
      <c r="E2048" s="510">
        <v>0</v>
      </c>
      <c r="F2048" s="510">
        <v>0</v>
      </c>
      <c r="G2048" s="510">
        <v>0</v>
      </c>
    </row>
    <row r="2049" spans="1:7" x14ac:dyDescent="0.25">
      <c r="A2049" s="509" t="s">
        <v>3177</v>
      </c>
      <c r="B2049" s="509" t="s">
        <v>37</v>
      </c>
      <c r="C2049" s="510">
        <v>0</v>
      </c>
      <c r="D2049" s="510">
        <v>0</v>
      </c>
      <c r="E2049" s="510">
        <v>0</v>
      </c>
      <c r="F2049" s="510">
        <v>0</v>
      </c>
      <c r="G2049" s="510">
        <v>0</v>
      </c>
    </row>
    <row r="2050" spans="1:7" x14ac:dyDescent="0.25">
      <c r="A2050" s="509" t="s">
        <v>3178</v>
      </c>
      <c r="B2050" s="509" t="s">
        <v>153</v>
      </c>
      <c r="C2050" s="510">
        <v>0</v>
      </c>
      <c r="D2050" s="510">
        <v>0</v>
      </c>
      <c r="E2050" s="510">
        <v>0</v>
      </c>
      <c r="F2050" s="510">
        <v>0</v>
      </c>
      <c r="G2050" s="510">
        <v>0</v>
      </c>
    </row>
    <row r="2051" spans="1:7" x14ac:dyDescent="0.25">
      <c r="A2051" s="509" t="s">
        <v>3179</v>
      </c>
      <c r="B2051" s="509" t="s">
        <v>154</v>
      </c>
      <c r="C2051" s="510">
        <v>0</v>
      </c>
      <c r="D2051" s="510">
        <v>0</v>
      </c>
      <c r="E2051" s="510">
        <v>0</v>
      </c>
      <c r="F2051" s="510">
        <v>0</v>
      </c>
      <c r="G2051" s="510">
        <v>0</v>
      </c>
    </row>
    <row r="2052" spans="1:7" x14ac:dyDescent="0.25">
      <c r="A2052" s="509" t="s">
        <v>3180</v>
      </c>
      <c r="B2052" s="509" t="s">
        <v>38</v>
      </c>
      <c r="C2052" s="510">
        <v>0</v>
      </c>
      <c r="D2052" s="510">
        <v>0</v>
      </c>
      <c r="E2052" s="510">
        <v>0</v>
      </c>
      <c r="F2052" s="510">
        <v>0</v>
      </c>
      <c r="G2052" s="510">
        <v>0</v>
      </c>
    </row>
    <row r="2053" spans="1:7" x14ac:dyDescent="0.25">
      <c r="A2053" s="509" t="s">
        <v>3181</v>
      </c>
      <c r="B2053" s="509" t="s">
        <v>77</v>
      </c>
      <c r="C2053" s="510">
        <v>0</v>
      </c>
      <c r="D2053" s="510">
        <v>0</v>
      </c>
      <c r="E2053" s="510">
        <v>0</v>
      </c>
      <c r="F2053" s="510">
        <v>0</v>
      </c>
      <c r="G2053" s="510">
        <v>0</v>
      </c>
    </row>
    <row r="2054" spans="1:7" x14ac:dyDescent="0.25">
      <c r="A2054" s="509" t="s">
        <v>3182</v>
      </c>
      <c r="B2054" s="509" t="s">
        <v>78</v>
      </c>
      <c r="C2054" s="510">
        <v>0</v>
      </c>
      <c r="D2054" s="510">
        <v>0</v>
      </c>
      <c r="E2054" s="510">
        <v>0</v>
      </c>
      <c r="F2054" s="510">
        <v>0</v>
      </c>
      <c r="G2054" s="510">
        <v>0</v>
      </c>
    </row>
    <row r="2055" spans="1:7" x14ac:dyDescent="0.25">
      <c r="A2055" s="509" t="s">
        <v>3183</v>
      </c>
      <c r="B2055" s="509" t="s">
        <v>2292</v>
      </c>
      <c r="C2055" s="510">
        <v>0</v>
      </c>
      <c r="D2055" s="510">
        <v>0</v>
      </c>
      <c r="E2055" s="510">
        <v>0</v>
      </c>
      <c r="F2055" s="510">
        <v>0</v>
      </c>
      <c r="G2055" s="510">
        <v>0</v>
      </c>
    </row>
    <row r="2056" spans="1:7" x14ac:dyDescent="0.25">
      <c r="A2056" s="509" t="s">
        <v>3184</v>
      </c>
      <c r="B2056" s="509" t="s">
        <v>893</v>
      </c>
      <c r="C2056" s="510">
        <v>0</v>
      </c>
      <c r="D2056" s="510">
        <v>0</v>
      </c>
      <c r="E2056" s="510">
        <v>0</v>
      </c>
      <c r="F2056" s="510">
        <v>0</v>
      </c>
      <c r="G2056" s="510">
        <v>0</v>
      </c>
    </row>
    <row r="2057" spans="1:7" x14ac:dyDescent="0.25">
      <c r="A2057" s="509" t="s">
        <v>3185</v>
      </c>
      <c r="B2057" s="509" t="s">
        <v>2249</v>
      </c>
      <c r="C2057" s="510">
        <v>0</v>
      </c>
      <c r="D2057" s="510">
        <v>0</v>
      </c>
      <c r="E2057" s="510">
        <v>0</v>
      </c>
      <c r="F2057" s="510">
        <v>0</v>
      </c>
      <c r="G2057" s="510">
        <v>0</v>
      </c>
    </row>
    <row r="2058" spans="1:7" x14ac:dyDescent="0.25">
      <c r="A2058" s="509" t="s">
        <v>3186</v>
      </c>
      <c r="B2058" s="509" t="s">
        <v>64</v>
      </c>
      <c r="C2058" s="510">
        <v>0</v>
      </c>
      <c r="D2058" s="510">
        <v>0</v>
      </c>
      <c r="E2058" s="510">
        <v>0</v>
      </c>
      <c r="F2058" s="510">
        <v>0</v>
      </c>
      <c r="G2058" s="510">
        <v>0</v>
      </c>
    </row>
    <row r="2059" spans="1:7" x14ac:dyDescent="0.25">
      <c r="A2059" s="509" t="s">
        <v>3187</v>
      </c>
      <c r="B2059" s="509" t="s">
        <v>65</v>
      </c>
      <c r="C2059" s="510">
        <v>0</v>
      </c>
      <c r="D2059" s="510">
        <v>0</v>
      </c>
      <c r="E2059" s="510">
        <v>0</v>
      </c>
      <c r="F2059" s="510">
        <v>0</v>
      </c>
      <c r="G2059" s="510">
        <v>0</v>
      </c>
    </row>
    <row r="2060" spans="1:7" x14ac:dyDescent="0.25">
      <c r="A2060" s="509" t="s">
        <v>3188</v>
      </c>
      <c r="B2060" s="509" t="s">
        <v>40</v>
      </c>
      <c r="C2060" s="510">
        <v>0</v>
      </c>
      <c r="D2060" s="510">
        <v>0</v>
      </c>
      <c r="E2060" s="510">
        <v>0</v>
      </c>
      <c r="F2060" s="510">
        <v>0</v>
      </c>
      <c r="G2060" s="510">
        <v>0</v>
      </c>
    </row>
    <row r="2061" spans="1:7" x14ac:dyDescent="0.25">
      <c r="A2061" s="509" t="s">
        <v>3189</v>
      </c>
      <c r="B2061" s="509" t="s">
        <v>41</v>
      </c>
      <c r="C2061" s="510">
        <v>0</v>
      </c>
      <c r="D2061" s="510">
        <v>0</v>
      </c>
      <c r="E2061" s="510">
        <v>0</v>
      </c>
      <c r="F2061" s="510">
        <v>0</v>
      </c>
      <c r="G2061" s="510">
        <v>0</v>
      </c>
    </row>
    <row r="2062" spans="1:7" x14ac:dyDescent="0.25">
      <c r="A2062" s="509" t="s">
        <v>3190</v>
      </c>
      <c r="B2062" s="509" t="s">
        <v>42</v>
      </c>
      <c r="C2062" s="510">
        <v>0</v>
      </c>
      <c r="D2062" s="510">
        <v>0</v>
      </c>
      <c r="E2062" s="510">
        <v>0</v>
      </c>
      <c r="F2062" s="510">
        <v>0</v>
      </c>
      <c r="G2062" s="510">
        <v>0</v>
      </c>
    </row>
    <row r="2063" spans="1:7" x14ac:dyDescent="0.25">
      <c r="A2063" s="509" t="s">
        <v>3191</v>
      </c>
      <c r="B2063" s="509" t="s">
        <v>2252</v>
      </c>
      <c r="C2063" s="510">
        <v>0</v>
      </c>
      <c r="D2063" s="510">
        <v>0</v>
      </c>
      <c r="E2063" s="510">
        <v>0</v>
      </c>
      <c r="F2063" s="510">
        <v>0</v>
      </c>
      <c r="G2063" s="510">
        <v>0</v>
      </c>
    </row>
    <row r="2064" spans="1:7" x14ac:dyDescent="0.25">
      <c r="A2064" s="509" t="s">
        <v>3192</v>
      </c>
      <c r="B2064" s="509" t="s">
        <v>44</v>
      </c>
      <c r="C2064" s="510">
        <v>0</v>
      </c>
      <c r="D2064" s="510">
        <v>0</v>
      </c>
      <c r="E2064" s="510">
        <v>0</v>
      </c>
      <c r="F2064" s="510">
        <v>0</v>
      </c>
      <c r="G2064" s="510">
        <v>0</v>
      </c>
    </row>
    <row r="2065" spans="1:7" x14ac:dyDescent="0.25">
      <c r="A2065" s="509" t="s">
        <v>3193</v>
      </c>
      <c r="B2065" s="509" t="s">
        <v>1161</v>
      </c>
      <c r="C2065" s="510">
        <v>0</v>
      </c>
      <c r="D2065" s="510">
        <v>0</v>
      </c>
      <c r="E2065" s="510">
        <v>0</v>
      </c>
      <c r="F2065" s="510">
        <v>0</v>
      </c>
      <c r="G2065" s="510">
        <v>0</v>
      </c>
    </row>
    <row r="2066" spans="1:7" x14ac:dyDescent="0.25">
      <c r="A2066" s="509" t="s">
        <v>3194</v>
      </c>
      <c r="B2066" s="509" t="s">
        <v>70</v>
      </c>
      <c r="C2066" s="510">
        <v>0</v>
      </c>
      <c r="D2066" s="510">
        <v>0</v>
      </c>
      <c r="E2066" s="510">
        <v>0</v>
      </c>
      <c r="F2066" s="510">
        <v>0</v>
      </c>
      <c r="G2066" s="510">
        <v>0</v>
      </c>
    </row>
    <row r="2067" spans="1:7" x14ac:dyDescent="0.25">
      <c r="A2067" s="509" t="s">
        <v>3195</v>
      </c>
      <c r="B2067" s="509" t="s">
        <v>47</v>
      </c>
      <c r="C2067" s="510">
        <v>0</v>
      </c>
      <c r="D2067" s="510">
        <v>0</v>
      </c>
      <c r="E2067" s="510">
        <v>0</v>
      </c>
      <c r="F2067" s="510">
        <v>0</v>
      </c>
      <c r="G2067" s="510">
        <v>0</v>
      </c>
    </row>
    <row r="2068" spans="1:7" x14ac:dyDescent="0.25">
      <c r="A2068" s="509" t="s">
        <v>3196</v>
      </c>
      <c r="B2068" s="509" t="s">
        <v>48</v>
      </c>
      <c r="C2068" s="510">
        <v>0</v>
      </c>
      <c r="D2068" s="510">
        <v>0</v>
      </c>
      <c r="E2068" s="510">
        <v>0</v>
      </c>
      <c r="F2068" s="510">
        <v>0</v>
      </c>
      <c r="G2068" s="510">
        <v>0</v>
      </c>
    </row>
    <row r="2069" spans="1:7" x14ac:dyDescent="0.25">
      <c r="A2069" s="509" t="s">
        <v>3197</v>
      </c>
      <c r="B2069" s="509" t="s">
        <v>49</v>
      </c>
      <c r="C2069" s="510">
        <v>0</v>
      </c>
      <c r="D2069" s="510">
        <v>0</v>
      </c>
      <c r="E2069" s="510">
        <v>0</v>
      </c>
      <c r="F2069" s="510">
        <v>0</v>
      </c>
      <c r="G2069" s="510">
        <v>0</v>
      </c>
    </row>
    <row r="2070" spans="1:7" x14ac:dyDescent="0.25">
      <c r="A2070" s="509" t="s">
        <v>3198</v>
      </c>
      <c r="B2070" s="509" t="s">
        <v>50</v>
      </c>
      <c r="C2070" s="510">
        <v>0</v>
      </c>
      <c r="D2070" s="510">
        <v>0</v>
      </c>
      <c r="E2070" s="510">
        <v>0</v>
      </c>
      <c r="F2070" s="510">
        <v>0</v>
      </c>
      <c r="G2070" s="510">
        <v>0</v>
      </c>
    </row>
    <row r="2071" spans="1:7" x14ac:dyDescent="0.25">
      <c r="A2071" s="509" t="s">
        <v>3199</v>
      </c>
      <c r="B2071" s="509" t="s">
        <v>51</v>
      </c>
      <c r="C2071" s="510">
        <v>0</v>
      </c>
      <c r="D2071" s="510">
        <v>0</v>
      </c>
      <c r="E2071" s="510">
        <v>0</v>
      </c>
      <c r="F2071" s="510">
        <v>0</v>
      </c>
      <c r="G2071" s="510">
        <v>0</v>
      </c>
    </row>
    <row r="2072" spans="1:7" x14ac:dyDescent="0.25">
      <c r="A2072" s="509" t="s">
        <v>3200</v>
      </c>
      <c r="B2072" s="509" t="s">
        <v>1151</v>
      </c>
      <c r="C2072" s="510">
        <v>0</v>
      </c>
      <c r="D2072" s="510">
        <v>0</v>
      </c>
      <c r="E2072" s="510">
        <v>0</v>
      </c>
      <c r="F2072" s="510">
        <v>0</v>
      </c>
      <c r="G2072" s="510">
        <v>0</v>
      </c>
    </row>
    <row r="2073" spans="1:7" x14ac:dyDescent="0.25">
      <c r="A2073" s="509" t="s">
        <v>3201</v>
      </c>
      <c r="B2073" s="509" t="s">
        <v>1152</v>
      </c>
      <c r="C2073" s="510">
        <v>0</v>
      </c>
      <c r="D2073" s="510">
        <v>0</v>
      </c>
      <c r="E2073" s="510">
        <v>0</v>
      </c>
      <c r="F2073" s="510">
        <v>0</v>
      </c>
      <c r="G2073" s="510">
        <v>0</v>
      </c>
    </row>
    <row r="2074" spans="1:7" x14ac:dyDescent="0.25">
      <c r="A2074" s="509" t="s">
        <v>3202</v>
      </c>
      <c r="B2074" s="509" t="s">
        <v>53</v>
      </c>
      <c r="C2074" s="510">
        <v>0</v>
      </c>
      <c r="D2074" s="510">
        <v>0</v>
      </c>
      <c r="E2074" s="510">
        <v>0</v>
      </c>
      <c r="F2074" s="510">
        <v>0</v>
      </c>
      <c r="G2074" s="510">
        <v>0</v>
      </c>
    </row>
    <row r="2075" spans="1:7" x14ac:dyDescent="0.25">
      <c r="A2075" s="509" t="s">
        <v>3203</v>
      </c>
      <c r="B2075" s="509" t="s">
        <v>54</v>
      </c>
      <c r="C2075" s="510">
        <v>0</v>
      </c>
      <c r="D2075" s="510">
        <v>0</v>
      </c>
      <c r="E2075" s="510">
        <v>0</v>
      </c>
      <c r="F2075" s="510">
        <v>0</v>
      </c>
      <c r="G2075" s="510">
        <v>0</v>
      </c>
    </row>
    <row r="2076" spans="1:7" x14ac:dyDescent="0.25">
      <c r="A2076" s="509" t="s">
        <v>3204</v>
      </c>
      <c r="B2076" s="509" t="s">
        <v>1176</v>
      </c>
      <c r="C2076" s="510">
        <v>0</v>
      </c>
      <c r="D2076" s="510">
        <v>0</v>
      </c>
      <c r="E2076" s="510">
        <v>0</v>
      </c>
      <c r="F2076" s="510">
        <v>0</v>
      </c>
      <c r="G2076" s="510">
        <v>0</v>
      </c>
    </row>
    <row r="2077" spans="1:7" x14ac:dyDescent="0.25">
      <c r="A2077" s="509" t="s">
        <v>3205</v>
      </c>
      <c r="B2077" s="509" t="s">
        <v>152</v>
      </c>
      <c r="C2077" s="510">
        <v>0</v>
      </c>
      <c r="D2077" s="510">
        <v>0</v>
      </c>
      <c r="E2077" s="510">
        <v>0</v>
      </c>
      <c r="F2077" s="510">
        <v>0</v>
      </c>
      <c r="G2077" s="510">
        <v>0</v>
      </c>
    </row>
    <row r="2078" spans="1:7" x14ac:dyDescent="0.25">
      <c r="A2078" s="509" t="s">
        <v>3206</v>
      </c>
      <c r="B2078" s="509" t="s">
        <v>1177</v>
      </c>
      <c r="C2078" s="510">
        <v>0</v>
      </c>
      <c r="D2078" s="510">
        <v>0</v>
      </c>
      <c r="E2078" s="510">
        <v>0</v>
      </c>
      <c r="F2078" s="510">
        <v>0</v>
      </c>
      <c r="G2078" s="510">
        <v>0</v>
      </c>
    </row>
    <row r="2079" spans="1:7" x14ac:dyDescent="0.25">
      <c r="A2079" s="509" t="s">
        <v>3207</v>
      </c>
      <c r="B2079" s="509" t="s">
        <v>55</v>
      </c>
      <c r="C2079" s="510">
        <v>0</v>
      </c>
      <c r="D2079" s="510">
        <v>0</v>
      </c>
      <c r="E2079" s="510">
        <v>0</v>
      </c>
      <c r="F2079" s="510">
        <v>0</v>
      </c>
      <c r="G2079" s="510">
        <v>0</v>
      </c>
    </row>
    <row r="2080" spans="1:7" x14ac:dyDescent="0.25">
      <c r="A2080" s="509" t="s">
        <v>1237</v>
      </c>
      <c r="B2080" s="509" t="s">
        <v>1080</v>
      </c>
      <c r="C2080" s="510">
        <v>0</v>
      </c>
      <c r="D2080" s="510">
        <v>0</v>
      </c>
      <c r="E2080" s="510">
        <v>0</v>
      </c>
      <c r="F2080" s="510">
        <v>0</v>
      </c>
      <c r="G2080" s="510">
        <v>0</v>
      </c>
    </row>
    <row r="2081" spans="1:7" x14ac:dyDescent="0.25">
      <c r="A2081" s="509" t="s">
        <v>3208</v>
      </c>
      <c r="B2081" s="509" t="s">
        <v>1933</v>
      </c>
      <c r="C2081" s="510">
        <v>0</v>
      </c>
      <c r="D2081" s="510">
        <v>0</v>
      </c>
      <c r="E2081" s="510">
        <v>0</v>
      </c>
      <c r="F2081" s="510">
        <v>0</v>
      </c>
      <c r="G2081" s="510">
        <v>0</v>
      </c>
    </row>
    <row r="2082" spans="1:7" x14ac:dyDescent="0.25">
      <c r="A2082" s="509" t="s">
        <v>3209</v>
      </c>
      <c r="B2082" s="509" t="s">
        <v>1935</v>
      </c>
      <c r="C2082" s="510">
        <v>0</v>
      </c>
      <c r="D2082" s="510">
        <v>-7586646.9299999997</v>
      </c>
      <c r="E2082" s="510">
        <v>7586646.9299999997</v>
      </c>
      <c r="F2082" s="510">
        <v>0</v>
      </c>
      <c r="G2082" s="510">
        <v>0</v>
      </c>
    </row>
    <row r="2083" spans="1:7" x14ac:dyDescent="0.25">
      <c r="A2083" s="509" t="s">
        <v>3210</v>
      </c>
      <c r="B2083" s="509" t="s">
        <v>1937</v>
      </c>
      <c r="C2083" s="510">
        <v>0</v>
      </c>
      <c r="D2083" s="510">
        <v>0</v>
      </c>
      <c r="E2083" s="510">
        <v>0</v>
      </c>
      <c r="F2083" s="510">
        <v>0</v>
      </c>
      <c r="G2083" s="510">
        <v>0</v>
      </c>
    </row>
    <row r="2084" spans="1:7" x14ac:dyDescent="0.25">
      <c r="A2084" s="509" t="s">
        <v>3211</v>
      </c>
      <c r="B2084" s="509" t="s">
        <v>1939</v>
      </c>
      <c r="C2084" s="510">
        <v>0</v>
      </c>
      <c r="D2084" s="510">
        <v>0</v>
      </c>
      <c r="E2084" s="510">
        <v>0</v>
      </c>
      <c r="F2084" s="510">
        <v>0</v>
      </c>
      <c r="G2084" s="510">
        <v>0</v>
      </c>
    </row>
    <row r="2085" spans="1:7" x14ac:dyDescent="0.25">
      <c r="A2085" s="509" t="s">
        <v>3212</v>
      </c>
      <c r="B2085" s="509" t="s">
        <v>1941</v>
      </c>
      <c r="C2085" s="510">
        <v>0</v>
      </c>
      <c r="D2085" s="510">
        <v>0</v>
      </c>
      <c r="E2085" s="510">
        <v>0</v>
      </c>
      <c r="F2085" s="510">
        <v>0</v>
      </c>
      <c r="G2085" s="510">
        <v>0</v>
      </c>
    </row>
    <row r="2086" spans="1:7" x14ac:dyDescent="0.25">
      <c r="A2086" s="509" t="s">
        <v>3213</v>
      </c>
      <c r="B2086" s="509" t="s">
        <v>1943</v>
      </c>
      <c r="C2086" s="510">
        <v>0</v>
      </c>
      <c r="D2086" s="510">
        <v>0</v>
      </c>
      <c r="E2086" s="510">
        <v>0</v>
      </c>
      <c r="F2086" s="510">
        <v>0</v>
      </c>
      <c r="G2086" s="510">
        <v>0</v>
      </c>
    </row>
    <row r="2087" spans="1:7" x14ac:dyDescent="0.25">
      <c r="A2087" s="509" t="s">
        <v>3214</v>
      </c>
      <c r="B2087" s="509" t="s">
        <v>1945</v>
      </c>
      <c r="C2087" s="510">
        <v>0</v>
      </c>
      <c r="D2087" s="510">
        <v>-2453498.17</v>
      </c>
      <c r="E2087" s="510">
        <v>0</v>
      </c>
      <c r="F2087" s="510">
        <v>0</v>
      </c>
      <c r="G2087" s="510">
        <v>-2453498.17</v>
      </c>
    </row>
    <row r="2088" spans="1:7" x14ac:dyDescent="0.25">
      <c r="A2088" s="509" t="s">
        <v>3215</v>
      </c>
      <c r="B2088" s="509" t="s">
        <v>1947</v>
      </c>
      <c r="C2088" s="510">
        <v>0</v>
      </c>
      <c r="D2088" s="510">
        <v>0</v>
      </c>
      <c r="E2088" s="510">
        <v>0</v>
      </c>
      <c r="F2088" s="510">
        <v>0</v>
      </c>
      <c r="G2088" s="510">
        <v>0</v>
      </c>
    </row>
    <row r="2089" spans="1:7" x14ac:dyDescent="0.25">
      <c r="A2089" s="509" t="s">
        <v>3216</v>
      </c>
      <c r="B2089" s="509" t="s">
        <v>1949</v>
      </c>
      <c r="C2089" s="510">
        <v>0</v>
      </c>
      <c r="D2089" s="510">
        <v>0</v>
      </c>
      <c r="E2089" s="510">
        <v>0</v>
      </c>
      <c r="F2089" s="510">
        <v>0</v>
      </c>
      <c r="G2089" s="510">
        <v>0</v>
      </c>
    </row>
    <row r="2090" spans="1:7" x14ac:dyDescent="0.25">
      <c r="A2090" s="509" t="s">
        <v>3217</v>
      </c>
      <c r="B2090" s="509" t="s">
        <v>1951</v>
      </c>
      <c r="C2090" s="510">
        <v>0</v>
      </c>
      <c r="D2090" s="510">
        <v>0</v>
      </c>
      <c r="E2090" s="510">
        <v>0</v>
      </c>
      <c r="F2090" s="510">
        <v>0</v>
      </c>
      <c r="G2090" s="510">
        <v>0</v>
      </c>
    </row>
    <row r="2091" spans="1:7" x14ac:dyDescent="0.25">
      <c r="A2091" s="509" t="s">
        <v>3218</v>
      </c>
      <c r="B2091" s="509" t="s">
        <v>1953</v>
      </c>
      <c r="C2091" s="510">
        <v>0</v>
      </c>
      <c r="D2091" s="510">
        <v>0</v>
      </c>
      <c r="E2091" s="510">
        <v>0</v>
      </c>
      <c r="F2091" s="510">
        <v>8368016.5300000003</v>
      </c>
      <c r="G2091" s="510">
        <v>-8368016.5300000003</v>
      </c>
    </row>
    <row r="2092" spans="1:7" x14ac:dyDescent="0.25">
      <c r="A2092" s="509" t="s">
        <v>3219</v>
      </c>
      <c r="B2092" s="509" t="s">
        <v>1955</v>
      </c>
      <c r="C2092" s="510">
        <v>0</v>
      </c>
      <c r="D2092" s="510">
        <v>0</v>
      </c>
      <c r="E2092" s="510">
        <v>0</v>
      </c>
      <c r="F2092" s="510">
        <v>0</v>
      </c>
      <c r="G2092" s="510">
        <v>0</v>
      </c>
    </row>
    <row r="2093" spans="1:7" x14ac:dyDescent="0.25">
      <c r="A2093" s="509" t="s">
        <v>3220</v>
      </c>
      <c r="B2093" s="509" t="s">
        <v>1963</v>
      </c>
      <c r="C2093" s="510">
        <v>0</v>
      </c>
      <c r="D2093" s="510">
        <v>0</v>
      </c>
      <c r="E2093" s="510">
        <v>0</v>
      </c>
      <c r="F2093" s="510">
        <v>0</v>
      </c>
      <c r="G2093" s="510">
        <v>0</v>
      </c>
    </row>
    <row r="2094" spans="1:7" x14ac:dyDescent="0.25">
      <c r="A2094" s="509" t="s">
        <v>3221</v>
      </c>
      <c r="B2094" s="509" t="s">
        <v>1965</v>
      </c>
      <c r="C2094" s="510">
        <v>0</v>
      </c>
      <c r="D2094" s="510">
        <v>0</v>
      </c>
      <c r="E2094" s="510">
        <v>0</v>
      </c>
      <c r="F2094" s="510">
        <v>0</v>
      </c>
      <c r="G2094" s="510">
        <v>0</v>
      </c>
    </row>
    <row r="2095" spans="1:7" x14ac:dyDescent="0.25">
      <c r="A2095" s="509" t="s">
        <v>3222</v>
      </c>
      <c r="B2095" s="509" t="s">
        <v>1967</v>
      </c>
      <c r="C2095" s="510">
        <v>0</v>
      </c>
      <c r="D2095" s="510">
        <v>0</v>
      </c>
      <c r="E2095" s="510">
        <v>0</v>
      </c>
      <c r="F2095" s="510">
        <v>0</v>
      </c>
      <c r="G2095" s="510">
        <v>0</v>
      </c>
    </row>
    <row r="2096" spans="1:7" x14ac:dyDescent="0.25">
      <c r="A2096" s="509" t="s">
        <v>3223</v>
      </c>
      <c r="B2096" s="509" t="s">
        <v>1969</v>
      </c>
      <c r="C2096" s="510">
        <v>0</v>
      </c>
      <c r="D2096" s="510">
        <v>0</v>
      </c>
      <c r="E2096" s="510">
        <v>0</v>
      </c>
      <c r="F2096" s="510">
        <v>0</v>
      </c>
      <c r="G2096" s="510">
        <v>0</v>
      </c>
    </row>
    <row r="2097" spans="1:7" x14ac:dyDescent="0.25">
      <c r="A2097" s="509" t="s">
        <v>3224</v>
      </c>
      <c r="B2097" s="509" t="s">
        <v>1971</v>
      </c>
      <c r="C2097" s="510">
        <v>0</v>
      </c>
      <c r="D2097" s="510">
        <v>0</v>
      </c>
      <c r="E2097" s="510">
        <v>0</v>
      </c>
      <c r="F2097" s="510">
        <v>0</v>
      </c>
      <c r="G2097" s="510">
        <v>0</v>
      </c>
    </row>
    <row r="2098" spans="1:7" x14ac:dyDescent="0.25">
      <c r="A2098" s="509" t="s">
        <v>3225</v>
      </c>
      <c r="B2098" s="509" t="s">
        <v>1973</v>
      </c>
      <c r="C2098" s="510">
        <v>0</v>
      </c>
      <c r="D2098" s="510">
        <v>0</v>
      </c>
      <c r="E2098" s="510">
        <v>0</v>
      </c>
      <c r="F2098" s="510">
        <v>0</v>
      </c>
      <c r="G2098" s="510">
        <v>0</v>
      </c>
    </row>
    <row r="2099" spans="1:7" x14ac:dyDescent="0.25">
      <c r="A2099" s="509" t="s">
        <v>3226</v>
      </c>
      <c r="B2099" s="509" t="s">
        <v>1975</v>
      </c>
      <c r="C2099" s="510">
        <v>0</v>
      </c>
      <c r="D2099" s="510">
        <v>0</v>
      </c>
      <c r="E2099" s="510">
        <v>0</v>
      </c>
      <c r="F2099" s="510">
        <v>0</v>
      </c>
      <c r="G2099" s="510">
        <v>0</v>
      </c>
    </row>
    <row r="2100" spans="1:7" x14ac:dyDescent="0.25">
      <c r="A2100" s="509" t="s">
        <v>3227</v>
      </c>
      <c r="B2100" s="509" t="s">
        <v>1977</v>
      </c>
      <c r="C2100" s="510">
        <v>0</v>
      </c>
      <c r="D2100" s="510">
        <v>0</v>
      </c>
      <c r="E2100" s="510">
        <v>0</v>
      </c>
      <c r="F2100" s="510">
        <v>0</v>
      </c>
      <c r="G2100" s="510">
        <v>0</v>
      </c>
    </row>
    <row r="2101" spans="1:7" x14ac:dyDescent="0.25">
      <c r="A2101" s="509" t="s">
        <v>3228</v>
      </c>
      <c r="B2101" s="509" t="s">
        <v>1979</v>
      </c>
      <c r="C2101" s="510">
        <v>0</v>
      </c>
      <c r="D2101" s="510">
        <v>0</v>
      </c>
      <c r="E2101" s="510">
        <v>0</v>
      </c>
      <c r="F2101" s="510">
        <v>0</v>
      </c>
      <c r="G2101" s="510">
        <v>0</v>
      </c>
    </row>
    <row r="2102" spans="1:7" x14ac:dyDescent="0.25">
      <c r="A2102" s="509" t="s">
        <v>3229</v>
      </c>
      <c r="B2102" s="509" t="s">
        <v>1981</v>
      </c>
      <c r="C2102" s="510">
        <v>0</v>
      </c>
      <c r="D2102" s="510">
        <v>0</v>
      </c>
      <c r="E2102" s="510">
        <v>0</v>
      </c>
      <c r="F2102" s="510">
        <v>0</v>
      </c>
      <c r="G2102" s="510">
        <v>0</v>
      </c>
    </row>
    <row r="2103" spans="1:7" x14ac:dyDescent="0.25">
      <c r="A2103" s="509" t="s">
        <v>3230</v>
      </c>
      <c r="B2103" s="509" t="s">
        <v>1983</v>
      </c>
      <c r="C2103" s="510">
        <v>0</v>
      </c>
      <c r="D2103" s="510">
        <v>0</v>
      </c>
      <c r="E2103" s="510">
        <v>0</v>
      </c>
      <c r="F2103" s="510">
        <v>0</v>
      </c>
      <c r="G2103" s="510">
        <v>0</v>
      </c>
    </row>
    <row r="2104" spans="1:7" x14ac:dyDescent="0.25">
      <c r="A2104" s="509" t="s">
        <v>3231</v>
      </c>
      <c r="B2104" s="509" t="s">
        <v>1985</v>
      </c>
      <c r="C2104" s="510">
        <v>0</v>
      </c>
      <c r="D2104" s="510">
        <v>0</v>
      </c>
      <c r="E2104" s="510">
        <v>0</v>
      </c>
      <c r="F2104" s="510">
        <v>0</v>
      </c>
      <c r="G2104" s="510">
        <v>0</v>
      </c>
    </row>
    <row r="2105" spans="1:7" x14ac:dyDescent="0.25">
      <c r="A2105" s="509" t="s">
        <v>3232</v>
      </c>
      <c r="B2105" s="509" t="s">
        <v>1987</v>
      </c>
      <c r="C2105" s="510">
        <v>0</v>
      </c>
      <c r="D2105" s="510">
        <v>0</v>
      </c>
      <c r="E2105" s="510">
        <v>0</v>
      </c>
      <c r="F2105" s="510">
        <v>0</v>
      </c>
      <c r="G2105" s="510">
        <v>0</v>
      </c>
    </row>
    <row r="2106" spans="1:7" x14ac:dyDescent="0.25">
      <c r="A2106" s="509" t="s">
        <v>3233</v>
      </c>
      <c r="B2106" s="509" t="s">
        <v>1989</v>
      </c>
      <c r="C2106" s="510">
        <v>0</v>
      </c>
      <c r="D2106" s="510">
        <v>0</v>
      </c>
      <c r="E2106" s="510">
        <v>0</v>
      </c>
      <c r="F2106" s="510">
        <v>0</v>
      </c>
      <c r="G2106" s="510">
        <v>0</v>
      </c>
    </row>
    <row r="2107" spans="1:7" x14ac:dyDescent="0.25">
      <c r="A2107" s="509" t="s">
        <v>3234</v>
      </c>
      <c r="B2107" s="509" t="s">
        <v>1991</v>
      </c>
      <c r="C2107" s="510">
        <v>0</v>
      </c>
      <c r="D2107" s="510">
        <v>0</v>
      </c>
      <c r="E2107" s="510">
        <v>0</v>
      </c>
      <c r="F2107" s="510">
        <v>0</v>
      </c>
      <c r="G2107" s="510">
        <v>0</v>
      </c>
    </row>
    <row r="2108" spans="1:7" x14ac:dyDescent="0.25">
      <c r="A2108" s="509" t="s">
        <v>3235</v>
      </c>
      <c r="B2108" s="509" t="s">
        <v>2371</v>
      </c>
      <c r="C2108" s="510">
        <v>0</v>
      </c>
      <c r="D2108" s="510">
        <v>0</v>
      </c>
      <c r="E2108" s="510">
        <v>0</v>
      </c>
      <c r="F2108" s="510">
        <v>0</v>
      </c>
      <c r="G2108" s="510">
        <v>0</v>
      </c>
    </row>
    <row r="2109" spans="1:7" x14ac:dyDescent="0.25">
      <c r="A2109" s="509" t="s">
        <v>3236</v>
      </c>
      <c r="B2109" s="509" t="s">
        <v>2003</v>
      </c>
      <c r="C2109" s="510">
        <v>0</v>
      </c>
      <c r="D2109" s="510">
        <v>0</v>
      </c>
      <c r="E2109" s="510">
        <v>0</v>
      </c>
      <c r="F2109" s="510">
        <v>0</v>
      </c>
      <c r="G2109" s="510">
        <v>0</v>
      </c>
    </row>
    <row r="2110" spans="1:7" x14ac:dyDescent="0.25">
      <c r="A2110" s="509" t="s">
        <v>3237</v>
      </c>
      <c r="B2110" s="509" t="s">
        <v>2004</v>
      </c>
      <c r="C2110" s="510">
        <v>0</v>
      </c>
      <c r="D2110" s="510">
        <v>0</v>
      </c>
      <c r="E2110" s="510">
        <v>0</v>
      </c>
      <c r="F2110" s="510">
        <v>0</v>
      </c>
      <c r="G2110" s="510">
        <v>0</v>
      </c>
    </row>
    <row r="2111" spans="1:7" x14ac:dyDescent="0.25">
      <c r="A2111" s="509" t="s">
        <v>3238</v>
      </c>
      <c r="B2111" s="509" t="s">
        <v>2008</v>
      </c>
      <c r="C2111" s="510">
        <v>0</v>
      </c>
      <c r="D2111" s="510">
        <v>0</v>
      </c>
      <c r="E2111" s="510">
        <v>0</v>
      </c>
      <c r="F2111" s="510">
        <v>0</v>
      </c>
      <c r="G2111" s="510">
        <v>0</v>
      </c>
    </row>
    <row r="2112" spans="1:7" x14ac:dyDescent="0.25">
      <c r="A2112" s="509" t="s">
        <v>3239</v>
      </c>
      <c r="B2112" s="509" t="s">
        <v>2010</v>
      </c>
      <c r="C2112" s="510">
        <v>0</v>
      </c>
      <c r="D2112" s="510">
        <v>0</v>
      </c>
      <c r="E2112" s="510">
        <v>0</v>
      </c>
      <c r="F2112" s="510">
        <v>0</v>
      </c>
      <c r="G2112" s="510">
        <v>0</v>
      </c>
    </row>
    <row r="2113" spans="1:7" x14ac:dyDescent="0.25">
      <c r="A2113" s="509" t="s">
        <v>3240</v>
      </c>
      <c r="B2113" s="509" t="s">
        <v>2016</v>
      </c>
      <c r="C2113" s="510">
        <v>0</v>
      </c>
      <c r="D2113" s="510">
        <v>0</v>
      </c>
      <c r="E2113" s="510">
        <v>0</v>
      </c>
      <c r="F2113" s="510">
        <v>0</v>
      </c>
      <c r="G2113" s="510">
        <v>0</v>
      </c>
    </row>
    <row r="2114" spans="1:7" x14ac:dyDescent="0.25">
      <c r="A2114" s="509" t="s">
        <v>3241</v>
      </c>
      <c r="B2114" s="509" t="s">
        <v>2018</v>
      </c>
      <c r="C2114" s="510">
        <v>0</v>
      </c>
      <c r="D2114" s="510">
        <v>0</v>
      </c>
      <c r="E2114" s="510">
        <v>0</v>
      </c>
      <c r="F2114" s="510">
        <v>0</v>
      </c>
      <c r="G2114" s="510">
        <v>0</v>
      </c>
    </row>
    <row r="2115" spans="1:7" x14ac:dyDescent="0.25">
      <c r="A2115" s="509" t="s">
        <v>3242</v>
      </c>
      <c r="B2115" s="509" t="s">
        <v>2020</v>
      </c>
      <c r="C2115" s="510">
        <v>0</v>
      </c>
      <c r="D2115" s="510">
        <v>0</v>
      </c>
      <c r="E2115" s="510">
        <v>0</v>
      </c>
      <c r="F2115" s="510">
        <v>0</v>
      </c>
      <c r="G2115" s="510">
        <v>0</v>
      </c>
    </row>
    <row r="2116" spans="1:7" x14ac:dyDescent="0.25">
      <c r="A2116" s="509" t="s">
        <v>3243</v>
      </c>
      <c r="B2116" s="509" t="s">
        <v>2022</v>
      </c>
      <c r="C2116" s="510">
        <v>0</v>
      </c>
      <c r="D2116" s="510">
        <v>0</v>
      </c>
      <c r="E2116" s="510">
        <v>0</v>
      </c>
      <c r="F2116" s="510">
        <v>0</v>
      </c>
      <c r="G2116" s="510">
        <v>0</v>
      </c>
    </row>
    <row r="2117" spans="1:7" x14ac:dyDescent="0.25">
      <c r="A2117" s="509" t="s">
        <v>3244</v>
      </c>
      <c r="B2117" s="509" t="s">
        <v>2024</v>
      </c>
      <c r="C2117" s="510">
        <v>0</v>
      </c>
      <c r="D2117" s="510">
        <v>0</v>
      </c>
      <c r="E2117" s="510">
        <v>0</v>
      </c>
      <c r="F2117" s="510">
        <v>0</v>
      </c>
      <c r="G2117" s="510">
        <v>0</v>
      </c>
    </row>
    <row r="2118" spans="1:7" x14ac:dyDescent="0.25">
      <c r="A2118" s="509" t="s">
        <v>3245</v>
      </c>
      <c r="B2118" s="509" t="s">
        <v>2026</v>
      </c>
      <c r="C2118" s="510">
        <v>0</v>
      </c>
      <c r="D2118" s="510">
        <v>0</v>
      </c>
      <c r="E2118" s="510">
        <v>0</v>
      </c>
      <c r="F2118" s="510">
        <v>0</v>
      </c>
      <c r="G2118" s="510">
        <v>0</v>
      </c>
    </row>
    <row r="2119" spans="1:7" x14ac:dyDescent="0.25">
      <c r="A2119" s="509" t="s">
        <v>3246</v>
      </c>
      <c r="B2119" s="509" t="s">
        <v>2028</v>
      </c>
      <c r="C2119" s="510">
        <v>0</v>
      </c>
      <c r="D2119" s="510">
        <v>0</v>
      </c>
      <c r="E2119" s="510">
        <v>0</v>
      </c>
      <c r="F2119" s="510">
        <v>0</v>
      </c>
      <c r="G2119" s="510">
        <v>0</v>
      </c>
    </row>
    <row r="2120" spans="1:7" x14ac:dyDescent="0.25">
      <c r="A2120" s="509" t="s">
        <v>3247</v>
      </c>
      <c r="B2120" s="509" t="s">
        <v>2032</v>
      </c>
      <c r="C2120" s="510">
        <v>0</v>
      </c>
      <c r="D2120" s="510">
        <v>0</v>
      </c>
      <c r="E2120" s="510">
        <v>0</v>
      </c>
      <c r="F2120" s="510">
        <v>0</v>
      </c>
      <c r="G2120" s="510">
        <v>0</v>
      </c>
    </row>
    <row r="2121" spans="1:7" x14ac:dyDescent="0.25">
      <c r="A2121" s="509" t="s">
        <v>3248</v>
      </c>
      <c r="B2121" s="509" t="s">
        <v>2034</v>
      </c>
      <c r="C2121" s="510">
        <v>0</v>
      </c>
      <c r="D2121" s="510">
        <v>0</v>
      </c>
      <c r="E2121" s="510">
        <v>0</v>
      </c>
      <c r="F2121" s="510">
        <v>0</v>
      </c>
      <c r="G2121" s="510">
        <v>0</v>
      </c>
    </row>
    <row r="2122" spans="1:7" x14ac:dyDescent="0.25">
      <c r="A2122" s="509" t="s">
        <v>3249</v>
      </c>
      <c r="B2122" s="509" t="s">
        <v>2036</v>
      </c>
      <c r="C2122" s="510">
        <v>0</v>
      </c>
      <c r="D2122" s="510">
        <v>0</v>
      </c>
      <c r="E2122" s="510">
        <v>0</v>
      </c>
      <c r="F2122" s="510">
        <v>0</v>
      </c>
      <c r="G2122" s="510">
        <v>0</v>
      </c>
    </row>
    <row r="2123" spans="1:7" x14ac:dyDescent="0.25">
      <c r="A2123" s="509" t="s">
        <v>3250</v>
      </c>
      <c r="B2123" s="509" t="s">
        <v>2038</v>
      </c>
      <c r="C2123" s="510">
        <v>0</v>
      </c>
      <c r="D2123" s="510">
        <v>0</v>
      </c>
      <c r="E2123" s="510">
        <v>0</v>
      </c>
      <c r="F2123" s="510">
        <v>0</v>
      </c>
      <c r="G2123" s="510">
        <v>0</v>
      </c>
    </row>
    <row r="2124" spans="1:7" x14ac:dyDescent="0.25">
      <c r="A2124" s="509" t="s">
        <v>3251</v>
      </c>
      <c r="B2124" s="509" t="s">
        <v>2040</v>
      </c>
      <c r="C2124" s="510">
        <v>0</v>
      </c>
      <c r="D2124" s="510">
        <v>0</v>
      </c>
      <c r="E2124" s="510">
        <v>0</v>
      </c>
      <c r="F2124" s="510">
        <v>0</v>
      </c>
      <c r="G2124" s="510">
        <v>0</v>
      </c>
    </row>
    <row r="2125" spans="1:7" x14ac:dyDescent="0.25">
      <c r="A2125" s="509" t="s">
        <v>3252</v>
      </c>
      <c r="B2125" s="509" t="s">
        <v>2042</v>
      </c>
      <c r="C2125" s="510">
        <v>0</v>
      </c>
      <c r="D2125" s="510">
        <v>0</v>
      </c>
      <c r="E2125" s="510">
        <v>0</v>
      </c>
      <c r="F2125" s="510">
        <v>0</v>
      </c>
      <c r="G2125" s="510">
        <v>0</v>
      </c>
    </row>
    <row r="2126" spans="1:7" x14ac:dyDescent="0.25">
      <c r="A2126" s="509" t="s">
        <v>3253</v>
      </c>
      <c r="B2126" s="509" t="s">
        <v>2050</v>
      </c>
      <c r="C2126" s="510">
        <v>0</v>
      </c>
      <c r="D2126" s="510">
        <v>0</v>
      </c>
      <c r="E2126" s="510">
        <v>0</v>
      </c>
      <c r="F2126" s="510">
        <v>0</v>
      </c>
      <c r="G2126" s="510">
        <v>0</v>
      </c>
    </row>
    <row r="2127" spans="1:7" x14ac:dyDescent="0.25">
      <c r="A2127" s="509" t="s">
        <v>3254</v>
      </c>
      <c r="B2127" s="509" t="s">
        <v>1468</v>
      </c>
      <c r="C2127" s="510">
        <v>0</v>
      </c>
      <c r="D2127" s="510">
        <v>0</v>
      </c>
      <c r="E2127" s="510">
        <v>0</v>
      </c>
      <c r="F2127" s="510">
        <v>0</v>
      </c>
      <c r="G2127" s="510">
        <v>0</v>
      </c>
    </row>
    <row r="2128" spans="1:7" x14ac:dyDescent="0.25">
      <c r="A2128" s="509" t="s">
        <v>3255</v>
      </c>
      <c r="B2128" s="509" t="s">
        <v>1472</v>
      </c>
      <c r="C2128" s="510">
        <v>0</v>
      </c>
      <c r="D2128" s="510">
        <v>0</v>
      </c>
      <c r="E2128" s="510">
        <v>0</v>
      </c>
      <c r="F2128" s="510">
        <v>0</v>
      </c>
      <c r="G2128" s="510">
        <v>0</v>
      </c>
    </row>
    <row r="2129" spans="1:7" x14ac:dyDescent="0.25">
      <c r="A2129" s="509" t="s">
        <v>3256</v>
      </c>
      <c r="B2129" s="509" t="s">
        <v>1480</v>
      </c>
      <c r="C2129" s="510">
        <v>0</v>
      </c>
      <c r="D2129" s="510">
        <v>0</v>
      </c>
      <c r="E2129" s="510">
        <v>0</v>
      </c>
      <c r="F2129" s="510">
        <v>0</v>
      </c>
      <c r="G2129" s="510">
        <v>0</v>
      </c>
    </row>
    <row r="2130" spans="1:7" x14ac:dyDescent="0.25">
      <c r="A2130" s="509" t="s">
        <v>3257</v>
      </c>
      <c r="B2130" s="509" t="s">
        <v>1484</v>
      </c>
      <c r="C2130" s="510">
        <v>0</v>
      </c>
      <c r="D2130" s="510">
        <v>0</v>
      </c>
      <c r="E2130" s="510">
        <v>0</v>
      </c>
      <c r="F2130" s="510">
        <v>0</v>
      </c>
      <c r="G2130" s="510">
        <v>0</v>
      </c>
    </row>
    <row r="2131" spans="1:7" x14ac:dyDescent="0.25">
      <c r="A2131" s="509" t="s">
        <v>3258</v>
      </c>
      <c r="B2131" s="509" t="s">
        <v>2052</v>
      </c>
      <c r="C2131" s="510">
        <v>0</v>
      </c>
      <c r="D2131" s="510">
        <v>0</v>
      </c>
      <c r="E2131" s="510">
        <v>0</v>
      </c>
      <c r="F2131" s="510">
        <v>0</v>
      </c>
      <c r="G2131" s="510">
        <v>0</v>
      </c>
    </row>
    <row r="2132" spans="1:7" x14ac:dyDescent="0.25">
      <c r="A2132" s="509" t="s">
        <v>3259</v>
      </c>
      <c r="B2132" s="509" t="s">
        <v>1486</v>
      </c>
      <c r="C2132" s="510">
        <v>0</v>
      </c>
      <c r="D2132" s="510">
        <v>0</v>
      </c>
      <c r="E2132" s="510">
        <v>0</v>
      </c>
      <c r="F2132" s="510">
        <v>0</v>
      </c>
      <c r="G2132" s="510">
        <v>0</v>
      </c>
    </row>
    <row r="2133" spans="1:7" x14ac:dyDescent="0.25">
      <c r="A2133" s="509" t="s">
        <v>3260</v>
      </c>
      <c r="B2133" s="509" t="s">
        <v>1488</v>
      </c>
      <c r="C2133" s="510">
        <v>0</v>
      </c>
      <c r="D2133" s="510">
        <v>0</v>
      </c>
      <c r="E2133" s="510">
        <v>0</v>
      </c>
      <c r="F2133" s="510">
        <v>0</v>
      </c>
      <c r="G2133" s="510">
        <v>0</v>
      </c>
    </row>
    <row r="2134" spans="1:7" x14ac:dyDescent="0.25">
      <c r="A2134" s="509" t="s">
        <v>3261</v>
      </c>
      <c r="B2134" s="509" t="s">
        <v>1491</v>
      </c>
      <c r="C2134" s="510">
        <v>0</v>
      </c>
      <c r="D2134" s="510">
        <v>0</v>
      </c>
      <c r="E2134" s="510">
        <v>0</v>
      </c>
      <c r="F2134" s="510">
        <v>0</v>
      </c>
      <c r="G2134" s="510">
        <v>0</v>
      </c>
    </row>
    <row r="2135" spans="1:7" x14ac:dyDescent="0.25">
      <c r="A2135" s="509" t="s">
        <v>3262</v>
      </c>
      <c r="B2135" s="509" t="s">
        <v>1493</v>
      </c>
      <c r="C2135" s="510">
        <v>0</v>
      </c>
      <c r="D2135" s="510">
        <v>0</v>
      </c>
      <c r="E2135" s="510">
        <v>0</v>
      </c>
      <c r="F2135" s="510">
        <v>0</v>
      </c>
      <c r="G2135" s="510">
        <v>0</v>
      </c>
    </row>
    <row r="2136" spans="1:7" x14ac:dyDescent="0.25">
      <c r="A2136" s="509" t="s">
        <v>3263</v>
      </c>
      <c r="B2136" s="509" t="s">
        <v>1495</v>
      </c>
      <c r="C2136" s="510">
        <v>0</v>
      </c>
      <c r="D2136" s="510">
        <v>0</v>
      </c>
      <c r="E2136" s="510">
        <v>0</v>
      </c>
      <c r="F2136" s="510">
        <v>0</v>
      </c>
      <c r="G2136" s="510">
        <v>0</v>
      </c>
    </row>
    <row r="2137" spans="1:7" x14ac:dyDescent="0.25">
      <c r="A2137" s="509" t="s">
        <v>1762</v>
      </c>
      <c r="B2137" s="509" t="s">
        <v>1499</v>
      </c>
      <c r="C2137" s="510">
        <v>0</v>
      </c>
      <c r="D2137" s="510">
        <v>13123018.369999999</v>
      </c>
      <c r="E2137" s="510">
        <v>0</v>
      </c>
      <c r="F2137" s="510">
        <v>0</v>
      </c>
      <c r="G2137" s="510">
        <v>13123018.369999999</v>
      </c>
    </row>
    <row r="2138" spans="1:7" x14ac:dyDescent="0.25">
      <c r="A2138" s="509" t="s">
        <v>3264</v>
      </c>
      <c r="B2138" s="509" t="s">
        <v>2054</v>
      </c>
      <c r="C2138" s="510">
        <v>0</v>
      </c>
      <c r="D2138" s="510">
        <v>0</v>
      </c>
      <c r="E2138" s="510">
        <v>0</v>
      </c>
      <c r="F2138" s="510">
        <v>0</v>
      </c>
      <c r="G2138" s="510">
        <v>0</v>
      </c>
    </row>
    <row r="2139" spans="1:7" x14ac:dyDescent="0.25">
      <c r="A2139" s="509" t="s">
        <v>3460</v>
      </c>
      <c r="B2139" s="509" t="s">
        <v>3461</v>
      </c>
      <c r="C2139" s="510">
        <v>0</v>
      </c>
      <c r="D2139" s="510">
        <v>0</v>
      </c>
      <c r="E2139" s="510">
        <v>0</v>
      </c>
      <c r="F2139" s="510">
        <v>0</v>
      </c>
      <c r="G2139" s="510">
        <v>0</v>
      </c>
    </row>
    <row r="2140" spans="1:7" x14ac:dyDescent="0.25">
      <c r="A2140" s="509" t="s">
        <v>1763</v>
      </c>
      <c r="B2140" s="509" t="s">
        <v>1541</v>
      </c>
      <c r="C2140" s="510">
        <v>0</v>
      </c>
      <c r="D2140" s="510">
        <v>0</v>
      </c>
      <c r="E2140" s="510">
        <v>0</v>
      </c>
      <c r="F2140" s="510">
        <v>0</v>
      </c>
      <c r="G2140" s="510">
        <v>0</v>
      </c>
    </row>
    <row r="2141" spans="1:7" x14ac:dyDescent="0.25">
      <c r="A2141" s="509" t="s">
        <v>1764</v>
      </c>
      <c r="B2141" s="509" t="s">
        <v>1757</v>
      </c>
      <c r="C2141" s="510">
        <v>0</v>
      </c>
      <c r="D2141" s="510">
        <v>0</v>
      </c>
      <c r="E2141" s="510">
        <v>485776.36</v>
      </c>
      <c r="F2141" s="510">
        <v>7944.75</v>
      </c>
      <c r="G2141" s="510">
        <v>477831.61</v>
      </c>
    </row>
    <row r="2142" spans="1:7" x14ac:dyDescent="0.25">
      <c r="A2142" s="509" t="s">
        <v>1765</v>
      </c>
      <c r="B2142" s="509" t="s">
        <v>1759</v>
      </c>
      <c r="C2142" s="510">
        <v>0</v>
      </c>
      <c r="D2142" s="510">
        <v>0</v>
      </c>
      <c r="E2142" s="510">
        <v>0</v>
      </c>
      <c r="F2142" s="510">
        <v>0</v>
      </c>
      <c r="G2142" s="510">
        <v>0</v>
      </c>
    </row>
    <row r="2143" spans="1:7" x14ac:dyDescent="0.25">
      <c r="A2143" s="509" t="s">
        <v>1766</v>
      </c>
      <c r="B2143" s="509" t="s">
        <v>1767</v>
      </c>
      <c r="C2143" s="510">
        <v>0</v>
      </c>
      <c r="D2143" s="510">
        <v>0</v>
      </c>
      <c r="E2143" s="510">
        <v>467802.19</v>
      </c>
      <c r="F2143" s="510">
        <v>0</v>
      </c>
      <c r="G2143" s="510">
        <v>467802.19</v>
      </c>
    </row>
    <row r="2144" spans="1:7" x14ac:dyDescent="0.25">
      <c r="A2144" s="509" t="s">
        <v>3265</v>
      </c>
      <c r="B2144" s="509" t="s">
        <v>3266</v>
      </c>
      <c r="C2144" s="510">
        <v>0</v>
      </c>
      <c r="D2144" s="510">
        <v>14500.99</v>
      </c>
      <c r="E2144" s="510">
        <v>0</v>
      </c>
      <c r="F2144" s="510">
        <v>0</v>
      </c>
      <c r="G2144" s="510">
        <v>14500.99</v>
      </c>
    </row>
    <row r="2145" spans="1:7" x14ac:dyDescent="0.25">
      <c r="A2145" s="509" t="s">
        <v>3267</v>
      </c>
      <c r="B2145" s="509" t="s">
        <v>3268</v>
      </c>
      <c r="C2145" s="510">
        <v>0</v>
      </c>
      <c r="D2145" s="510">
        <v>240</v>
      </c>
      <c r="E2145" s="510">
        <v>0</v>
      </c>
      <c r="F2145" s="510">
        <v>0</v>
      </c>
      <c r="G2145" s="510">
        <v>240</v>
      </c>
    </row>
    <row r="2146" spans="1:7" x14ac:dyDescent="0.25">
      <c r="A2146" s="509" t="s">
        <v>3269</v>
      </c>
      <c r="B2146" s="509" t="s">
        <v>2059</v>
      </c>
      <c r="C2146" s="510">
        <v>0</v>
      </c>
      <c r="D2146" s="510">
        <v>0</v>
      </c>
      <c r="E2146" s="510">
        <v>0</v>
      </c>
      <c r="F2146" s="510">
        <v>0</v>
      </c>
      <c r="G2146" s="510">
        <v>0</v>
      </c>
    </row>
    <row r="2147" spans="1:7" x14ac:dyDescent="0.25">
      <c r="A2147" s="509" t="s">
        <v>3270</v>
      </c>
      <c r="B2147" s="509" t="s">
        <v>1545</v>
      </c>
      <c r="C2147" s="510">
        <v>0</v>
      </c>
      <c r="D2147" s="510">
        <v>0</v>
      </c>
      <c r="E2147" s="510">
        <v>0</v>
      </c>
      <c r="F2147" s="510">
        <v>0</v>
      </c>
      <c r="G2147" s="510">
        <v>0</v>
      </c>
    </row>
    <row r="2148" spans="1:7" x14ac:dyDescent="0.25">
      <c r="A2148" s="509" t="s">
        <v>3271</v>
      </c>
      <c r="B2148" s="509" t="s">
        <v>1550</v>
      </c>
      <c r="C2148" s="510">
        <v>0</v>
      </c>
      <c r="D2148" s="510">
        <v>0</v>
      </c>
      <c r="E2148" s="510">
        <v>0</v>
      </c>
      <c r="F2148" s="510">
        <v>0</v>
      </c>
      <c r="G2148" s="510">
        <v>0</v>
      </c>
    </row>
    <row r="2149" spans="1:7" x14ac:dyDescent="0.25">
      <c r="A2149" s="509" t="s">
        <v>3272</v>
      </c>
      <c r="B2149" s="509" t="s">
        <v>1552</v>
      </c>
      <c r="C2149" s="510">
        <v>0</v>
      </c>
      <c r="D2149" s="510">
        <v>0</v>
      </c>
      <c r="E2149" s="510">
        <v>0</v>
      </c>
      <c r="F2149" s="510">
        <v>0</v>
      </c>
      <c r="G2149" s="510">
        <v>0</v>
      </c>
    </row>
    <row r="2150" spans="1:7" x14ac:dyDescent="0.25">
      <c r="A2150" s="509" t="s">
        <v>3273</v>
      </c>
      <c r="B2150" s="509" t="s">
        <v>1556</v>
      </c>
      <c r="C2150" s="510">
        <v>0</v>
      </c>
      <c r="D2150" s="510">
        <v>0</v>
      </c>
      <c r="E2150" s="510">
        <v>0</v>
      </c>
      <c r="F2150" s="510">
        <v>0</v>
      </c>
      <c r="G2150" s="510">
        <v>0</v>
      </c>
    </row>
    <row r="2151" spans="1:7" x14ac:dyDescent="0.25">
      <c r="A2151" s="509" t="s">
        <v>3274</v>
      </c>
      <c r="B2151" s="509" t="s">
        <v>1558</v>
      </c>
      <c r="C2151" s="510">
        <v>0</v>
      </c>
      <c r="D2151" s="510">
        <v>0</v>
      </c>
      <c r="E2151" s="510">
        <v>0</v>
      </c>
      <c r="F2151" s="510">
        <v>0</v>
      </c>
      <c r="G2151" s="510">
        <v>0</v>
      </c>
    </row>
    <row r="2152" spans="1:7" x14ac:dyDescent="0.25">
      <c r="A2152" s="509" t="s">
        <v>3275</v>
      </c>
      <c r="B2152" s="509" t="s">
        <v>2066</v>
      </c>
      <c r="C2152" s="510">
        <v>0</v>
      </c>
      <c r="D2152" s="510">
        <v>0</v>
      </c>
      <c r="E2152" s="510">
        <v>0</v>
      </c>
      <c r="F2152" s="510">
        <v>0</v>
      </c>
      <c r="G2152" s="510">
        <v>0</v>
      </c>
    </row>
    <row r="2153" spans="1:7" x14ac:dyDescent="0.25">
      <c r="A2153" s="509" t="s">
        <v>3276</v>
      </c>
      <c r="B2153" s="509" t="s">
        <v>2068</v>
      </c>
      <c r="C2153" s="510">
        <v>0</v>
      </c>
      <c r="D2153" s="510">
        <v>0</v>
      </c>
      <c r="E2153" s="510">
        <v>0</v>
      </c>
      <c r="F2153" s="510">
        <v>0</v>
      </c>
      <c r="G2153" s="510">
        <v>0</v>
      </c>
    </row>
    <row r="2154" spans="1:7" x14ac:dyDescent="0.25">
      <c r="A2154" s="509" t="s">
        <v>3277</v>
      </c>
      <c r="B2154" s="509" t="s">
        <v>2070</v>
      </c>
      <c r="C2154" s="510">
        <v>0</v>
      </c>
      <c r="D2154" s="510">
        <v>0</v>
      </c>
      <c r="E2154" s="510">
        <v>0</v>
      </c>
      <c r="F2154" s="510">
        <v>0</v>
      </c>
      <c r="G2154" s="510">
        <v>0</v>
      </c>
    </row>
    <row r="2155" spans="1:7" x14ac:dyDescent="0.25">
      <c r="A2155" s="509" t="s">
        <v>3278</v>
      </c>
      <c r="B2155" s="509" t="s">
        <v>2072</v>
      </c>
      <c r="C2155" s="510">
        <v>0</v>
      </c>
      <c r="D2155" s="510">
        <v>0</v>
      </c>
      <c r="E2155" s="510">
        <v>0</v>
      </c>
      <c r="F2155" s="510">
        <v>0</v>
      </c>
      <c r="G2155" s="510">
        <v>0</v>
      </c>
    </row>
    <row r="2156" spans="1:7" x14ac:dyDescent="0.25">
      <c r="A2156" s="509" t="s">
        <v>3279</v>
      </c>
      <c r="B2156" s="509" t="s">
        <v>2076</v>
      </c>
      <c r="C2156" s="510">
        <v>0</v>
      </c>
      <c r="D2156" s="510">
        <v>0</v>
      </c>
      <c r="E2156" s="510">
        <v>0</v>
      </c>
      <c r="F2156" s="510">
        <v>0</v>
      </c>
      <c r="G2156" s="510">
        <v>0</v>
      </c>
    </row>
    <row r="2157" spans="1:7" x14ac:dyDescent="0.25">
      <c r="A2157" s="509" t="s">
        <v>3280</v>
      </c>
      <c r="B2157" s="509" t="s">
        <v>2078</v>
      </c>
      <c r="C2157" s="510">
        <v>0</v>
      </c>
      <c r="D2157" s="510">
        <v>0</v>
      </c>
      <c r="E2157" s="510">
        <v>0</v>
      </c>
      <c r="F2157" s="510">
        <v>0</v>
      </c>
      <c r="G2157" s="510">
        <v>0</v>
      </c>
    </row>
    <row r="2158" spans="1:7" x14ac:dyDescent="0.25">
      <c r="A2158" s="509" t="s">
        <v>3281</v>
      </c>
      <c r="B2158" s="509" t="s">
        <v>1560</v>
      </c>
      <c r="C2158" s="510">
        <v>0</v>
      </c>
      <c r="D2158" s="510">
        <v>0</v>
      </c>
      <c r="E2158" s="510">
        <v>0</v>
      </c>
      <c r="F2158" s="510">
        <v>0</v>
      </c>
      <c r="G2158" s="510">
        <v>0</v>
      </c>
    </row>
    <row r="2159" spans="1:7" x14ac:dyDescent="0.25">
      <c r="A2159" s="509" t="s">
        <v>3282</v>
      </c>
      <c r="B2159" s="509" t="s">
        <v>104</v>
      </c>
      <c r="C2159" s="510">
        <v>0</v>
      </c>
      <c r="D2159" s="510">
        <v>0</v>
      </c>
      <c r="E2159" s="510">
        <v>0</v>
      </c>
      <c r="F2159" s="510">
        <v>0</v>
      </c>
      <c r="G2159" s="510">
        <v>0</v>
      </c>
    </row>
    <row r="2160" spans="1:7" x14ac:dyDescent="0.25">
      <c r="A2160" s="509" t="s">
        <v>3283</v>
      </c>
      <c r="B2160" s="509" t="s">
        <v>2080</v>
      </c>
      <c r="C2160" s="510">
        <v>0</v>
      </c>
      <c r="D2160" s="510">
        <v>0</v>
      </c>
      <c r="E2160" s="510">
        <v>0</v>
      </c>
      <c r="F2160" s="510">
        <v>0</v>
      </c>
      <c r="G2160" s="510">
        <v>0</v>
      </c>
    </row>
    <row r="2161" spans="1:7" x14ac:dyDescent="0.25">
      <c r="A2161" s="509" t="s">
        <v>3284</v>
      </c>
      <c r="B2161" s="509" t="s">
        <v>2082</v>
      </c>
      <c r="C2161" s="510">
        <v>0</v>
      </c>
      <c r="D2161" s="510">
        <v>-97614.26</v>
      </c>
      <c r="E2161" s="510">
        <v>787160.85</v>
      </c>
      <c r="F2161" s="510">
        <v>951425.05</v>
      </c>
      <c r="G2161" s="510">
        <v>-261878.46</v>
      </c>
    </row>
    <row r="2162" spans="1:7" x14ac:dyDescent="0.25">
      <c r="A2162" s="509" t="s">
        <v>3285</v>
      </c>
      <c r="B2162" s="509" t="s">
        <v>2084</v>
      </c>
      <c r="C2162" s="510">
        <v>0</v>
      </c>
      <c r="D2162" s="510">
        <v>0</v>
      </c>
      <c r="E2162" s="510">
        <v>0</v>
      </c>
      <c r="F2162" s="510">
        <v>0</v>
      </c>
      <c r="G2162" s="510">
        <v>0</v>
      </c>
    </row>
    <row r="2163" spans="1:7" x14ac:dyDescent="0.25">
      <c r="A2163" s="509" t="s">
        <v>3286</v>
      </c>
      <c r="B2163" s="509" t="s">
        <v>2092</v>
      </c>
      <c r="C2163" s="510">
        <v>0</v>
      </c>
      <c r="D2163" s="510">
        <v>0</v>
      </c>
      <c r="E2163" s="510">
        <v>0</v>
      </c>
      <c r="F2163" s="510">
        <v>0</v>
      </c>
      <c r="G2163" s="510">
        <v>0</v>
      </c>
    </row>
    <row r="2164" spans="1:7" x14ac:dyDescent="0.25">
      <c r="A2164" s="509" t="s">
        <v>3287</v>
      </c>
      <c r="B2164" s="509" t="s">
        <v>2094</v>
      </c>
      <c r="C2164" s="510">
        <v>0</v>
      </c>
      <c r="D2164" s="510">
        <v>0</v>
      </c>
      <c r="E2164" s="510">
        <v>0</v>
      </c>
      <c r="F2164" s="510">
        <v>0</v>
      </c>
      <c r="G2164" s="510">
        <v>0</v>
      </c>
    </row>
    <row r="2165" spans="1:7" x14ac:dyDescent="0.25">
      <c r="A2165" s="509" t="s">
        <v>3288</v>
      </c>
      <c r="B2165" s="509" t="s">
        <v>2096</v>
      </c>
      <c r="C2165" s="510">
        <v>0</v>
      </c>
      <c r="D2165" s="510">
        <v>0</v>
      </c>
      <c r="E2165" s="510">
        <v>0</v>
      </c>
      <c r="F2165" s="510">
        <v>0</v>
      </c>
      <c r="G2165" s="510">
        <v>0</v>
      </c>
    </row>
    <row r="2166" spans="1:7" x14ac:dyDescent="0.25">
      <c r="A2166" s="509" t="s">
        <v>3289</v>
      </c>
      <c r="B2166" s="509" t="s">
        <v>2098</v>
      </c>
      <c r="C2166" s="510">
        <v>0</v>
      </c>
      <c r="D2166" s="510">
        <v>0</v>
      </c>
      <c r="E2166" s="510">
        <v>0</v>
      </c>
      <c r="F2166" s="510">
        <v>0</v>
      </c>
      <c r="G2166" s="510">
        <v>0</v>
      </c>
    </row>
    <row r="2167" spans="1:7" x14ac:dyDescent="0.25">
      <c r="A2167" s="509" t="s">
        <v>3290</v>
      </c>
      <c r="B2167" s="509" t="s">
        <v>2108</v>
      </c>
      <c r="C2167" s="510">
        <v>0</v>
      </c>
      <c r="D2167" s="510">
        <v>0</v>
      </c>
      <c r="E2167" s="510">
        <v>0</v>
      </c>
      <c r="F2167" s="510">
        <v>0</v>
      </c>
      <c r="G2167" s="510">
        <v>0</v>
      </c>
    </row>
    <row r="2168" spans="1:7" x14ac:dyDescent="0.25">
      <c r="A2168" s="509" t="s">
        <v>3291</v>
      </c>
      <c r="B2168" s="509" t="s">
        <v>2112</v>
      </c>
      <c r="C2168" s="510">
        <v>0</v>
      </c>
      <c r="D2168" s="510">
        <v>0</v>
      </c>
      <c r="E2168" s="510">
        <v>0</v>
      </c>
      <c r="F2168" s="510">
        <v>0</v>
      </c>
      <c r="G2168" s="510">
        <v>0</v>
      </c>
    </row>
    <row r="2169" spans="1:7" x14ac:dyDescent="0.25">
      <c r="A2169" s="509" t="s">
        <v>3292</v>
      </c>
      <c r="B2169" s="509" t="s">
        <v>2114</v>
      </c>
      <c r="C2169" s="510">
        <v>0</v>
      </c>
      <c r="D2169" s="510">
        <v>0</v>
      </c>
      <c r="E2169" s="510">
        <v>0</v>
      </c>
      <c r="F2169" s="510">
        <v>0</v>
      </c>
      <c r="G2169" s="510">
        <v>0</v>
      </c>
    </row>
    <row r="2170" spans="1:7" x14ac:dyDescent="0.25">
      <c r="A2170" s="509" t="s">
        <v>3293</v>
      </c>
      <c r="B2170" s="509" t="s">
        <v>2116</v>
      </c>
      <c r="C2170" s="510">
        <v>0</v>
      </c>
      <c r="D2170" s="510">
        <v>0</v>
      </c>
      <c r="E2170" s="510">
        <v>0</v>
      </c>
      <c r="F2170" s="510">
        <v>0</v>
      </c>
      <c r="G2170" s="510">
        <v>0</v>
      </c>
    </row>
    <row r="2171" spans="1:7" x14ac:dyDescent="0.25">
      <c r="A2171" s="509" t="s">
        <v>3294</v>
      </c>
      <c r="B2171" s="509" t="s">
        <v>2003</v>
      </c>
      <c r="C2171" s="510">
        <v>0</v>
      </c>
      <c r="D2171" s="510">
        <v>-3000000</v>
      </c>
      <c r="E2171" s="510">
        <v>0</v>
      </c>
      <c r="F2171" s="510">
        <v>0</v>
      </c>
      <c r="G2171" s="510">
        <v>-3000000</v>
      </c>
    </row>
    <row r="2172" spans="1:7" x14ac:dyDescent="0.25">
      <c r="A2172" s="509" t="s">
        <v>3295</v>
      </c>
      <c r="B2172" s="509" t="s">
        <v>2123</v>
      </c>
      <c r="C2172" s="510">
        <v>0</v>
      </c>
      <c r="D2172" s="510">
        <v>0</v>
      </c>
      <c r="E2172" s="510">
        <v>0</v>
      </c>
      <c r="F2172" s="510">
        <v>0</v>
      </c>
      <c r="G2172" s="510">
        <v>0</v>
      </c>
    </row>
    <row r="2173" spans="1:7" x14ac:dyDescent="0.25">
      <c r="A2173" s="509" t="s">
        <v>3296</v>
      </c>
      <c r="B2173" s="509" t="s">
        <v>2137</v>
      </c>
      <c r="C2173" s="510">
        <v>0</v>
      </c>
      <c r="D2173" s="510">
        <v>0</v>
      </c>
      <c r="E2173" s="510">
        <v>0</v>
      </c>
      <c r="F2173" s="510">
        <v>0</v>
      </c>
      <c r="G2173" s="510">
        <v>0</v>
      </c>
    </row>
    <row r="2174" spans="1:7" x14ac:dyDescent="0.25">
      <c r="A2174" s="509" t="s">
        <v>3297</v>
      </c>
      <c r="B2174" s="509" t="s">
        <v>2139</v>
      </c>
      <c r="C2174" s="510">
        <v>0</v>
      </c>
      <c r="D2174" s="510">
        <v>0</v>
      </c>
      <c r="E2174" s="510">
        <v>0</v>
      </c>
      <c r="F2174" s="510">
        <v>0</v>
      </c>
      <c r="G2174" s="510">
        <v>0</v>
      </c>
    </row>
    <row r="2175" spans="1:7" x14ac:dyDescent="0.25">
      <c r="A2175" s="509" t="s">
        <v>3298</v>
      </c>
      <c r="B2175" s="509" t="s">
        <v>2141</v>
      </c>
      <c r="C2175" s="510">
        <v>0</v>
      </c>
      <c r="D2175" s="510">
        <v>0</v>
      </c>
      <c r="E2175" s="510">
        <v>0</v>
      </c>
      <c r="F2175" s="510">
        <v>0</v>
      </c>
      <c r="G2175" s="510">
        <v>0</v>
      </c>
    </row>
    <row r="2176" spans="1:7" x14ac:dyDescent="0.25">
      <c r="A2176" s="509" t="s">
        <v>3299</v>
      </c>
      <c r="B2176" s="509" t="s">
        <v>2143</v>
      </c>
      <c r="C2176" s="510">
        <v>0</v>
      </c>
      <c r="D2176" s="510">
        <v>0</v>
      </c>
      <c r="E2176" s="510">
        <v>0</v>
      </c>
      <c r="F2176" s="510">
        <v>0</v>
      </c>
      <c r="G2176" s="510">
        <v>0</v>
      </c>
    </row>
    <row r="2177" spans="1:7" x14ac:dyDescent="0.25">
      <c r="A2177" s="509" t="s">
        <v>3300</v>
      </c>
      <c r="B2177" s="509" t="s">
        <v>2145</v>
      </c>
      <c r="C2177" s="510">
        <v>0</v>
      </c>
      <c r="D2177" s="510">
        <v>0</v>
      </c>
      <c r="E2177" s="510">
        <v>0</v>
      </c>
      <c r="F2177" s="510">
        <v>0</v>
      </c>
      <c r="G2177" s="510">
        <v>0</v>
      </c>
    </row>
    <row r="2178" spans="1:7" x14ac:dyDescent="0.25">
      <c r="A2178" s="509" t="s">
        <v>3301</v>
      </c>
      <c r="B2178" s="509" t="s">
        <v>2149</v>
      </c>
      <c r="C2178" s="510">
        <v>0</v>
      </c>
      <c r="D2178" s="510">
        <v>0</v>
      </c>
      <c r="E2178" s="510">
        <v>0</v>
      </c>
      <c r="F2178" s="510">
        <v>0</v>
      </c>
      <c r="G2178" s="510">
        <v>0</v>
      </c>
    </row>
    <row r="2179" spans="1:7" x14ac:dyDescent="0.25">
      <c r="A2179" s="509" t="s">
        <v>3302</v>
      </c>
      <c r="B2179" s="509" t="s">
        <v>2151</v>
      </c>
      <c r="C2179" s="510">
        <v>0</v>
      </c>
      <c r="D2179" s="510">
        <v>0</v>
      </c>
      <c r="E2179" s="510">
        <v>0</v>
      </c>
      <c r="F2179" s="510">
        <v>0</v>
      </c>
      <c r="G2179" s="510">
        <v>0</v>
      </c>
    </row>
    <row r="2180" spans="1:7" x14ac:dyDescent="0.25">
      <c r="A2180" s="509" t="s">
        <v>3303</v>
      </c>
      <c r="B2180" s="509" t="s">
        <v>2157</v>
      </c>
      <c r="C2180" s="510">
        <v>0</v>
      </c>
      <c r="D2180" s="510">
        <v>0</v>
      </c>
      <c r="E2180" s="510">
        <v>0</v>
      </c>
      <c r="F2180" s="510">
        <v>0</v>
      </c>
      <c r="G2180" s="510">
        <v>0</v>
      </c>
    </row>
    <row r="2181" spans="1:7" x14ac:dyDescent="0.25">
      <c r="A2181" s="509" t="s">
        <v>3304</v>
      </c>
      <c r="B2181" s="509" t="s">
        <v>2159</v>
      </c>
      <c r="C2181" s="510">
        <v>0</v>
      </c>
      <c r="D2181" s="510">
        <v>0</v>
      </c>
      <c r="E2181" s="510">
        <v>0</v>
      </c>
      <c r="F2181" s="510">
        <v>0</v>
      </c>
      <c r="G2181" s="510">
        <v>0</v>
      </c>
    </row>
    <row r="2182" spans="1:7" x14ac:dyDescent="0.25">
      <c r="A2182" s="509" t="s">
        <v>3305</v>
      </c>
      <c r="B2182" s="509" t="s">
        <v>2161</v>
      </c>
      <c r="C2182" s="510">
        <v>0</v>
      </c>
      <c r="D2182" s="510">
        <v>0</v>
      </c>
      <c r="E2182" s="510">
        <v>0</v>
      </c>
      <c r="F2182" s="510">
        <v>0</v>
      </c>
      <c r="G2182" s="510">
        <v>0</v>
      </c>
    </row>
    <row r="2183" spans="1:7" x14ac:dyDescent="0.25">
      <c r="A2183" s="509" t="s">
        <v>3306</v>
      </c>
      <c r="B2183" s="509" t="s">
        <v>2163</v>
      </c>
      <c r="C2183" s="510">
        <v>0</v>
      </c>
      <c r="D2183" s="510">
        <v>0</v>
      </c>
      <c r="E2183" s="510">
        <v>0</v>
      </c>
      <c r="F2183" s="510">
        <v>0</v>
      </c>
      <c r="G2183" s="510">
        <v>0</v>
      </c>
    </row>
    <row r="2184" spans="1:7" x14ac:dyDescent="0.25">
      <c r="A2184" s="509" t="s">
        <v>3307</v>
      </c>
      <c r="B2184" s="509" t="s">
        <v>2165</v>
      </c>
      <c r="C2184" s="510">
        <v>0</v>
      </c>
      <c r="D2184" s="510">
        <v>0</v>
      </c>
      <c r="E2184" s="510">
        <v>0</v>
      </c>
      <c r="F2184" s="510">
        <v>0</v>
      </c>
      <c r="G2184" s="510">
        <v>0</v>
      </c>
    </row>
    <row r="2185" spans="1:7" x14ac:dyDescent="0.25">
      <c r="A2185" s="509" t="s">
        <v>3308</v>
      </c>
      <c r="B2185" s="509" t="s">
        <v>2167</v>
      </c>
      <c r="C2185" s="510">
        <v>0</v>
      </c>
      <c r="D2185" s="510">
        <v>0</v>
      </c>
      <c r="E2185" s="510">
        <v>0</v>
      </c>
      <c r="F2185" s="510">
        <v>0</v>
      </c>
      <c r="G2185" s="510">
        <v>0</v>
      </c>
    </row>
    <row r="2186" spans="1:7" x14ac:dyDescent="0.25">
      <c r="A2186" s="509" t="s">
        <v>3309</v>
      </c>
      <c r="B2186" s="509" t="s">
        <v>2169</v>
      </c>
      <c r="C2186" s="510">
        <v>0</v>
      </c>
      <c r="D2186" s="510">
        <v>0</v>
      </c>
      <c r="E2186" s="510">
        <v>0</v>
      </c>
      <c r="F2186" s="510">
        <v>0</v>
      </c>
      <c r="G2186" s="510">
        <v>0</v>
      </c>
    </row>
    <row r="2187" spans="1:7" x14ac:dyDescent="0.25">
      <c r="A2187" s="509" t="s">
        <v>3310</v>
      </c>
      <c r="B2187" s="509" t="s">
        <v>2206</v>
      </c>
      <c r="C2187" s="510">
        <v>0</v>
      </c>
      <c r="D2187" s="510">
        <v>0</v>
      </c>
      <c r="E2187" s="510">
        <v>0</v>
      </c>
      <c r="F2187" s="510">
        <v>0</v>
      </c>
      <c r="G2187" s="510">
        <v>0</v>
      </c>
    </row>
    <row r="2188" spans="1:7" x14ac:dyDescent="0.25">
      <c r="A2188" s="509" t="s">
        <v>3311</v>
      </c>
      <c r="B2188" s="509" t="s">
        <v>1120</v>
      </c>
      <c r="C2188" s="510">
        <v>0</v>
      </c>
      <c r="D2188" s="510">
        <v>0</v>
      </c>
      <c r="E2188" s="510">
        <v>0</v>
      </c>
      <c r="F2188" s="510">
        <v>0</v>
      </c>
      <c r="G2188" s="510">
        <v>0</v>
      </c>
    </row>
    <row r="2189" spans="1:7" x14ac:dyDescent="0.25">
      <c r="A2189" s="509" t="s">
        <v>3312</v>
      </c>
      <c r="B2189" s="509" t="s">
        <v>1121</v>
      </c>
      <c r="C2189" s="510">
        <v>0</v>
      </c>
      <c r="D2189" s="510">
        <v>0</v>
      </c>
      <c r="E2189" s="510">
        <v>0</v>
      </c>
      <c r="F2189" s="510">
        <v>0</v>
      </c>
      <c r="G2189" s="510">
        <v>0</v>
      </c>
    </row>
    <row r="2190" spans="1:7" x14ac:dyDescent="0.25">
      <c r="A2190" s="509" t="s">
        <v>3313</v>
      </c>
      <c r="B2190" s="509" t="s">
        <v>1122</v>
      </c>
      <c r="C2190" s="510">
        <v>0</v>
      </c>
      <c r="D2190" s="510">
        <v>0</v>
      </c>
      <c r="E2190" s="510">
        <v>0</v>
      </c>
      <c r="F2190" s="510">
        <v>0</v>
      </c>
      <c r="G2190" s="510">
        <v>0</v>
      </c>
    </row>
    <row r="2191" spans="1:7" x14ac:dyDescent="0.25">
      <c r="A2191" s="509" t="s">
        <v>3314</v>
      </c>
      <c r="B2191" s="509" t="s">
        <v>1123</v>
      </c>
      <c r="C2191" s="510">
        <v>0</v>
      </c>
      <c r="D2191" s="510">
        <v>0</v>
      </c>
      <c r="E2191" s="510">
        <v>0</v>
      </c>
      <c r="F2191" s="510">
        <v>0</v>
      </c>
      <c r="G2191" s="510">
        <v>0</v>
      </c>
    </row>
    <row r="2192" spans="1:7" x14ac:dyDescent="0.25">
      <c r="A2192" s="509" t="s">
        <v>3315</v>
      </c>
      <c r="B2192" s="509" t="s">
        <v>1124</v>
      </c>
      <c r="C2192" s="510">
        <v>0</v>
      </c>
      <c r="D2192" s="510">
        <v>0</v>
      </c>
      <c r="E2192" s="510">
        <v>0</v>
      </c>
      <c r="F2192" s="510">
        <v>0</v>
      </c>
      <c r="G2192" s="510">
        <v>0</v>
      </c>
    </row>
    <row r="2193" spans="1:7" x14ac:dyDescent="0.25">
      <c r="A2193" s="509" t="s">
        <v>3316</v>
      </c>
      <c r="B2193" s="509" t="s">
        <v>1125</v>
      </c>
      <c r="C2193" s="510">
        <v>0</v>
      </c>
      <c r="D2193" s="510">
        <v>0</v>
      </c>
      <c r="E2193" s="510">
        <v>0</v>
      </c>
      <c r="F2193" s="510">
        <v>0</v>
      </c>
      <c r="G2193" s="510">
        <v>0</v>
      </c>
    </row>
    <row r="2194" spans="1:7" x14ac:dyDescent="0.25">
      <c r="A2194" s="509" t="s">
        <v>3317</v>
      </c>
      <c r="B2194" s="509" t="s">
        <v>6</v>
      </c>
      <c r="C2194" s="510">
        <v>0</v>
      </c>
      <c r="D2194" s="510">
        <v>0</v>
      </c>
      <c r="E2194" s="510">
        <v>0</v>
      </c>
      <c r="F2194" s="510">
        <v>0</v>
      </c>
      <c r="G2194" s="510">
        <v>0</v>
      </c>
    </row>
    <row r="2195" spans="1:7" x14ac:dyDescent="0.25">
      <c r="A2195" s="509" t="s">
        <v>3318</v>
      </c>
      <c r="B2195" s="509" t="s">
        <v>855</v>
      </c>
      <c r="C2195" s="510">
        <v>0</v>
      </c>
      <c r="D2195" s="510">
        <v>0</v>
      </c>
      <c r="E2195" s="510">
        <v>0</v>
      </c>
      <c r="F2195" s="510">
        <v>0</v>
      </c>
      <c r="G2195" s="510">
        <v>0</v>
      </c>
    </row>
    <row r="2196" spans="1:7" x14ac:dyDescent="0.25">
      <c r="A2196" s="509" t="s">
        <v>3319</v>
      </c>
      <c r="B2196" s="509" t="s">
        <v>2694</v>
      </c>
      <c r="C2196" s="510">
        <v>0</v>
      </c>
      <c r="D2196" s="510">
        <v>0</v>
      </c>
      <c r="E2196" s="510">
        <v>0</v>
      </c>
      <c r="F2196" s="510">
        <v>0</v>
      </c>
      <c r="G2196" s="510">
        <v>0</v>
      </c>
    </row>
    <row r="2197" spans="1:7" x14ac:dyDescent="0.25">
      <c r="A2197" s="509" t="s">
        <v>3320</v>
      </c>
      <c r="B2197" s="509" t="s">
        <v>1126</v>
      </c>
      <c r="C2197" s="510">
        <v>0</v>
      </c>
      <c r="D2197" s="510">
        <v>0</v>
      </c>
      <c r="E2197" s="510">
        <v>0</v>
      </c>
      <c r="F2197" s="510">
        <v>0</v>
      </c>
      <c r="G2197" s="510">
        <v>0</v>
      </c>
    </row>
    <row r="2198" spans="1:7" x14ac:dyDescent="0.25">
      <c r="A2198" s="509" t="s">
        <v>3321</v>
      </c>
      <c r="B2198" s="509" t="s">
        <v>8</v>
      </c>
      <c r="C2198" s="510">
        <v>0</v>
      </c>
      <c r="D2198" s="510">
        <v>0</v>
      </c>
      <c r="E2198" s="510">
        <v>0</v>
      </c>
      <c r="F2198" s="510">
        <v>0</v>
      </c>
      <c r="G2198" s="510">
        <v>0</v>
      </c>
    </row>
    <row r="2199" spans="1:7" x14ac:dyDescent="0.25">
      <c r="A2199" s="509" t="s">
        <v>3322</v>
      </c>
      <c r="B2199" s="509" t="s">
        <v>10</v>
      </c>
      <c r="C2199" s="510">
        <v>0</v>
      </c>
      <c r="D2199" s="510">
        <v>0</v>
      </c>
      <c r="E2199" s="510">
        <v>0</v>
      </c>
      <c r="F2199" s="510">
        <v>0</v>
      </c>
      <c r="G2199" s="510">
        <v>0</v>
      </c>
    </row>
    <row r="2200" spans="1:7" x14ac:dyDescent="0.25">
      <c r="A2200" s="509" t="s">
        <v>3323</v>
      </c>
      <c r="B2200" s="509" t="s">
        <v>12</v>
      </c>
      <c r="C2200" s="510">
        <v>0</v>
      </c>
      <c r="D2200" s="510">
        <v>0</v>
      </c>
      <c r="E2200" s="510">
        <v>0</v>
      </c>
      <c r="F2200" s="510">
        <v>0</v>
      </c>
      <c r="G2200" s="510">
        <v>0</v>
      </c>
    </row>
    <row r="2201" spans="1:7" x14ac:dyDescent="0.25">
      <c r="A2201" s="509" t="s">
        <v>3324</v>
      </c>
      <c r="B2201" s="509" t="s">
        <v>13</v>
      </c>
      <c r="C2201" s="510">
        <v>0</v>
      </c>
      <c r="D2201" s="510">
        <v>0</v>
      </c>
      <c r="E2201" s="510">
        <v>0</v>
      </c>
      <c r="F2201" s="510">
        <v>0</v>
      </c>
      <c r="G2201" s="510">
        <v>0</v>
      </c>
    </row>
    <row r="2202" spans="1:7" x14ac:dyDescent="0.25">
      <c r="A2202" s="509" t="s">
        <v>3325</v>
      </c>
      <c r="B2202" s="509" t="s">
        <v>2230</v>
      </c>
      <c r="C2202" s="510">
        <v>0</v>
      </c>
      <c r="D2202" s="510">
        <v>0</v>
      </c>
      <c r="E2202" s="510">
        <v>0</v>
      </c>
      <c r="F2202" s="510">
        <v>0</v>
      </c>
      <c r="G2202" s="510">
        <v>0</v>
      </c>
    </row>
    <row r="2203" spans="1:7" x14ac:dyDescent="0.25">
      <c r="A2203" s="509" t="s">
        <v>3326</v>
      </c>
      <c r="B2203" s="509" t="s">
        <v>15</v>
      </c>
      <c r="C2203" s="510">
        <v>0</v>
      </c>
      <c r="D2203" s="510">
        <v>0</v>
      </c>
      <c r="E2203" s="510">
        <v>0</v>
      </c>
      <c r="F2203" s="510">
        <v>0</v>
      </c>
      <c r="G2203" s="510">
        <v>0</v>
      </c>
    </row>
    <row r="2204" spans="1:7" x14ac:dyDescent="0.25">
      <c r="A2204" s="509" t="s">
        <v>3327</v>
      </c>
      <c r="B2204" s="509" t="s">
        <v>16</v>
      </c>
      <c r="C2204" s="510">
        <v>0</v>
      </c>
      <c r="D2204" s="510">
        <v>0</v>
      </c>
      <c r="E2204" s="510">
        <v>0</v>
      </c>
      <c r="F2204" s="510">
        <v>0</v>
      </c>
      <c r="G2204" s="510">
        <v>0</v>
      </c>
    </row>
    <row r="2205" spans="1:7" x14ac:dyDescent="0.25">
      <c r="A2205" s="509" t="s">
        <v>3328</v>
      </c>
      <c r="B2205" s="509" t="s">
        <v>2232</v>
      </c>
      <c r="C2205" s="510">
        <v>0</v>
      </c>
      <c r="D2205" s="510">
        <v>0</v>
      </c>
      <c r="E2205" s="510">
        <v>0</v>
      </c>
      <c r="F2205" s="510">
        <v>0</v>
      </c>
      <c r="G2205" s="510">
        <v>0</v>
      </c>
    </row>
    <row r="2206" spans="1:7" x14ac:dyDescent="0.25">
      <c r="A2206" s="509" t="s">
        <v>3329</v>
      </c>
      <c r="B2206" s="509" t="s">
        <v>17</v>
      </c>
      <c r="C2206" s="510">
        <v>0</v>
      </c>
      <c r="D2206" s="510">
        <v>0</v>
      </c>
      <c r="E2206" s="510">
        <v>0</v>
      </c>
      <c r="F2206" s="510">
        <v>0</v>
      </c>
      <c r="G2206" s="510">
        <v>0</v>
      </c>
    </row>
    <row r="2207" spans="1:7" x14ac:dyDescent="0.25">
      <c r="A2207" s="509" t="s">
        <v>3330</v>
      </c>
      <c r="B2207" s="509" t="s">
        <v>18</v>
      </c>
      <c r="C2207" s="510">
        <v>0</v>
      </c>
      <c r="D2207" s="510">
        <v>0</v>
      </c>
      <c r="E2207" s="510">
        <v>0</v>
      </c>
      <c r="F2207" s="510">
        <v>0</v>
      </c>
      <c r="G2207" s="510">
        <v>0</v>
      </c>
    </row>
    <row r="2208" spans="1:7" x14ac:dyDescent="0.25">
      <c r="A2208" s="509" t="s">
        <v>3331</v>
      </c>
      <c r="B2208" s="509" t="s">
        <v>1128</v>
      </c>
      <c r="C2208" s="510">
        <v>0</v>
      </c>
      <c r="D2208" s="510">
        <v>0</v>
      </c>
      <c r="E2208" s="510">
        <v>0</v>
      </c>
      <c r="F2208" s="510">
        <v>0</v>
      </c>
      <c r="G2208" s="510">
        <v>0</v>
      </c>
    </row>
    <row r="2209" spans="1:7" x14ac:dyDescent="0.25">
      <c r="A2209" s="509" t="s">
        <v>3332</v>
      </c>
      <c r="B2209" s="509" t="s">
        <v>3111</v>
      </c>
      <c r="C2209" s="510">
        <v>0</v>
      </c>
      <c r="D2209" s="510">
        <v>0</v>
      </c>
      <c r="E2209" s="510">
        <v>0</v>
      </c>
      <c r="F2209" s="510">
        <v>0</v>
      </c>
      <c r="G2209" s="510">
        <v>0</v>
      </c>
    </row>
    <row r="2210" spans="1:7" x14ac:dyDescent="0.25">
      <c r="A2210" s="509" t="s">
        <v>3333</v>
      </c>
      <c r="B2210" s="509" t="s">
        <v>181</v>
      </c>
      <c r="C2210" s="510">
        <v>0</v>
      </c>
      <c r="D2210" s="510">
        <v>0</v>
      </c>
      <c r="E2210" s="510">
        <v>0</v>
      </c>
      <c r="F2210" s="510">
        <v>0</v>
      </c>
      <c r="G2210" s="510">
        <v>0</v>
      </c>
    </row>
    <row r="2211" spans="1:7" x14ac:dyDescent="0.25">
      <c r="A2211" s="509" t="s">
        <v>3334</v>
      </c>
      <c r="B2211" s="509" t="s">
        <v>21</v>
      </c>
      <c r="C2211" s="510">
        <v>0</v>
      </c>
      <c r="D2211" s="510">
        <v>0</v>
      </c>
      <c r="E2211" s="510">
        <v>0</v>
      </c>
      <c r="F2211" s="510">
        <v>0</v>
      </c>
      <c r="G2211" s="510">
        <v>0</v>
      </c>
    </row>
    <row r="2212" spans="1:7" x14ac:dyDescent="0.25">
      <c r="A2212" s="509" t="s">
        <v>3335</v>
      </c>
      <c r="B2212" s="509" t="s">
        <v>2244</v>
      </c>
      <c r="C2212" s="510">
        <v>0</v>
      </c>
      <c r="D2212" s="510">
        <v>0</v>
      </c>
      <c r="E2212" s="510">
        <v>0</v>
      </c>
      <c r="F2212" s="510">
        <v>0</v>
      </c>
      <c r="G2212" s="510">
        <v>0</v>
      </c>
    </row>
    <row r="2213" spans="1:7" x14ac:dyDescent="0.25">
      <c r="A2213" s="509" t="s">
        <v>3336</v>
      </c>
      <c r="B2213" s="509" t="s">
        <v>32</v>
      </c>
      <c r="C2213" s="510">
        <v>0</v>
      </c>
      <c r="D2213" s="510">
        <v>0</v>
      </c>
      <c r="E2213" s="510">
        <v>0</v>
      </c>
      <c r="F2213" s="510">
        <v>0</v>
      </c>
      <c r="G2213" s="510">
        <v>0</v>
      </c>
    </row>
    <row r="2214" spans="1:7" x14ac:dyDescent="0.25">
      <c r="A2214" s="509" t="s">
        <v>3337</v>
      </c>
      <c r="B2214" s="509" t="s">
        <v>3117</v>
      </c>
      <c r="C2214" s="510">
        <v>0</v>
      </c>
      <c r="D2214" s="510">
        <v>0</v>
      </c>
      <c r="E2214" s="510">
        <v>0</v>
      </c>
      <c r="F2214" s="510">
        <v>0</v>
      </c>
      <c r="G2214" s="510">
        <v>0</v>
      </c>
    </row>
    <row r="2215" spans="1:7" x14ac:dyDescent="0.25">
      <c r="A2215" s="509" t="s">
        <v>3338</v>
      </c>
      <c r="B2215" s="509" t="s">
        <v>867</v>
      </c>
      <c r="C2215" s="510">
        <v>0</v>
      </c>
      <c r="D2215" s="510">
        <v>0</v>
      </c>
      <c r="E2215" s="510">
        <v>0</v>
      </c>
      <c r="F2215" s="510">
        <v>0</v>
      </c>
      <c r="G2215" s="510">
        <v>0</v>
      </c>
    </row>
    <row r="2216" spans="1:7" x14ac:dyDescent="0.25">
      <c r="A2216" s="509" t="s">
        <v>3339</v>
      </c>
      <c r="B2216" s="509" t="s">
        <v>2248</v>
      </c>
      <c r="C2216" s="510">
        <v>0</v>
      </c>
      <c r="D2216" s="510">
        <v>0</v>
      </c>
      <c r="E2216" s="510">
        <v>0</v>
      </c>
      <c r="F2216" s="510">
        <v>0</v>
      </c>
      <c r="G2216" s="510">
        <v>0</v>
      </c>
    </row>
    <row r="2217" spans="1:7" x14ac:dyDescent="0.25">
      <c r="A2217" s="509" t="s">
        <v>3340</v>
      </c>
      <c r="B2217" s="509" t="s">
        <v>665</v>
      </c>
      <c r="C2217" s="510">
        <v>0</v>
      </c>
      <c r="D2217" s="510">
        <v>0</v>
      </c>
      <c r="E2217" s="510">
        <v>0</v>
      </c>
      <c r="F2217" s="510">
        <v>0</v>
      </c>
      <c r="G2217" s="510">
        <v>0</v>
      </c>
    </row>
    <row r="2218" spans="1:7" x14ac:dyDescent="0.25">
      <c r="A2218" s="509" t="s">
        <v>3341</v>
      </c>
      <c r="B2218" s="509" t="s">
        <v>667</v>
      </c>
      <c r="C2218" s="510">
        <v>0</v>
      </c>
      <c r="D2218" s="510">
        <v>0</v>
      </c>
      <c r="E2218" s="510">
        <v>0</v>
      </c>
      <c r="F2218" s="510">
        <v>0</v>
      </c>
      <c r="G2218" s="510">
        <v>0</v>
      </c>
    </row>
    <row r="2219" spans="1:7" x14ac:dyDescent="0.25">
      <c r="A2219" s="509" t="s">
        <v>3342</v>
      </c>
      <c r="B2219" s="509" t="s">
        <v>37</v>
      </c>
      <c r="C2219" s="510">
        <v>0</v>
      </c>
      <c r="D2219" s="510">
        <v>0</v>
      </c>
      <c r="E2219" s="510">
        <v>0</v>
      </c>
      <c r="F2219" s="510">
        <v>0</v>
      </c>
      <c r="G2219" s="510">
        <v>0</v>
      </c>
    </row>
    <row r="2220" spans="1:7" x14ac:dyDescent="0.25">
      <c r="A2220" s="509" t="s">
        <v>3343</v>
      </c>
      <c r="B2220" s="509" t="s">
        <v>153</v>
      </c>
      <c r="C2220" s="510">
        <v>0</v>
      </c>
      <c r="D2220" s="510">
        <v>0</v>
      </c>
      <c r="E2220" s="510">
        <v>0</v>
      </c>
      <c r="F2220" s="510">
        <v>0</v>
      </c>
      <c r="G2220" s="510">
        <v>0</v>
      </c>
    </row>
    <row r="2221" spans="1:7" x14ac:dyDescent="0.25">
      <c r="A2221" s="509" t="s">
        <v>3344</v>
      </c>
      <c r="B2221" s="509" t="s">
        <v>154</v>
      </c>
      <c r="C2221" s="510">
        <v>0</v>
      </c>
      <c r="D2221" s="510">
        <v>0</v>
      </c>
      <c r="E2221" s="510">
        <v>0</v>
      </c>
      <c r="F2221" s="510">
        <v>0</v>
      </c>
      <c r="G2221" s="510">
        <v>0</v>
      </c>
    </row>
    <row r="2222" spans="1:7" x14ac:dyDescent="0.25">
      <c r="A2222" s="509" t="s">
        <v>3345</v>
      </c>
      <c r="B2222" s="509" t="s">
        <v>38</v>
      </c>
      <c r="C2222" s="510">
        <v>0</v>
      </c>
      <c r="D2222" s="510">
        <v>0</v>
      </c>
      <c r="E2222" s="510">
        <v>0</v>
      </c>
      <c r="F2222" s="510">
        <v>0</v>
      </c>
      <c r="G2222" s="510">
        <v>0</v>
      </c>
    </row>
    <row r="2223" spans="1:7" x14ac:dyDescent="0.25">
      <c r="A2223" s="509" t="s">
        <v>3346</v>
      </c>
      <c r="B2223" s="509" t="s">
        <v>77</v>
      </c>
      <c r="C2223" s="510">
        <v>0</v>
      </c>
      <c r="D2223" s="510">
        <v>0</v>
      </c>
      <c r="E2223" s="510">
        <v>0</v>
      </c>
      <c r="F2223" s="510">
        <v>0</v>
      </c>
      <c r="G2223" s="510">
        <v>0</v>
      </c>
    </row>
    <row r="2224" spans="1:7" x14ac:dyDescent="0.25">
      <c r="A2224" s="509" t="s">
        <v>3347</v>
      </c>
      <c r="B2224" s="509" t="s">
        <v>78</v>
      </c>
      <c r="C2224" s="510">
        <v>0</v>
      </c>
      <c r="D2224" s="510">
        <v>0</v>
      </c>
      <c r="E2224" s="510">
        <v>0</v>
      </c>
      <c r="F2224" s="510">
        <v>0</v>
      </c>
      <c r="G2224" s="510">
        <v>0</v>
      </c>
    </row>
    <row r="2225" spans="1:7" x14ac:dyDescent="0.25">
      <c r="A2225" s="509" t="s">
        <v>3348</v>
      </c>
      <c r="B2225" s="509" t="s">
        <v>893</v>
      </c>
      <c r="C2225" s="510">
        <v>0</v>
      </c>
      <c r="D2225" s="510">
        <v>0</v>
      </c>
      <c r="E2225" s="510">
        <v>0</v>
      </c>
      <c r="F2225" s="510">
        <v>0</v>
      </c>
      <c r="G2225" s="510">
        <v>0</v>
      </c>
    </row>
    <row r="2226" spans="1:7" x14ac:dyDescent="0.25">
      <c r="A2226" s="509" t="s">
        <v>3349</v>
      </c>
      <c r="B2226" s="509" t="s">
        <v>2249</v>
      </c>
      <c r="C2226" s="510">
        <v>0</v>
      </c>
      <c r="D2226" s="510">
        <v>0</v>
      </c>
      <c r="E2226" s="510">
        <v>0</v>
      </c>
      <c r="F2226" s="510">
        <v>0</v>
      </c>
      <c r="G2226" s="510">
        <v>0</v>
      </c>
    </row>
    <row r="2227" spans="1:7" x14ac:dyDescent="0.25">
      <c r="A2227" s="509" t="s">
        <v>3350</v>
      </c>
      <c r="B2227" s="509" t="s">
        <v>64</v>
      </c>
      <c r="C2227" s="510">
        <v>0</v>
      </c>
      <c r="D2227" s="510">
        <v>0</v>
      </c>
      <c r="E2227" s="510">
        <v>0</v>
      </c>
      <c r="F2227" s="510">
        <v>0</v>
      </c>
      <c r="G2227" s="510">
        <v>0</v>
      </c>
    </row>
    <row r="2228" spans="1:7" x14ac:dyDescent="0.25">
      <c r="A2228" s="509" t="s">
        <v>3351</v>
      </c>
      <c r="B2228" s="509" t="s">
        <v>40</v>
      </c>
      <c r="C2228" s="510">
        <v>0</v>
      </c>
      <c r="D2228" s="510">
        <v>0</v>
      </c>
      <c r="E2228" s="510">
        <v>0</v>
      </c>
      <c r="F2228" s="510">
        <v>0</v>
      </c>
      <c r="G2228" s="510">
        <v>0</v>
      </c>
    </row>
    <row r="2229" spans="1:7" x14ac:dyDescent="0.25">
      <c r="A2229" s="509" t="s">
        <v>3352</v>
      </c>
      <c r="B2229" s="509" t="s">
        <v>41</v>
      </c>
      <c r="C2229" s="510">
        <v>0</v>
      </c>
      <c r="D2229" s="510">
        <v>0</v>
      </c>
      <c r="E2229" s="510">
        <v>0</v>
      </c>
      <c r="F2229" s="510">
        <v>0</v>
      </c>
      <c r="G2229" s="510">
        <v>0</v>
      </c>
    </row>
    <row r="2230" spans="1:7" x14ac:dyDescent="0.25">
      <c r="A2230" s="509" t="s">
        <v>3353</v>
      </c>
      <c r="B2230" s="509" t="s">
        <v>155</v>
      </c>
      <c r="C2230" s="510">
        <v>0</v>
      </c>
      <c r="D2230" s="510">
        <v>0</v>
      </c>
      <c r="E2230" s="510">
        <v>0</v>
      </c>
      <c r="F2230" s="510">
        <v>0</v>
      </c>
      <c r="G2230" s="510">
        <v>0</v>
      </c>
    </row>
    <row r="2231" spans="1:7" x14ac:dyDescent="0.25">
      <c r="A2231" s="509" t="s">
        <v>3354</v>
      </c>
      <c r="B2231" s="509" t="s">
        <v>42</v>
      </c>
      <c r="C2231" s="510">
        <v>0</v>
      </c>
      <c r="D2231" s="510">
        <v>0</v>
      </c>
      <c r="E2231" s="510">
        <v>0</v>
      </c>
      <c r="F2231" s="510">
        <v>0</v>
      </c>
      <c r="G2231" s="510">
        <v>0</v>
      </c>
    </row>
    <row r="2232" spans="1:7" x14ac:dyDescent="0.25">
      <c r="A2232" s="509" t="s">
        <v>3355</v>
      </c>
      <c r="B2232" s="509" t="s">
        <v>2252</v>
      </c>
      <c r="C2232" s="510">
        <v>0</v>
      </c>
      <c r="D2232" s="510">
        <v>0</v>
      </c>
      <c r="E2232" s="510">
        <v>0</v>
      </c>
      <c r="F2232" s="510">
        <v>0</v>
      </c>
      <c r="G2232" s="510">
        <v>0</v>
      </c>
    </row>
    <row r="2233" spans="1:7" x14ac:dyDescent="0.25">
      <c r="A2233" s="509" t="s">
        <v>3356</v>
      </c>
      <c r="B2233" s="509" t="s">
        <v>44</v>
      </c>
      <c r="C2233" s="510">
        <v>0</v>
      </c>
      <c r="D2233" s="510">
        <v>0</v>
      </c>
      <c r="E2233" s="510">
        <v>0</v>
      </c>
      <c r="F2233" s="510">
        <v>0</v>
      </c>
      <c r="G2233" s="510">
        <v>0</v>
      </c>
    </row>
    <row r="2234" spans="1:7" x14ac:dyDescent="0.25">
      <c r="A2234" s="509" t="s">
        <v>3357</v>
      </c>
      <c r="B2234" s="509" t="s">
        <v>156</v>
      </c>
      <c r="C2234" s="510">
        <v>0</v>
      </c>
      <c r="D2234" s="510">
        <v>0</v>
      </c>
      <c r="E2234" s="510">
        <v>0</v>
      </c>
      <c r="F2234" s="510">
        <v>0</v>
      </c>
      <c r="G2234" s="510">
        <v>0</v>
      </c>
    </row>
    <row r="2235" spans="1:7" x14ac:dyDescent="0.25">
      <c r="A2235" s="509" t="s">
        <v>3358</v>
      </c>
      <c r="B2235" s="509" t="s">
        <v>2258</v>
      </c>
      <c r="C2235" s="510">
        <v>0</v>
      </c>
      <c r="D2235" s="510">
        <v>0</v>
      </c>
      <c r="E2235" s="510">
        <v>0</v>
      </c>
      <c r="F2235" s="510">
        <v>0</v>
      </c>
      <c r="G2235" s="510">
        <v>0</v>
      </c>
    </row>
    <row r="2236" spans="1:7" x14ac:dyDescent="0.25">
      <c r="A2236" s="509" t="s">
        <v>3359</v>
      </c>
      <c r="B2236" s="509" t="s">
        <v>2260</v>
      </c>
      <c r="C2236" s="510">
        <v>0</v>
      </c>
      <c r="D2236" s="510">
        <v>0</v>
      </c>
      <c r="E2236" s="510">
        <v>0</v>
      </c>
      <c r="F2236" s="510">
        <v>0</v>
      </c>
      <c r="G2236" s="510">
        <v>0</v>
      </c>
    </row>
    <row r="2237" spans="1:7" x14ac:dyDescent="0.25">
      <c r="A2237" s="509" t="s">
        <v>3360</v>
      </c>
      <c r="B2237" s="509" t="s">
        <v>157</v>
      </c>
      <c r="C2237" s="510">
        <v>0</v>
      </c>
      <c r="D2237" s="510">
        <v>0</v>
      </c>
      <c r="E2237" s="510">
        <v>0</v>
      </c>
      <c r="F2237" s="510">
        <v>0</v>
      </c>
      <c r="G2237" s="510">
        <v>0</v>
      </c>
    </row>
    <row r="2238" spans="1:7" x14ac:dyDescent="0.25">
      <c r="A2238" s="509" t="s">
        <v>3361</v>
      </c>
      <c r="B2238" s="509" t="s">
        <v>159</v>
      </c>
      <c r="C2238" s="510">
        <v>0</v>
      </c>
      <c r="D2238" s="510">
        <v>0</v>
      </c>
      <c r="E2238" s="510">
        <v>0</v>
      </c>
      <c r="F2238" s="510">
        <v>0</v>
      </c>
      <c r="G2238" s="510">
        <v>0</v>
      </c>
    </row>
    <row r="2239" spans="1:7" x14ac:dyDescent="0.25">
      <c r="A2239" s="509" t="s">
        <v>3362</v>
      </c>
      <c r="B2239" s="509" t="s">
        <v>160</v>
      </c>
      <c r="C2239" s="510">
        <v>0</v>
      </c>
      <c r="D2239" s="510">
        <v>0</v>
      </c>
      <c r="E2239" s="510">
        <v>0</v>
      </c>
      <c r="F2239" s="510">
        <v>0</v>
      </c>
      <c r="G2239" s="510">
        <v>0</v>
      </c>
    </row>
    <row r="2240" spans="1:7" x14ac:dyDescent="0.25">
      <c r="A2240" s="509" t="s">
        <v>3363</v>
      </c>
      <c r="B2240" s="509" t="s">
        <v>161</v>
      </c>
      <c r="C2240" s="510">
        <v>0</v>
      </c>
      <c r="D2240" s="510">
        <v>0</v>
      </c>
      <c r="E2240" s="510">
        <v>0</v>
      </c>
      <c r="F2240" s="510">
        <v>0</v>
      </c>
      <c r="G2240" s="510">
        <v>0</v>
      </c>
    </row>
    <row r="2241" spans="1:7" x14ac:dyDescent="0.25">
      <c r="A2241" s="509" t="s">
        <v>3364</v>
      </c>
      <c r="B2241" s="509" t="s">
        <v>162</v>
      </c>
      <c r="C2241" s="510">
        <v>0</v>
      </c>
      <c r="D2241" s="510">
        <v>0</v>
      </c>
      <c r="E2241" s="510">
        <v>0</v>
      </c>
      <c r="F2241" s="510">
        <v>0</v>
      </c>
      <c r="G2241" s="510">
        <v>0</v>
      </c>
    </row>
    <row r="2242" spans="1:7" x14ac:dyDescent="0.25">
      <c r="A2242" s="509" t="s">
        <v>3365</v>
      </c>
      <c r="B2242" s="509" t="s">
        <v>83</v>
      </c>
      <c r="C2242" s="510">
        <v>0</v>
      </c>
      <c r="D2242" s="510">
        <v>0</v>
      </c>
      <c r="E2242" s="510">
        <v>0</v>
      </c>
      <c r="F2242" s="510">
        <v>0</v>
      </c>
      <c r="G2242" s="510">
        <v>0</v>
      </c>
    </row>
    <row r="2243" spans="1:7" x14ac:dyDescent="0.25">
      <c r="A2243" s="509" t="s">
        <v>3366</v>
      </c>
      <c r="B2243" s="509" t="s">
        <v>163</v>
      </c>
      <c r="C2243" s="510">
        <v>0</v>
      </c>
      <c r="D2243" s="510">
        <v>0</v>
      </c>
      <c r="E2243" s="510">
        <v>0</v>
      </c>
      <c r="F2243" s="510">
        <v>0</v>
      </c>
      <c r="G2243" s="510">
        <v>0</v>
      </c>
    </row>
    <row r="2244" spans="1:7" x14ac:dyDescent="0.25">
      <c r="A2244" s="509" t="s">
        <v>3367</v>
      </c>
      <c r="B2244" s="509" t="s">
        <v>2265</v>
      </c>
      <c r="C2244" s="510">
        <v>0</v>
      </c>
      <c r="D2244" s="510">
        <v>0</v>
      </c>
      <c r="E2244" s="510">
        <v>0</v>
      </c>
      <c r="F2244" s="510">
        <v>0</v>
      </c>
      <c r="G2244" s="510">
        <v>0</v>
      </c>
    </row>
    <row r="2245" spans="1:7" x14ac:dyDescent="0.25">
      <c r="A2245" s="509" t="s">
        <v>3368</v>
      </c>
      <c r="B2245" s="509" t="s">
        <v>70</v>
      </c>
      <c r="C2245" s="510">
        <v>0</v>
      </c>
      <c r="D2245" s="510">
        <v>0</v>
      </c>
      <c r="E2245" s="510">
        <v>0</v>
      </c>
      <c r="F2245" s="510">
        <v>0</v>
      </c>
      <c r="G2245" s="510">
        <v>0</v>
      </c>
    </row>
    <row r="2246" spans="1:7" x14ac:dyDescent="0.25">
      <c r="A2246" s="509" t="s">
        <v>3369</v>
      </c>
      <c r="B2246" s="509" t="s">
        <v>47</v>
      </c>
      <c r="C2246" s="510">
        <v>0</v>
      </c>
      <c r="D2246" s="510">
        <v>0</v>
      </c>
      <c r="E2246" s="510">
        <v>0</v>
      </c>
      <c r="F2246" s="510">
        <v>0</v>
      </c>
      <c r="G2246" s="510">
        <v>0</v>
      </c>
    </row>
    <row r="2247" spans="1:7" x14ac:dyDescent="0.25">
      <c r="A2247" s="509" t="s">
        <v>3370</v>
      </c>
      <c r="B2247" s="509" t="s">
        <v>48</v>
      </c>
      <c r="C2247" s="510">
        <v>0</v>
      </c>
      <c r="D2247" s="510">
        <v>0</v>
      </c>
      <c r="E2247" s="510">
        <v>0</v>
      </c>
      <c r="F2247" s="510">
        <v>0</v>
      </c>
      <c r="G2247" s="510">
        <v>0</v>
      </c>
    </row>
    <row r="2248" spans="1:7" x14ac:dyDescent="0.25">
      <c r="A2248" s="509" t="s">
        <v>3371</v>
      </c>
      <c r="B2248" s="509" t="s">
        <v>49</v>
      </c>
      <c r="C2248" s="510">
        <v>0</v>
      </c>
      <c r="D2248" s="510">
        <v>0</v>
      </c>
      <c r="E2248" s="510">
        <v>0</v>
      </c>
      <c r="F2248" s="510">
        <v>0</v>
      </c>
      <c r="G2248" s="510">
        <v>0</v>
      </c>
    </row>
    <row r="2249" spans="1:7" x14ac:dyDescent="0.25">
      <c r="A2249" s="509" t="s">
        <v>3372</v>
      </c>
      <c r="B2249" s="509" t="s">
        <v>50</v>
      </c>
      <c r="C2249" s="510">
        <v>0</v>
      </c>
      <c r="D2249" s="510">
        <v>0</v>
      </c>
      <c r="E2249" s="510">
        <v>0</v>
      </c>
      <c r="F2249" s="510">
        <v>0</v>
      </c>
      <c r="G2249" s="510">
        <v>0</v>
      </c>
    </row>
    <row r="2250" spans="1:7" x14ac:dyDescent="0.25">
      <c r="A2250" s="509" t="s">
        <v>3373</v>
      </c>
      <c r="B2250" s="509" t="s">
        <v>51</v>
      </c>
      <c r="C2250" s="510">
        <v>0</v>
      </c>
      <c r="D2250" s="510">
        <v>0</v>
      </c>
      <c r="E2250" s="510">
        <v>0</v>
      </c>
      <c r="F2250" s="510">
        <v>0</v>
      </c>
      <c r="G2250" s="510">
        <v>0</v>
      </c>
    </row>
    <row r="2251" spans="1:7" x14ac:dyDescent="0.25">
      <c r="A2251" s="509" t="s">
        <v>3374</v>
      </c>
      <c r="B2251" s="509" t="s">
        <v>164</v>
      </c>
      <c r="C2251" s="510">
        <v>0</v>
      </c>
      <c r="D2251" s="510">
        <v>0</v>
      </c>
      <c r="E2251" s="510">
        <v>0</v>
      </c>
      <c r="F2251" s="510">
        <v>0</v>
      </c>
      <c r="G2251" s="510">
        <v>0</v>
      </c>
    </row>
    <row r="2252" spans="1:7" x14ac:dyDescent="0.25">
      <c r="A2252" s="509" t="s">
        <v>3375</v>
      </c>
      <c r="B2252" s="509" t="s">
        <v>165</v>
      </c>
      <c r="C2252" s="510">
        <v>0</v>
      </c>
      <c r="D2252" s="510">
        <v>0</v>
      </c>
      <c r="E2252" s="510">
        <v>0</v>
      </c>
      <c r="F2252" s="510">
        <v>0</v>
      </c>
      <c r="G2252" s="510">
        <v>0</v>
      </c>
    </row>
    <row r="2253" spans="1:7" x14ac:dyDescent="0.25">
      <c r="A2253" s="509" t="s">
        <v>3376</v>
      </c>
      <c r="B2253" s="509" t="s">
        <v>166</v>
      </c>
      <c r="C2253" s="510">
        <v>0</v>
      </c>
      <c r="D2253" s="510">
        <v>0</v>
      </c>
      <c r="E2253" s="510">
        <v>0</v>
      </c>
      <c r="F2253" s="510">
        <v>0</v>
      </c>
      <c r="G2253" s="510">
        <v>0</v>
      </c>
    </row>
    <row r="2254" spans="1:7" x14ac:dyDescent="0.25">
      <c r="A2254" s="509" t="s">
        <v>3377</v>
      </c>
      <c r="B2254" s="509" t="s">
        <v>52</v>
      </c>
      <c r="C2254" s="510">
        <v>0</v>
      </c>
      <c r="D2254" s="510">
        <v>0</v>
      </c>
      <c r="E2254" s="510">
        <v>0</v>
      </c>
      <c r="F2254" s="510">
        <v>0</v>
      </c>
      <c r="G2254" s="510">
        <v>0</v>
      </c>
    </row>
    <row r="2255" spans="1:7" x14ac:dyDescent="0.25">
      <c r="A2255" s="509" t="s">
        <v>3378</v>
      </c>
      <c r="B2255" s="509" t="s">
        <v>167</v>
      </c>
      <c r="C2255" s="510">
        <v>0</v>
      </c>
      <c r="D2255" s="510">
        <v>0</v>
      </c>
      <c r="E2255" s="510">
        <v>0</v>
      </c>
      <c r="F2255" s="510">
        <v>0</v>
      </c>
      <c r="G2255" s="510">
        <v>0</v>
      </c>
    </row>
    <row r="2256" spans="1:7" x14ac:dyDescent="0.25">
      <c r="A2256" s="509" t="s">
        <v>3379</v>
      </c>
      <c r="B2256" s="509" t="s">
        <v>1151</v>
      </c>
      <c r="C2256" s="510">
        <v>0</v>
      </c>
      <c r="D2256" s="510">
        <v>0</v>
      </c>
      <c r="E2256" s="510">
        <v>0</v>
      </c>
      <c r="F2256" s="510">
        <v>0</v>
      </c>
      <c r="G2256" s="510">
        <v>0</v>
      </c>
    </row>
    <row r="2257" spans="1:7" x14ac:dyDescent="0.25">
      <c r="A2257" s="509" t="s">
        <v>3380</v>
      </c>
      <c r="B2257" s="509" t="s">
        <v>180</v>
      </c>
      <c r="C2257" s="510">
        <v>0</v>
      </c>
      <c r="D2257" s="510">
        <v>0</v>
      </c>
      <c r="E2257" s="510">
        <v>0</v>
      </c>
      <c r="F2257" s="510">
        <v>0</v>
      </c>
      <c r="G2257" s="510">
        <v>0</v>
      </c>
    </row>
    <row r="2258" spans="1:7" x14ac:dyDescent="0.25">
      <c r="A2258" s="509" t="s">
        <v>3381</v>
      </c>
      <c r="B2258" s="509" t="s">
        <v>1152</v>
      </c>
      <c r="C2258" s="510">
        <v>0</v>
      </c>
      <c r="D2258" s="510">
        <v>0</v>
      </c>
      <c r="E2258" s="510">
        <v>0</v>
      </c>
      <c r="F2258" s="510">
        <v>0</v>
      </c>
      <c r="G2258" s="510">
        <v>0</v>
      </c>
    </row>
    <row r="2259" spans="1:7" x14ac:dyDescent="0.25">
      <c r="A2259" s="509" t="s">
        <v>3382</v>
      </c>
      <c r="B2259" s="509" t="s">
        <v>53</v>
      </c>
      <c r="C2259" s="510">
        <v>0</v>
      </c>
      <c r="D2259" s="510">
        <v>0</v>
      </c>
      <c r="E2259" s="510">
        <v>0</v>
      </c>
      <c r="F2259" s="510">
        <v>0</v>
      </c>
      <c r="G2259" s="510">
        <v>0</v>
      </c>
    </row>
    <row r="2260" spans="1:7" x14ac:dyDescent="0.25">
      <c r="A2260" s="509" t="s">
        <v>3383</v>
      </c>
      <c r="B2260" s="509" t="s">
        <v>71</v>
      </c>
      <c r="C2260" s="510">
        <v>0</v>
      </c>
      <c r="D2260" s="510">
        <v>0</v>
      </c>
      <c r="E2260" s="510">
        <v>0</v>
      </c>
      <c r="F2260" s="510">
        <v>0</v>
      </c>
      <c r="G2260" s="510">
        <v>0</v>
      </c>
    </row>
    <row r="2261" spans="1:7" x14ac:dyDescent="0.25">
      <c r="A2261" s="509" t="s">
        <v>3384</v>
      </c>
      <c r="B2261" s="509" t="s">
        <v>54</v>
      </c>
      <c r="C2261" s="510">
        <v>0</v>
      </c>
      <c r="D2261" s="510">
        <v>0</v>
      </c>
      <c r="E2261" s="510">
        <v>0</v>
      </c>
      <c r="F2261" s="510">
        <v>0</v>
      </c>
      <c r="G2261" s="510">
        <v>0</v>
      </c>
    </row>
    <row r="2262" spans="1:7" x14ac:dyDescent="0.25">
      <c r="A2262" s="509" t="s">
        <v>3385</v>
      </c>
      <c r="B2262" s="509" t="s">
        <v>170</v>
      </c>
      <c r="C2262" s="510">
        <v>0</v>
      </c>
      <c r="D2262" s="510">
        <v>0</v>
      </c>
      <c r="E2262" s="510">
        <v>0</v>
      </c>
      <c r="F2262" s="510">
        <v>0</v>
      </c>
      <c r="G2262" s="510">
        <v>0</v>
      </c>
    </row>
    <row r="2263" spans="1:7" x14ac:dyDescent="0.25">
      <c r="A2263" s="509" t="s">
        <v>3386</v>
      </c>
      <c r="B2263" s="509" t="s">
        <v>171</v>
      </c>
      <c r="C2263" s="510">
        <v>0</v>
      </c>
      <c r="D2263" s="510">
        <v>0</v>
      </c>
      <c r="E2263" s="510">
        <v>0</v>
      </c>
      <c r="F2263" s="510">
        <v>0</v>
      </c>
      <c r="G2263" s="510">
        <v>0</v>
      </c>
    </row>
    <row r="2264" spans="1:7" x14ac:dyDescent="0.25">
      <c r="A2264" s="509" t="s">
        <v>3387</v>
      </c>
      <c r="B2264" s="509" t="s">
        <v>172</v>
      </c>
      <c r="C2264" s="510">
        <v>0</v>
      </c>
      <c r="D2264" s="510">
        <v>0</v>
      </c>
      <c r="E2264" s="510">
        <v>0</v>
      </c>
      <c r="F2264" s="510">
        <v>0</v>
      </c>
      <c r="G2264" s="510">
        <v>0</v>
      </c>
    </row>
    <row r="2265" spans="1:7" x14ac:dyDescent="0.25">
      <c r="A2265" s="509" t="s">
        <v>3388</v>
      </c>
      <c r="B2265" s="509" t="s">
        <v>2272</v>
      </c>
      <c r="C2265" s="510">
        <v>0</v>
      </c>
      <c r="D2265" s="510">
        <v>0</v>
      </c>
      <c r="E2265" s="510">
        <v>0</v>
      </c>
      <c r="F2265" s="510">
        <v>0</v>
      </c>
      <c r="G2265" s="510">
        <v>0</v>
      </c>
    </row>
    <row r="2266" spans="1:7" x14ac:dyDescent="0.25">
      <c r="A2266" s="509" t="s">
        <v>3389</v>
      </c>
      <c r="B2266" s="509" t="s">
        <v>1075</v>
      </c>
      <c r="C2266" s="510">
        <v>0</v>
      </c>
      <c r="D2266" s="510">
        <v>0</v>
      </c>
      <c r="E2266" s="510">
        <v>0</v>
      </c>
      <c r="F2266" s="510">
        <v>0</v>
      </c>
      <c r="G2266" s="510">
        <v>0</v>
      </c>
    </row>
    <row r="2267" spans="1:7" x14ac:dyDescent="0.25">
      <c r="A2267" s="509" t="s">
        <v>3390</v>
      </c>
      <c r="B2267" s="509" t="s">
        <v>2284</v>
      </c>
      <c r="C2267" s="510">
        <v>0</v>
      </c>
      <c r="D2267" s="510">
        <v>0</v>
      </c>
      <c r="E2267" s="510">
        <v>0</v>
      </c>
      <c r="F2267" s="510">
        <v>0</v>
      </c>
      <c r="G2267" s="510">
        <v>0</v>
      </c>
    </row>
    <row r="2268" spans="1:7" x14ac:dyDescent="0.25">
      <c r="A2268" s="509" t="s">
        <v>3391</v>
      </c>
      <c r="B2268" s="509" t="s">
        <v>1088</v>
      </c>
      <c r="C2268" s="510">
        <v>0</v>
      </c>
      <c r="D2268" s="510">
        <v>0</v>
      </c>
      <c r="E2268" s="510">
        <v>0</v>
      </c>
      <c r="F2268" s="510">
        <v>0</v>
      </c>
      <c r="G2268" s="510">
        <v>0</v>
      </c>
    </row>
    <row r="2269" spans="1:7" x14ac:dyDescent="0.25">
      <c r="A2269" s="509" t="s">
        <v>3392</v>
      </c>
      <c r="B2269" s="509" t="s">
        <v>2287</v>
      </c>
      <c r="C2269" s="510">
        <v>0</v>
      </c>
      <c r="D2269" s="510">
        <v>0</v>
      </c>
      <c r="E2269" s="510">
        <v>0</v>
      </c>
      <c r="F2269" s="510">
        <v>0</v>
      </c>
      <c r="G2269" s="510">
        <v>0</v>
      </c>
    </row>
    <row r="2270" spans="1:7" x14ac:dyDescent="0.25">
      <c r="A2270" s="509" t="s">
        <v>3393</v>
      </c>
      <c r="B2270" s="509" t="s">
        <v>2290</v>
      </c>
      <c r="C2270" s="510">
        <v>0</v>
      </c>
      <c r="D2270" s="510">
        <v>0</v>
      </c>
      <c r="E2270" s="510">
        <v>0</v>
      </c>
      <c r="F2270" s="510">
        <v>0</v>
      </c>
      <c r="G2270" s="510">
        <v>0</v>
      </c>
    </row>
    <row r="2271" spans="1:7" x14ac:dyDescent="0.25">
      <c r="A2271" s="509" t="s">
        <v>1238</v>
      </c>
      <c r="B2271" s="509" t="s">
        <v>1154</v>
      </c>
      <c r="C2271" s="510">
        <v>0</v>
      </c>
      <c r="D2271" s="510">
        <v>0</v>
      </c>
      <c r="E2271" s="510">
        <v>0</v>
      </c>
      <c r="F2271" s="510">
        <v>0</v>
      </c>
      <c r="G2271" s="510">
        <v>0</v>
      </c>
    </row>
    <row r="2272" spans="1:7" x14ac:dyDescent="0.25">
      <c r="A2272" s="509" t="s">
        <v>1239</v>
      </c>
      <c r="B2272" s="509" t="s">
        <v>1156</v>
      </c>
      <c r="C2272" s="510">
        <v>0</v>
      </c>
      <c r="D2272" s="510">
        <v>0</v>
      </c>
      <c r="E2272" s="510">
        <v>0</v>
      </c>
      <c r="F2272" s="510">
        <v>0</v>
      </c>
      <c r="G2272" s="510">
        <v>0</v>
      </c>
    </row>
    <row r="2273" spans="1:7" x14ac:dyDescent="0.25">
      <c r="A2273" s="509" t="s">
        <v>3394</v>
      </c>
      <c r="B2273" s="509" t="s">
        <v>1158</v>
      </c>
      <c r="C2273" s="510">
        <v>0</v>
      </c>
      <c r="D2273" s="510">
        <v>0</v>
      </c>
      <c r="E2273" s="510">
        <v>0</v>
      </c>
      <c r="F2273" s="510">
        <v>0</v>
      </c>
      <c r="G2273" s="510">
        <v>0</v>
      </c>
    </row>
    <row r="2274" spans="1:7" x14ac:dyDescent="0.25">
      <c r="A2274" s="509" t="s">
        <v>3395</v>
      </c>
      <c r="B2274" s="509" t="s">
        <v>178</v>
      </c>
      <c r="C2274" s="510">
        <v>0</v>
      </c>
      <c r="D2274" s="510">
        <v>0</v>
      </c>
      <c r="E2274" s="510">
        <v>0</v>
      </c>
      <c r="F2274" s="510">
        <v>0</v>
      </c>
      <c r="G2274" s="510">
        <v>0</v>
      </c>
    </row>
    <row r="2275" spans="1:7" x14ac:dyDescent="0.25">
      <c r="A2275" s="509" t="s">
        <v>3396</v>
      </c>
      <c r="B2275" s="509" t="s">
        <v>150</v>
      </c>
      <c r="C2275" s="510">
        <v>0</v>
      </c>
      <c r="D2275" s="510">
        <v>0</v>
      </c>
      <c r="E2275" s="510">
        <v>0</v>
      </c>
      <c r="F2275" s="510">
        <v>0</v>
      </c>
      <c r="G2275" s="510">
        <v>0</v>
      </c>
    </row>
    <row r="2276" spans="1:7" x14ac:dyDescent="0.25">
      <c r="A2276" s="509" t="s">
        <v>3397</v>
      </c>
      <c r="B2276" s="509" t="s">
        <v>37</v>
      </c>
      <c r="C2276" s="510">
        <v>0</v>
      </c>
      <c r="D2276" s="510">
        <v>0</v>
      </c>
      <c r="E2276" s="510">
        <v>0</v>
      </c>
      <c r="F2276" s="510">
        <v>0</v>
      </c>
      <c r="G2276" s="510">
        <v>0</v>
      </c>
    </row>
    <row r="2277" spans="1:7" x14ac:dyDescent="0.25">
      <c r="A2277" s="509" t="s">
        <v>3398</v>
      </c>
      <c r="B2277" s="509" t="s">
        <v>153</v>
      </c>
      <c r="C2277" s="510">
        <v>0</v>
      </c>
      <c r="D2277" s="510">
        <v>0</v>
      </c>
      <c r="E2277" s="510">
        <v>0</v>
      </c>
      <c r="F2277" s="510">
        <v>0</v>
      </c>
      <c r="G2277" s="510">
        <v>0</v>
      </c>
    </row>
    <row r="2278" spans="1:7" x14ac:dyDescent="0.25">
      <c r="A2278" s="509" t="s">
        <v>3399</v>
      </c>
      <c r="B2278" s="509" t="s">
        <v>154</v>
      </c>
      <c r="C2278" s="510">
        <v>0</v>
      </c>
      <c r="D2278" s="510">
        <v>0</v>
      </c>
      <c r="E2278" s="510">
        <v>0</v>
      </c>
      <c r="F2278" s="510">
        <v>0</v>
      </c>
      <c r="G2278" s="510">
        <v>0</v>
      </c>
    </row>
    <row r="2279" spans="1:7" x14ac:dyDescent="0.25">
      <c r="A2279" s="509" t="s">
        <v>3400</v>
      </c>
      <c r="B2279" s="509" t="s">
        <v>38</v>
      </c>
      <c r="C2279" s="510">
        <v>0</v>
      </c>
      <c r="D2279" s="510">
        <v>0</v>
      </c>
      <c r="E2279" s="510">
        <v>0</v>
      </c>
      <c r="F2279" s="510">
        <v>0</v>
      </c>
      <c r="G2279" s="510">
        <v>0</v>
      </c>
    </row>
    <row r="2280" spans="1:7" x14ac:dyDescent="0.25">
      <c r="A2280" s="509" t="s">
        <v>3401</v>
      </c>
      <c r="B2280" s="509" t="s">
        <v>77</v>
      </c>
      <c r="C2280" s="510">
        <v>0</v>
      </c>
      <c r="D2280" s="510">
        <v>0</v>
      </c>
      <c r="E2280" s="510">
        <v>0</v>
      </c>
      <c r="F2280" s="510">
        <v>0</v>
      </c>
      <c r="G2280" s="510">
        <v>0</v>
      </c>
    </row>
    <row r="2281" spans="1:7" x14ac:dyDescent="0.25">
      <c r="A2281" s="509" t="s">
        <v>3402</v>
      </c>
      <c r="B2281" s="509" t="s">
        <v>78</v>
      </c>
      <c r="C2281" s="510">
        <v>0</v>
      </c>
      <c r="D2281" s="510">
        <v>0</v>
      </c>
      <c r="E2281" s="510">
        <v>0</v>
      </c>
      <c r="F2281" s="510">
        <v>0</v>
      </c>
      <c r="G2281" s="510">
        <v>0</v>
      </c>
    </row>
    <row r="2282" spans="1:7" x14ac:dyDescent="0.25">
      <c r="A2282" s="509" t="s">
        <v>3403</v>
      </c>
      <c r="B2282" s="509" t="s">
        <v>2292</v>
      </c>
      <c r="C2282" s="510">
        <v>0</v>
      </c>
      <c r="D2282" s="510">
        <v>0</v>
      </c>
      <c r="E2282" s="510">
        <v>0</v>
      </c>
      <c r="F2282" s="510">
        <v>0</v>
      </c>
      <c r="G2282" s="510">
        <v>0</v>
      </c>
    </row>
    <row r="2283" spans="1:7" x14ac:dyDescent="0.25">
      <c r="A2283" s="509" t="s">
        <v>3404</v>
      </c>
      <c r="B2283" s="509" t="s">
        <v>893</v>
      </c>
      <c r="C2283" s="510">
        <v>0</v>
      </c>
      <c r="D2283" s="510">
        <v>0</v>
      </c>
      <c r="E2283" s="510">
        <v>0</v>
      </c>
      <c r="F2283" s="510">
        <v>0</v>
      </c>
      <c r="G2283" s="510">
        <v>0</v>
      </c>
    </row>
    <row r="2284" spans="1:7" x14ac:dyDescent="0.25">
      <c r="A2284" s="509" t="s">
        <v>3405</v>
      </c>
      <c r="B2284" s="509" t="s">
        <v>2249</v>
      </c>
      <c r="C2284" s="510">
        <v>0</v>
      </c>
      <c r="D2284" s="510">
        <v>0</v>
      </c>
      <c r="E2284" s="510">
        <v>0</v>
      </c>
      <c r="F2284" s="510">
        <v>0</v>
      </c>
      <c r="G2284" s="510">
        <v>0</v>
      </c>
    </row>
    <row r="2285" spans="1:7" x14ac:dyDescent="0.25">
      <c r="A2285" s="509" t="s">
        <v>3406</v>
      </c>
      <c r="B2285" s="509" t="s">
        <v>64</v>
      </c>
      <c r="C2285" s="510">
        <v>0</v>
      </c>
      <c r="D2285" s="510">
        <v>0</v>
      </c>
      <c r="E2285" s="510">
        <v>0</v>
      </c>
      <c r="F2285" s="510">
        <v>0</v>
      </c>
      <c r="G2285" s="510">
        <v>0</v>
      </c>
    </row>
    <row r="2286" spans="1:7" x14ac:dyDescent="0.25">
      <c r="A2286" s="509" t="s">
        <v>3407</v>
      </c>
      <c r="B2286" s="509" t="s">
        <v>65</v>
      </c>
      <c r="C2286" s="510">
        <v>0</v>
      </c>
      <c r="D2286" s="510">
        <v>0</v>
      </c>
      <c r="E2286" s="510">
        <v>0</v>
      </c>
      <c r="F2286" s="510">
        <v>0</v>
      </c>
      <c r="G2286" s="510">
        <v>0</v>
      </c>
    </row>
    <row r="2287" spans="1:7" x14ac:dyDescent="0.25">
      <c r="A2287" s="509" t="s">
        <v>3408</v>
      </c>
      <c r="B2287" s="509" t="s">
        <v>40</v>
      </c>
      <c r="C2287" s="510">
        <v>0</v>
      </c>
      <c r="D2287" s="510">
        <v>0</v>
      </c>
      <c r="E2287" s="510">
        <v>0</v>
      </c>
      <c r="F2287" s="510">
        <v>0</v>
      </c>
      <c r="G2287" s="510">
        <v>0</v>
      </c>
    </row>
    <row r="2288" spans="1:7" x14ac:dyDescent="0.25">
      <c r="A2288" s="509" t="s">
        <v>3409</v>
      </c>
      <c r="B2288" s="509" t="s">
        <v>41</v>
      </c>
      <c r="C2288" s="510">
        <v>0</v>
      </c>
      <c r="D2288" s="510">
        <v>0</v>
      </c>
      <c r="E2288" s="510">
        <v>0</v>
      </c>
      <c r="F2288" s="510">
        <v>0</v>
      </c>
      <c r="G2288" s="510">
        <v>0</v>
      </c>
    </row>
    <row r="2289" spans="1:7" x14ac:dyDescent="0.25">
      <c r="A2289" s="509" t="s">
        <v>3410</v>
      </c>
      <c r="B2289" s="509" t="s">
        <v>42</v>
      </c>
      <c r="C2289" s="510">
        <v>0</v>
      </c>
      <c r="D2289" s="510">
        <v>0</v>
      </c>
      <c r="E2289" s="510">
        <v>0</v>
      </c>
      <c r="F2289" s="510">
        <v>0</v>
      </c>
      <c r="G2289" s="510">
        <v>0</v>
      </c>
    </row>
    <row r="2290" spans="1:7" x14ac:dyDescent="0.25">
      <c r="A2290" s="509" t="s">
        <v>3411</v>
      </c>
      <c r="B2290" s="509" t="s">
        <v>2252</v>
      </c>
      <c r="C2290" s="510">
        <v>0</v>
      </c>
      <c r="D2290" s="510">
        <v>0</v>
      </c>
      <c r="E2290" s="510">
        <v>0</v>
      </c>
      <c r="F2290" s="510">
        <v>0</v>
      </c>
      <c r="G2290" s="510">
        <v>0</v>
      </c>
    </row>
    <row r="2291" spans="1:7" x14ac:dyDescent="0.25">
      <c r="A2291" s="509" t="s">
        <v>3412</v>
      </c>
      <c r="B2291" s="509" t="s">
        <v>44</v>
      </c>
      <c r="C2291" s="510">
        <v>0</v>
      </c>
      <c r="D2291" s="510">
        <v>0</v>
      </c>
      <c r="E2291" s="510">
        <v>0</v>
      </c>
      <c r="F2291" s="510">
        <v>0</v>
      </c>
      <c r="G2291" s="510">
        <v>0</v>
      </c>
    </row>
    <row r="2292" spans="1:7" s="505" customFormat="1" x14ac:dyDescent="0.25">
      <c r="A2292" s="509" t="s">
        <v>3413</v>
      </c>
      <c r="B2292" s="509" t="s">
        <v>1161</v>
      </c>
      <c r="C2292" s="510">
        <v>0</v>
      </c>
      <c r="D2292" s="510">
        <v>0</v>
      </c>
      <c r="E2292" s="510">
        <v>0</v>
      </c>
      <c r="F2292" s="510">
        <v>0</v>
      </c>
      <c r="G2292" s="510">
        <v>0</v>
      </c>
    </row>
    <row r="2293" spans="1:7" s="505" customFormat="1" x14ac:dyDescent="0.25">
      <c r="A2293" s="509" t="s">
        <v>3414</v>
      </c>
      <c r="B2293" s="509" t="s">
        <v>70</v>
      </c>
      <c r="C2293" s="510">
        <v>0</v>
      </c>
      <c r="D2293" s="510">
        <v>0</v>
      </c>
      <c r="E2293" s="510">
        <v>0</v>
      </c>
      <c r="F2293" s="510">
        <v>0</v>
      </c>
      <c r="G2293" s="510">
        <v>0</v>
      </c>
    </row>
    <row r="2294" spans="1:7" s="505" customFormat="1" x14ac:dyDescent="0.25">
      <c r="A2294" s="509" t="s">
        <v>3415</v>
      </c>
      <c r="B2294" s="509" t="s">
        <v>47</v>
      </c>
      <c r="C2294" s="510">
        <v>0</v>
      </c>
      <c r="D2294" s="510">
        <v>0</v>
      </c>
      <c r="E2294" s="510">
        <v>0</v>
      </c>
      <c r="F2294" s="510">
        <v>0</v>
      </c>
      <c r="G2294" s="510">
        <v>0</v>
      </c>
    </row>
    <row r="2295" spans="1:7" s="505" customFormat="1" x14ac:dyDescent="0.25">
      <c r="A2295" s="509" t="s">
        <v>3416</v>
      </c>
      <c r="B2295" s="509" t="s">
        <v>48</v>
      </c>
      <c r="C2295" s="510">
        <v>0</v>
      </c>
      <c r="D2295" s="510">
        <v>0</v>
      </c>
      <c r="E2295" s="510">
        <v>0</v>
      </c>
      <c r="F2295" s="510">
        <v>0</v>
      </c>
      <c r="G2295" s="510">
        <v>0</v>
      </c>
    </row>
    <row r="2296" spans="1:7" s="505" customFormat="1" x14ac:dyDescent="0.25">
      <c r="A2296" s="509" t="s">
        <v>3417</v>
      </c>
      <c r="B2296" s="509" t="s">
        <v>49</v>
      </c>
      <c r="C2296" s="510">
        <v>0</v>
      </c>
      <c r="D2296" s="510">
        <v>0</v>
      </c>
      <c r="E2296" s="510">
        <v>0</v>
      </c>
      <c r="F2296" s="510">
        <v>0</v>
      </c>
      <c r="G2296" s="510">
        <v>0</v>
      </c>
    </row>
    <row r="2297" spans="1:7" s="505" customFormat="1" x14ac:dyDescent="0.25">
      <c r="A2297" s="509" t="s">
        <v>3418</v>
      </c>
      <c r="B2297" s="509" t="s">
        <v>50</v>
      </c>
      <c r="C2297" s="510">
        <v>0</v>
      </c>
      <c r="D2297" s="510">
        <v>0</v>
      </c>
      <c r="E2297" s="510">
        <v>0</v>
      </c>
      <c r="F2297" s="510">
        <v>0</v>
      </c>
      <c r="G2297" s="510">
        <v>0</v>
      </c>
    </row>
    <row r="2298" spans="1:7" x14ac:dyDescent="0.25">
      <c r="A2298" s="509" t="s">
        <v>3419</v>
      </c>
      <c r="B2298" s="509" t="s">
        <v>51</v>
      </c>
      <c r="C2298" s="510">
        <v>0</v>
      </c>
      <c r="D2298" s="510">
        <v>0</v>
      </c>
      <c r="E2298" s="510">
        <v>0</v>
      </c>
      <c r="F2298" s="510">
        <v>0</v>
      </c>
      <c r="G2298" s="510">
        <v>0</v>
      </c>
    </row>
    <row r="2299" spans="1:7" x14ac:dyDescent="0.25">
      <c r="A2299" s="509" t="s">
        <v>3420</v>
      </c>
      <c r="B2299" s="509" t="s">
        <v>1151</v>
      </c>
      <c r="C2299" s="510">
        <v>0</v>
      </c>
      <c r="D2299" s="510">
        <v>0</v>
      </c>
      <c r="E2299" s="510">
        <v>0</v>
      </c>
      <c r="F2299" s="510">
        <v>0</v>
      </c>
      <c r="G2299" s="510">
        <v>0</v>
      </c>
    </row>
    <row r="2300" spans="1:7" x14ac:dyDescent="0.25">
      <c r="A2300" s="509" t="s">
        <v>3421</v>
      </c>
      <c r="B2300" s="509" t="s">
        <v>1152</v>
      </c>
      <c r="C2300" s="510">
        <v>0</v>
      </c>
      <c r="D2300" s="510">
        <v>0</v>
      </c>
      <c r="E2300" s="510">
        <v>0</v>
      </c>
      <c r="F2300" s="510">
        <v>0</v>
      </c>
      <c r="G2300" s="510">
        <v>0</v>
      </c>
    </row>
    <row r="2301" spans="1:7" x14ac:dyDescent="0.25">
      <c r="A2301" s="509" t="s">
        <v>3422</v>
      </c>
      <c r="B2301" s="509" t="s">
        <v>53</v>
      </c>
      <c r="C2301" s="510">
        <v>0</v>
      </c>
      <c r="D2301" s="510">
        <v>0</v>
      </c>
      <c r="E2301" s="510">
        <v>0</v>
      </c>
      <c r="F2301" s="510">
        <v>0</v>
      </c>
      <c r="G2301" s="510">
        <v>0</v>
      </c>
    </row>
    <row r="2302" spans="1:7" x14ac:dyDescent="0.25">
      <c r="A2302" s="509" t="s">
        <v>3423</v>
      </c>
      <c r="B2302" s="509" t="s">
        <v>54</v>
      </c>
      <c r="C2302" s="510">
        <v>0</v>
      </c>
      <c r="D2302" s="510">
        <v>0</v>
      </c>
      <c r="E2302" s="510">
        <v>0</v>
      </c>
      <c r="F2302" s="510">
        <v>0</v>
      </c>
      <c r="G2302" s="510">
        <v>0</v>
      </c>
    </row>
    <row r="2303" spans="1:7" x14ac:dyDescent="0.25">
      <c r="A2303" s="509" t="s">
        <v>3424</v>
      </c>
      <c r="B2303" s="509" t="s">
        <v>1176</v>
      </c>
      <c r="C2303" s="510">
        <v>0</v>
      </c>
      <c r="D2303" s="510">
        <v>0</v>
      </c>
      <c r="E2303" s="510">
        <v>0</v>
      </c>
      <c r="F2303" s="510">
        <v>0</v>
      </c>
      <c r="G2303" s="510">
        <v>0</v>
      </c>
    </row>
    <row r="2304" spans="1:7" x14ac:dyDescent="0.25">
      <c r="A2304" s="509" t="s">
        <v>3425</v>
      </c>
      <c r="B2304" s="509" t="s">
        <v>152</v>
      </c>
      <c r="C2304" s="510">
        <v>0</v>
      </c>
      <c r="D2304" s="510">
        <v>0</v>
      </c>
      <c r="E2304" s="510">
        <v>0</v>
      </c>
      <c r="F2304" s="510">
        <v>0</v>
      </c>
      <c r="G2304" s="510">
        <v>0</v>
      </c>
    </row>
    <row r="2305" spans="1:7" x14ac:dyDescent="0.25">
      <c r="A2305" s="509" t="s">
        <v>3426</v>
      </c>
      <c r="B2305" s="509" t="s">
        <v>1177</v>
      </c>
      <c r="C2305" s="510">
        <v>0</v>
      </c>
      <c r="D2305" s="510">
        <v>0</v>
      </c>
      <c r="E2305" s="510">
        <v>0</v>
      </c>
      <c r="F2305" s="510">
        <v>0</v>
      </c>
      <c r="G2305" s="510">
        <v>0</v>
      </c>
    </row>
    <row r="2306" spans="1:7" x14ac:dyDescent="0.25">
      <c r="A2306" s="509" t="s">
        <v>3427</v>
      </c>
      <c r="B2306" s="509" t="s">
        <v>55</v>
      </c>
      <c r="C2306" s="510">
        <v>0</v>
      </c>
      <c r="D2306" s="510">
        <v>0</v>
      </c>
      <c r="E2306" s="510">
        <v>0</v>
      </c>
      <c r="F2306" s="510">
        <v>0</v>
      </c>
      <c r="G2306" s="510">
        <v>0</v>
      </c>
    </row>
    <row r="2307" spans="1:7" x14ac:dyDescent="0.25">
      <c r="C2307" s="487">
        <f>SUM(C4:C2306)</f>
        <v>27071972.440000013</v>
      </c>
      <c r="D2307" s="487">
        <f>SUM(D4:D2306)</f>
        <v>-3.9115548133850098E-8</v>
      </c>
      <c r="E2307" s="487">
        <f>SUM(E4:E2306)</f>
        <v>54684326.170000054</v>
      </c>
      <c r="F2307" s="487">
        <f>SUM(F4:F2306)</f>
        <v>54684326.170000032</v>
      </c>
      <c r="G2307" s="487">
        <f>SUM(G4:G2306)</f>
        <v>-2.2351741790771484E-8</v>
      </c>
    </row>
  </sheetData>
  <sheetProtection password="CFD3" sheet="1" objects="1" scenarios="1" selectLockedCells="1" selectUnlockedCells="1"/>
  <mergeCells count="1"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P46"/>
  <sheetViews>
    <sheetView view="pageBreakPreview" zoomScale="60" zoomScaleNormal="100" workbookViewId="0">
      <pane xSplit="2" ySplit="7" topLeftCell="C8" activePane="bottomRight" state="frozenSplit"/>
      <selection pane="topRight" activeCell="C1" sqref="C1"/>
      <selection pane="bottomLeft" activeCell="A7" sqref="A7"/>
      <selection pane="bottomRight" activeCell="AU46" sqref="AU46"/>
    </sheetView>
  </sheetViews>
  <sheetFormatPr defaultRowHeight="15" outlineLevelRow="1" outlineLevelCol="1" x14ac:dyDescent="0.25"/>
  <cols>
    <col min="1" max="1" width="45.5703125" customWidth="1"/>
    <col min="2" max="2" width="13.28515625" style="102" hidden="1" customWidth="1" outlineLevel="1"/>
    <col min="3" max="3" width="11.5703125" hidden="1" customWidth="1" collapsed="1"/>
    <col min="4" max="5" width="13.7109375" hidden="1" customWidth="1"/>
    <col min="6" max="6" width="17.28515625" hidden="1" customWidth="1"/>
    <col min="7" max="7" width="17.42578125" hidden="1" customWidth="1"/>
    <col min="8" max="8" width="14.7109375" style="102" hidden="1" customWidth="1" outlineLevel="1"/>
    <col min="9" max="9" width="11.5703125" hidden="1" customWidth="1" collapsed="1"/>
    <col min="10" max="11" width="11.5703125" hidden="1" customWidth="1"/>
    <col min="12" max="13" width="17.42578125" hidden="1" customWidth="1"/>
    <col min="14" max="14" width="13.28515625" style="102" hidden="1" customWidth="1" outlineLevel="1"/>
    <col min="15" max="15" width="14" customWidth="1" collapsed="1"/>
    <col min="16" max="17" width="14" customWidth="1"/>
    <col min="18" max="19" width="17.28515625" customWidth="1"/>
    <col min="20" max="20" width="14.7109375" style="102" hidden="1" customWidth="1" outlineLevel="1"/>
    <col min="21" max="21" width="13.28515625" customWidth="1" collapsed="1"/>
    <col min="22" max="22" width="14.42578125" customWidth="1"/>
    <col min="23" max="23" width="13.7109375" customWidth="1"/>
    <col min="24" max="24" width="17.28515625" customWidth="1"/>
    <col min="25" max="25" width="19.28515625" customWidth="1"/>
    <col min="26" max="26" width="14.7109375" style="102" hidden="1" customWidth="1" outlineLevel="1"/>
    <col min="27" max="27" width="11.5703125" hidden="1" customWidth="1" collapsed="1"/>
    <col min="28" max="29" width="11.5703125" hidden="1" customWidth="1"/>
    <col min="30" max="31" width="17.28515625" hidden="1" customWidth="1"/>
    <col min="32" max="32" width="13.140625" style="102" hidden="1" customWidth="1" outlineLevel="1"/>
    <col min="33" max="33" width="11.5703125" hidden="1" customWidth="1" collapsed="1"/>
    <col min="34" max="35" width="11.5703125" hidden="1" customWidth="1"/>
    <col min="36" max="37" width="17.28515625" hidden="1" customWidth="1"/>
    <col min="38" max="38" width="15.7109375" hidden="1" customWidth="1"/>
    <col min="39" max="39" width="15.140625" hidden="1" customWidth="1"/>
    <col min="40" max="40" width="13.42578125" hidden="1" customWidth="1"/>
    <col min="41" max="42" width="17.28515625" hidden="1" customWidth="1"/>
  </cols>
  <sheetData>
    <row r="1" spans="1:42" ht="15.75" x14ac:dyDescent="0.25">
      <c r="A1" s="1" t="s">
        <v>31</v>
      </c>
      <c r="B1" s="1"/>
      <c r="C1" s="1"/>
      <c r="D1" s="25"/>
      <c r="E1" s="25"/>
      <c r="F1" s="1"/>
      <c r="G1" s="1"/>
      <c r="H1" s="1"/>
      <c r="I1" s="1"/>
      <c r="J1" s="25"/>
      <c r="K1" s="25"/>
      <c r="L1" s="1"/>
      <c r="M1" s="1"/>
      <c r="N1" s="1"/>
      <c r="O1" s="1"/>
      <c r="P1" s="25"/>
      <c r="Q1" s="25"/>
      <c r="R1" s="1"/>
      <c r="S1" s="1"/>
      <c r="T1" s="1"/>
      <c r="U1" s="1"/>
      <c r="V1" s="25"/>
      <c r="W1" s="25"/>
      <c r="X1" s="1"/>
      <c r="Y1" s="1"/>
      <c r="Z1" s="1"/>
      <c r="AA1" s="1"/>
      <c r="AB1" s="25"/>
      <c r="AC1" s="25"/>
      <c r="AD1" s="1"/>
      <c r="AE1" s="1"/>
      <c r="AF1" s="1"/>
      <c r="AG1" s="25"/>
      <c r="AH1" s="25"/>
      <c r="AI1" s="25"/>
      <c r="AJ1" s="1"/>
      <c r="AK1" s="1"/>
      <c r="AL1" s="1"/>
      <c r="AM1" s="1"/>
      <c r="AN1" s="1"/>
      <c r="AO1" s="1"/>
      <c r="AP1" s="1"/>
    </row>
    <row r="2" spans="1:42" ht="15.75" x14ac:dyDescent="0.25">
      <c r="A2" s="1" t="s">
        <v>1108</v>
      </c>
      <c r="B2" s="1"/>
      <c r="C2" s="1"/>
      <c r="D2" s="25"/>
      <c r="E2" s="25"/>
      <c r="F2" s="1"/>
      <c r="G2" s="1"/>
      <c r="H2" s="1"/>
      <c r="I2" s="1"/>
      <c r="J2" s="25"/>
      <c r="K2" s="25"/>
      <c r="L2" s="1"/>
      <c r="M2" s="1"/>
      <c r="N2" s="1"/>
      <c r="O2" s="1"/>
      <c r="P2" s="25"/>
      <c r="Q2" s="25"/>
      <c r="R2" s="1"/>
      <c r="S2" s="1"/>
      <c r="T2" s="1"/>
      <c r="U2" s="1"/>
      <c r="V2" s="25"/>
      <c r="W2" s="25"/>
      <c r="X2" s="1"/>
      <c r="Y2" s="1"/>
      <c r="Z2" s="1"/>
      <c r="AA2" s="1"/>
      <c r="AB2" s="25"/>
      <c r="AC2" s="25"/>
      <c r="AD2" s="1"/>
      <c r="AE2" s="1"/>
      <c r="AF2" s="1"/>
      <c r="AG2" s="25"/>
      <c r="AH2" s="25"/>
      <c r="AI2" s="25"/>
      <c r="AJ2" s="1"/>
      <c r="AK2" s="1"/>
      <c r="AL2" s="1"/>
      <c r="AM2" s="1"/>
      <c r="AN2" s="1"/>
      <c r="AO2" s="1"/>
      <c r="AP2" s="1"/>
    </row>
    <row r="3" spans="1:42" s="113" customFormat="1" ht="15.75" x14ac:dyDescent="0.25">
      <c r="A3" s="1" t="str">
        <f>'All Departments'!A3</f>
        <v>JULY - DECEMBER 2014</v>
      </c>
      <c r="B3" s="1"/>
      <c r="C3" s="1"/>
      <c r="D3" s="25"/>
      <c r="E3" s="25"/>
      <c r="F3" s="1"/>
      <c r="G3" s="1"/>
      <c r="H3" s="1"/>
      <c r="I3" s="1"/>
      <c r="J3" s="25"/>
      <c r="K3" s="25"/>
      <c r="L3" s="1"/>
      <c r="M3" s="1"/>
      <c r="N3" s="1"/>
      <c r="O3" s="1"/>
      <c r="P3" s="25"/>
      <c r="Q3" s="25"/>
      <c r="R3" s="1"/>
      <c r="S3" s="1"/>
      <c r="T3" s="1"/>
      <c r="U3" s="1"/>
      <c r="V3" s="25"/>
      <c r="W3" s="25"/>
      <c r="X3" s="1"/>
      <c r="Y3" s="1"/>
      <c r="Z3" s="1"/>
      <c r="AA3" s="1"/>
      <c r="AB3" s="25"/>
      <c r="AC3" s="25"/>
      <c r="AD3" s="1"/>
      <c r="AE3" s="1"/>
      <c r="AF3" s="1"/>
      <c r="AG3" s="25"/>
      <c r="AH3" s="25"/>
      <c r="AI3" s="25"/>
      <c r="AJ3" s="1"/>
      <c r="AK3" s="1"/>
      <c r="AL3" s="1"/>
      <c r="AM3" s="1"/>
      <c r="AN3" s="1"/>
      <c r="AO3" s="1"/>
      <c r="AP3" s="1"/>
    </row>
    <row r="4" spans="1:42" s="129" customFormat="1" ht="15.75" x14ac:dyDescent="0.25">
      <c r="A4" s="1"/>
      <c r="B4" s="1"/>
      <c r="C4" s="1"/>
      <c r="D4" s="25"/>
      <c r="E4" s="25"/>
      <c r="F4" s="1"/>
      <c r="G4" s="1"/>
      <c r="H4" s="1"/>
      <c r="I4" s="1"/>
      <c r="J4" s="25"/>
      <c r="K4" s="25"/>
      <c r="L4" s="1"/>
      <c r="M4" s="1"/>
      <c r="N4" s="1"/>
      <c r="O4" s="1"/>
      <c r="P4" s="25"/>
      <c r="Q4" s="25"/>
      <c r="R4" s="1"/>
      <c r="S4" s="1"/>
      <c r="T4" s="1"/>
      <c r="U4" s="1"/>
      <c r="V4" s="25"/>
      <c r="W4" s="25"/>
      <c r="X4" s="1"/>
      <c r="Y4" s="1"/>
      <c r="Z4" s="1"/>
      <c r="AA4" s="1"/>
      <c r="AB4" s="25"/>
      <c r="AC4" s="25"/>
      <c r="AD4" s="1"/>
      <c r="AE4" s="1"/>
      <c r="AF4" s="1"/>
      <c r="AG4" s="25"/>
      <c r="AH4" s="25"/>
      <c r="AI4" s="25"/>
      <c r="AJ4" s="1"/>
      <c r="AK4" s="1"/>
      <c r="AL4" s="1"/>
      <c r="AM4" s="1"/>
      <c r="AN4" s="1"/>
      <c r="AO4" s="1"/>
      <c r="AP4" s="1"/>
    </row>
    <row r="5" spans="1:42" s="3" customFormat="1" ht="15.75" x14ac:dyDescent="0.25">
      <c r="A5" s="2" t="s">
        <v>0</v>
      </c>
      <c r="B5" s="80"/>
      <c r="C5" s="567" t="s">
        <v>25</v>
      </c>
      <c r="D5" s="567"/>
      <c r="E5" s="567"/>
      <c r="F5" s="567"/>
      <c r="G5" s="568"/>
      <c r="H5" s="76"/>
      <c r="I5" s="567" t="s">
        <v>26</v>
      </c>
      <c r="J5" s="567"/>
      <c r="K5" s="567"/>
      <c r="L5" s="567"/>
      <c r="M5" s="568"/>
      <c r="N5" s="76"/>
      <c r="O5" s="567" t="s">
        <v>27</v>
      </c>
      <c r="P5" s="567"/>
      <c r="Q5" s="567"/>
      <c r="R5" s="567"/>
      <c r="S5" s="568"/>
      <c r="T5" s="76"/>
      <c r="U5" s="567" t="s">
        <v>28</v>
      </c>
      <c r="V5" s="567"/>
      <c r="W5" s="567"/>
      <c r="X5" s="567"/>
      <c r="Y5" s="568"/>
      <c r="Z5" s="76"/>
      <c r="AA5" s="567" t="s">
        <v>184</v>
      </c>
      <c r="AB5" s="567"/>
      <c r="AC5" s="567"/>
      <c r="AD5" s="567"/>
      <c r="AE5" s="568"/>
      <c r="AF5" s="76"/>
      <c r="AG5" s="567" t="s">
        <v>187</v>
      </c>
      <c r="AH5" s="567"/>
      <c r="AI5" s="567"/>
      <c r="AJ5" s="567"/>
      <c r="AK5" s="568"/>
      <c r="AL5" s="567" t="s">
        <v>29</v>
      </c>
      <c r="AM5" s="567"/>
      <c r="AN5" s="567"/>
      <c r="AO5" s="567"/>
      <c r="AP5" s="568"/>
    </row>
    <row r="6" spans="1:42" ht="15.75" x14ac:dyDescent="0.25">
      <c r="A6" s="4" t="s">
        <v>23</v>
      </c>
      <c r="B6" s="77" t="s">
        <v>952</v>
      </c>
      <c r="C6" s="24" t="s">
        <v>1094</v>
      </c>
      <c r="D6" s="24" t="s">
        <v>1092</v>
      </c>
      <c r="E6" s="24" t="s">
        <v>1092</v>
      </c>
      <c r="F6" s="24" t="s">
        <v>1095</v>
      </c>
      <c r="G6" s="36" t="s">
        <v>1095</v>
      </c>
      <c r="H6" s="77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24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24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77" t="s">
        <v>952</v>
      </c>
      <c r="AA6" s="24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77" t="s">
        <v>952</v>
      </c>
      <c r="AG6" s="24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24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ht="15.75" x14ac:dyDescent="0.25">
      <c r="A7" s="5"/>
      <c r="B7" s="78" t="s">
        <v>953</v>
      </c>
      <c r="C7" s="6" t="s">
        <v>1093</v>
      </c>
      <c r="D7" s="6" t="s">
        <v>1093</v>
      </c>
      <c r="E7" s="6" t="s">
        <v>845</v>
      </c>
      <c r="F7" s="6" t="s">
        <v>1096</v>
      </c>
      <c r="G7" s="7" t="s">
        <v>35</v>
      </c>
      <c r="H7" s="78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6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6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78" t="s">
        <v>953</v>
      </c>
      <c r="AA7" s="6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78" t="s">
        <v>953</v>
      </c>
      <c r="AG7" s="6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6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ht="15.75" x14ac:dyDescent="0.25">
      <c r="A8" s="8"/>
      <c r="B8" s="8"/>
      <c r="C8" s="9"/>
      <c r="D8" s="119"/>
      <c r="E8" s="119"/>
      <c r="F8" s="9"/>
      <c r="G8" s="11"/>
      <c r="H8" s="8"/>
      <c r="I8" s="9"/>
      <c r="J8" s="119"/>
      <c r="K8" s="119"/>
      <c r="L8" s="9"/>
      <c r="M8" s="11"/>
      <c r="N8" s="8"/>
      <c r="O8" s="9"/>
      <c r="P8" s="119"/>
      <c r="Q8" s="119"/>
      <c r="R8" s="9"/>
      <c r="S8" s="11"/>
      <c r="T8" s="8"/>
      <c r="U8" s="9"/>
      <c r="V8" s="119"/>
      <c r="W8" s="119"/>
      <c r="X8" s="9"/>
      <c r="Y8" s="11"/>
      <c r="Z8" s="8"/>
      <c r="AA8" s="9"/>
      <c r="AB8" s="119"/>
      <c r="AC8" s="119"/>
      <c r="AD8" s="9"/>
      <c r="AE8" s="11"/>
      <c r="AF8" s="8"/>
      <c r="AG8" s="119"/>
      <c r="AH8" s="119"/>
      <c r="AI8" s="119"/>
      <c r="AJ8" s="9"/>
      <c r="AK8" s="11"/>
      <c r="AL8" s="9"/>
      <c r="AM8" s="9"/>
      <c r="AN8" s="9"/>
      <c r="AO8" s="9"/>
      <c r="AP8" s="11"/>
    </row>
    <row r="9" spans="1:42" s="429" customFormat="1" ht="15.75" x14ac:dyDescent="0.25">
      <c r="A9" s="44" t="s">
        <v>1</v>
      </c>
      <c r="B9" s="434" t="s">
        <v>847</v>
      </c>
      <c r="C9" s="26">
        <f>VLOOKUP(B9,'TB - Revenue Data'!$B$5:$H$101,3,FALSE)</f>
        <v>2335889</v>
      </c>
      <c r="D9" s="26">
        <f>C9/2</f>
        <v>1167944.5</v>
      </c>
      <c r="E9" s="26">
        <f>VLOOKUP(B9,'TB - Revenue Data'!$B$5:$H$101,7,FALSE)*-1</f>
        <v>924946.6</v>
      </c>
      <c r="F9" s="433">
        <f>E9-D9</f>
        <v>-242997.90000000002</v>
      </c>
      <c r="G9" s="432">
        <f>IF(AND(D9&lt;&gt;0,F9&lt;&gt;0,ISNUMBER(D9),ISNUMBER(F9)),F9/D9,"-    ")</f>
        <v>-0.20805603348446783</v>
      </c>
      <c r="H9" s="434" t="s">
        <v>979</v>
      </c>
      <c r="I9" s="26">
        <f>VLOOKUP(H9,'TB - Revenue Data'!$B$5:$H$101,3,FALSE)</f>
        <v>0</v>
      </c>
      <c r="J9" s="26">
        <f>I9/2</f>
        <v>0</v>
      </c>
      <c r="K9" s="26">
        <f>VLOOKUP(H9,'TB - Revenue Data'!$B$5:$H$101,7,FALSE)*-1</f>
        <v>0</v>
      </c>
      <c r="L9" s="433">
        <f>K9-J9</f>
        <v>0</v>
      </c>
      <c r="M9" s="432" t="str">
        <f>IF(AND(J9&lt;&gt;0,L9&lt;&gt;0,ISNUMBER(J9),ISNUMBER(L9)),L9/J9,"-    ")</f>
        <v xml:space="preserve">-    </v>
      </c>
      <c r="N9" s="434" t="s">
        <v>901</v>
      </c>
      <c r="O9" s="26">
        <f>VLOOKUP(N9,'TB - Revenue Data'!$B$5:$H$101,3,FALSE)</f>
        <v>4238977</v>
      </c>
      <c r="P9" s="26">
        <f>O9/2</f>
        <v>2119488.5</v>
      </c>
      <c r="Q9" s="26">
        <f>VLOOKUP(N9,'TB - Revenue Data'!$B$5:$H$101,7,FALSE)*-1</f>
        <v>1728009.19</v>
      </c>
      <c r="R9" s="433">
        <f>Q9-P9</f>
        <v>-391479.31000000006</v>
      </c>
      <c r="S9" s="432">
        <f>IF(AND(P9&lt;&gt;0,R9&lt;&gt;0,ISNUMBER(P9),ISNUMBER(R9)),R9/P9,"-    ")</f>
        <v>-0.18470461623169931</v>
      </c>
      <c r="T9" s="434" t="s">
        <v>979</v>
      </c>
      <c r="U9" s="26">
        <f>VLOOKUP(T9,'TB - Revenue Data'!$B$5:$H$101,3,FALSE)</f>
        <v>0</v>
      </c>
      <c r="V9" s="26">
        <f>U9/2</f>
        <v>0</v>
      </c>
      <c r="W9" s="26">
        <f>VLOOKUP(T9,'TB - Revenue Data'!$B$5:$H$101,7,FALSE)*-1</f>
        <v>0</v>
      </c>
      <c r="X9" s="433">
        <f>W9-V9</f>
        <v>0</v>
      </c>
      <c r="Y9" s="432" t="str">
        <f>IF(AND(V9&lt;&gt;0,X9&lt;&gt;0,ISNUMBER(V9),ISNUMBER(X9)),X9/V9,"-    ")</f>
        <v xml:space="preserve">-    </v>
      </c>
      <c r="Z9" s="434" t="s">
        <v>979</v>
      </c>
      <c r="AA9" s="26">
        <f>VLOOKUP(Z9,'TB - Revenue Data'!$B$5:$H$101,3,FALSE)</f>
        <v>0</v>
      </c>
      <c r="AB9" s="26">
        <f>AA9/2</f>
        <v>0</v>
      </c>
      <c r="AC9" s="26">
        <f>VLOOKUP(Z9,'TB - Revenue Data'!$B$5:$H$101,7,FALSE)*-1</f>
        <v>0</v>
      </c>
      <c r="AD9" s="433">
        <f>AC9-AB9</f>
        <v>0</v>
      </c>
      <c r="AE9" s="432" t="str">
        <f>IF(AND(AB9&lt;&gt;0,AD9&lt;&gt;0,ISNUMBER(AB9),ISNUMBER(AD9)),AD9/AB9,"-    ")</f>
        <v xml:space="preserve">-    </v>
      </c>
      <c r="AF9" s="434" t="s">
        <v>979</v>
      </c>
      <c r="AG9" s="26">
        <f>VLOOKUP(AF9,'TB - Revenue Data'!$B$5:$H$101,3,FALSE)</f>
        <v>0</v>
      </c>
      <c r="AH9" s="26">
        <f>AG9/2</f>
        <v>0</v>
      </c>
      <c r="AI9" s="26">
        <f>VLOOKUP(AF9,'TB - Revenue Data'!$B$5:$H$101,7,FALSE)*-1</f>
        <v>0</v>
      </c>
      <c r="AJ9" s="433">
        <f>AI9-AH9</f>
        <v>0</v>
      </c>
      <c r="AK9" s="432" t="str">
        <f>IF(AND(AH9&lt;&gt;0,AJ9&lt;&gt;0,ISNUMBER(AH9),ISNUMBER(AJ9)),AJ9/AH9,"-    ")</f>
        <v xml:space="preserve">-    </v>
      </c>
      <c r="AL9" s="26">
        <f>C9+I9+O9+U9+AA9+AG9</f>
        <v>6574866</v>
      </c>
      <c r="AM9" s="26">
        <f>D9+J9+P9+V9+AB9+AH9</f>
        <v>3287433</v>
      </c>
      <c r="AN9" s="26">
        <f>E9+K9+Q9+W9+AC9+AI9</f>
        <v>2652955.79</v>
      </c>
      <c r="AO9" s="433">
        <f>AN9-AM9</f>
        <v>-634477.21</v>
      </c>
      <c r="AP9" s="432">
        <f>IF(AND(AM9&lt;&gt;0,AO9&lt;&gt;0,ISNUMBER(AM9),ISNUMBER(AO9)),AO9/AM9,"-    ")</f>
        <v>-0.19300080336238029</v>
      </c>
    </row>
    <row r="10" spans="1:42" s="429" customFormat="1" ht="15.75" x14ac:dyDescent="0.25">
      <c r="A10" s="44" t="s">
        <v>2</v>
      </c>
      <c r="B10" s="434" t="s">
        <v>848</v>
      </c>
      <c r="C10" s="26">
        <f>VLOOKUP(B10,'TB - Revenue Data'!$B$5:$H$101,3,FALSE)</f>
        <v>594141</v>
      </c>
      <c r="D10" s="26">
        <f t="shared" ref="D10:D25" si="0">C10/2</f>
        <v>297070.5</v>
      </c>
      <c r="E10" s="26">
        <f>VLOOKUP(B10,'TB - Revenue Data'!$B$5:$H$101,7,FALSE)*-1</f>
        <v>394568.54</v>
      </c>
      <c r="F10" s="433">
        <f t="shared" ref="F10:F25" si="1">E10-D10</f>
        <v>97498.039999999979</v>
      </c>
      <c r="G10" s="432">
        <f t="shared" ref="G10:G25" si="2">IF(AND(D10&lt;&gt;0,F10&lt;&gt;0,ISNUMBER(D10),ISNUMBER(F10)),F10/D10,"-    ")</f>
        <v>0.32819832329362886</v>
      </c>
      <c r="H10" s="434" t="s">
        <v>979</v>
      </c>
      <c r="I10" s="26">
        <f>VLOOKUP(H10,'TB - Revenue Data'!$B$5:$H$101,3,FALSE)</f>
        <v>0</v>
      </c>
      <c r="J10" s="26">
        <f t="shared" ref="J10:J25" si="3">I10/2</f>
        <v>0</v>
      </c>
      <c r="K10" s="26">
        <f>VLOOKUP(H10,'TB - Revenue Data'!$B$5:$H$101,7,FALSE)*-1</f>
        <v>0</v>
      </c>
      <c r="L10" s="433">
        <f t="shared" ref="L10:L25" si="4">K10-J10</f>
        <v>0</v>
      </c>
      <c r="M10" s="432" t="str">
        <f t="shared" ref="M10:M25" si="5">IF(AND(J10&lt;&gt;0,L10&lt;&gt;0,ISNUMBER(J10),ISNUMBER(L10)),L10/J10,"-    ")</f>
        <v xml:space="preserve">-    </v>
      </c>
      <c r="N10" s="434" t="s">
        <v>894</v>
      </c>
      <c r="O10" s="26">
        <f>VLOOKUP(N10,'TB - Revenue Data'!$B$5:$H$101,3,FALSE)</f>
        <v>0</v>
      </c>
      <c r="P10" s="26">
        <f t="shared" ref="P10:P25" si="6">O10/2</f>
        <v>0</v>
      </c>
      <c r="Q10" s="26">
        <f>VLOOKUP(N10,'TB - Revenue Data'!$B$5:$H$101,7,FALSE)*-1</f>
        <v>0</v>
      </c>
      <c r="R10" s="433">
        <f t="shared" ref="R10:R16" si="7">Q10-P10</f>
        <v>0</v>
      </c>
      <c r="S10" s="432" t="str">
        <f t="shared" ref="S10:S16" si="8">IF(AND(P10&lt;&gt;0,R10&lt;&gt;0,ISNUMBER(P10),ISNUMBER(R10)),R10/P10,"-    ")</f>
        <v xml:space="preserve">-    </v>
      </c>
      <c r="T10" s="434" t="s">
        <v>979</v>
      </c>
      <c r="U10" s="26">
        <f>VLOOKUP(T10,'TB - Revenue Data'!$B$5:$H$101,3,FALSE)</f>
        <v>0</v>
      </c>
      <c r="V10" s="26">
        <f t="shared" ref="V10:V25" si="9">U10/2</f>
        <v>0</v>
      </c>
      <c r="W10" s="26">
        <f>VLOOKUP(T10,'TB - Revenue Data'!$B$5:$H$101,7,FALSE)*-1</f>
        <v>0</v>
      </c>
      <c r="X10" s="433">
        <f t="shared" ref="X10:X25" si="10">W10-V10</f>
        <v>0</v>
      </c>
      <c r="Y10" s="432" t="str">
        <f t="shared" ref="Y10:Y25" si="11">IF(AND(V10&lt;&gt;0,X10&lt;&gt;0,ISNUMBER(V10),ISNUMBER(X10)),X10/V10,"-    ")</f>
        <v xml:space="preserve">-    </v>
      </c>
      <c r="Z10" s="434" t="s">
        <v>979</v>
      </c>
      <c r="AA10" s="26">
        <f>VLOOKUP(Z10,'TB - Revenue Data'!$B$5:$H$101,3,FALSE)</f>
        <v>0</v>
      </c>
      <c r="AB10" s="26">
        <f t="shared" ref="AB10:AB25" si="12">AA10/2</f>
        <v>0</v>
      </c>
      <c r="AC10" s="26">
        <f>VLOOKUP(Z10,'TB - Revenue Data'!$B$5:$H$101,7,FALSE)*-1</f>
        <v>0</v>
      </c>
      <c r="AD10" s="433">
        <f t="shared" ref="AD10:AD25" si="13">AC10-AB10</f>
        <v>0</v>
      </c>
      <c r="AE10" s="432" t="str">
        <f t="shared" ref="AE10:AE25" si="14">IF(AND(AB10&lt;&gt;0,AD10&lt;&gt;0,ISNUMBER(AB10),ISNUMBER(AD10)),AD10/AB10,"-    ")</f>
        <v xml:space="preserve">-    </v>
      </c>
      <c r="AF10" s="434" t="s">
        <v>979</v>
      </c>
      <c r="AG10" s="26">
        <f>VLOOKUP(AF10,'TB - Revenue Data'!$B$5:$H$101,3,FALSE)</f>
        <v>0</v>
      </c>
      <c r="AH10" s="26">
        <f t="shared" ref="AH10:AH25" si="15">AG10/2</f>
        <v>0</v>
      </c>
      <c r="AI10" s="26">
        <f>VLOOKUP(AF10,'TB - Revenue Data'!$B$5:$H$101,7,FALSE)*-1</f>
        <v>0</v>
      </c>
      <c r="AJ10" s="433">
        <f t="shared" ref="AJ10:AJ25" si="16">AI10-AH10</f>
        <v>0</v>
      </c>
      <c r="AK10" s="432" t="str">
        <f t="shared" ref="AK10:AK25" si="17">IF(AND(AH10&lt;&gt;0,AJ10&lt;&gt;0,ISNUMBER(AH10),ISNUMBER(AJ10)),AJ10/AH10,"-    ")</f>
        <v xml:space="preserve">-    </v>
      </c>
      <c r="AL10" s="26">
        <f t="shared" ref="AL10:AL25" si="18">C10+I10+O10+U10+AA10+AG10</f>
        <v>594141</v>
      </c>
      <c r="AM10" s="26">
        <f t="shared" ref="AM10:AM25" si="19">D10+J10+P10+V10+AB10+AH10</f>
        <v>297070.5</v>
      </c>
      <c r="AN10" s="26">
        <f t="shared" ref="AN10:AN25" si="20">E10+K10+Q10+W10+AC10+AI10</f>
        <v>394568.54</v>
      </c>
      <c r="AO10" s="433">
        <f t="shared" ref="AO10:AO25" si="21">AN10-AM10</f>
        <v>97498.039999999979</v>
      </c>
      <c r="AP10" s="432">
        <f t="shared" ref="AP10:AP25" si="22">IF(AND(AM10&lt;&gt;0,AO10&lt;&gt;0,ISNUMBER(AM10),ISNUMBER(AO10)),AO10/AM10,"-    ")</f>
        <v>0.32819832329362886</v>
      </c>
    </row>
    <row r="11" spans="1:42" s="429" customFormat="1" ht="15.75" hidden="1" customHeight="1" outlineLevel="1" x14ac:dyDescent="0.25">
      <c r="A11" s="44" t="s">
        <v>3</v>
      </c>
      <c r="B11" s="434" t="s">
        <v>849</v>
      </c>
      <c r="C11" s="26">
        <f>VLOOKUP(B11,'TB - Revenue Data'!$B$5:$H$101,3,FALSE)</f>
        <v>0</v>
      </c>
      <c r="D11" s="26">
        <f t="shared" si="0"/>
        <v>0</v>
      </c>
      <c r="E11" s="26">
        <f>VLOOKUP(B11,'TB - Revenue Data'!$B$5:$H$101,7,FALSE)*-1</f>
        <v>0</v>
      </c>
      <c r="F11" s="433">
        <f t="shared" si="1"/>
        <v>0</v>
      </c>
      <c r="G11" s="432" t="str">
        <f t="shared" si="2"/>
        <v xml:space="preserve">-    </v>
      </c>
      <c r="H11" s="434" t="s">
        <v>979</v>
      </c>
      <c r="I11" s="26">
        <f>VLOOKUP(H11,'TB - Revenue Data'!$B$5:$H$101,3,FALSE)</f>
        <v>0</v>
      </c>
      <c r="J11" s="26">
        <f t="shared" si="3"/>
        <v>0</v>
      </c>
      <c r="K11" s="26">
        <f>VLOOKUP(H11,'TB - Revenue Data'!$B$5:$H$101,7,FALSE)*-1</f>
        <v>0</v>
      </c>
      <c r="L11" s="433">
        <f t="shared" si="4"/>
        <v>0</v>
      </c>
      <c r="M11" s="432" t="str">
        <f t="shared" si="5"/>
        <v xml:space="preserve">-    </v>
      </c>
      <c r="N11" s="434" t="s">
        <v>895</v>
      </c>
      <c r="O11" s="26">
        <f>VLOOKUP(N11,'TB - Revenue Data'!$B$5:$H$101,3,FALSE)</f>
        <v>0</v>
      </c>
      <c r="P11" s="26">
        <f t="shared" si="6"/>
        <v>0</v>
      </c>
      <c r="Q11" s="26">
        <f>VLOOKUP(N11,'TB - Revenue Data'!$B$5:$H$101,7,FALSE)*-1</f>
        <v>0</v>
      </c>
      <c r="R11" s="433">
        <f t="shared" si="7"/>
        <v>0</v>
      </c>
      <c r="S11" s="432" t="str">
        <f t="shared" si="8"/>
        <v xml:space="preserve">-    </v>
      </c>
      <c r="T11" s="434" t="s">
        <v>979</v>
      </c>
      <c r="U11" s="26">
        <f>VLOOKUP(T11,'TB - Revenue Data'!$B$5:$H$101,3,FALSE)</f>
        <v>0</v>
      </c>
      <c r="V11" s="26">
        <f t="shared" si="9"/>
        <v>0</v>
      </c>
      <c r="W11" s="26">
        <f>VLOOKUP(T11,'TB - Revenue Data'!$B$5:$H$101,7,FALSE)*-1</f>
        <v>0</v>
      </c>
      <c r="X11" s="433">
        <f t="shared" si="10"/>
        <v>0</v>
      </c>
      <c r="Y11" s="432" t="str">
        <f t="shared" si="11"/>
        <v xml:space="preserve">-    </v>
      </c>
      <c r="Z11" s="434" t="s">
        <v>979</v>
      </c>
      <c r="AA11" s="26">
        <f>VLOOKUP(Z11,'TB - Revenue Data'!$B$5:$H$101,3,FALSE)</f>
        <v>0</v>
      </c>
      <c r="AB11" s="26">
        <f t="shared" si="12"/>
        <v>0</v>
      </c>
      <c r="AC11" s="26">
        <f>VLOOKUP(Z11,'TB - Revenue Data'!$B$5:$H$101,7,FALSE)*-1</f>
        <v>0</v>
      </c>
      <c r="AD11" s="433">
        <f t="shared" si="13"/>
        <v>0</v>
      </c>
      <c r="AE11" s="432" t="str">
        <f t="shared" si="14"/>
        <v xml:space="preserve">-    </v>
      </c>
      <c r="AF11" s="434" t="s">
        <v>979</v>
      </c>
      <c r="AG11" s="26">
        <f>VLOOKUP(AF11,'TB - Revenue Data'!$B$5:$H$101,3,FALSE)</f>
        <v>0</v>
      </c>
      <c r="AH11" s="26">
        <f t="shared" si="15"/>
        <v>0</v>
      </c>
      <c r="AI11" s="26">
        <f>VLOOKUP(AF11,'TB - Revenue Data'!$B$5:$H$101,7,FALSE)*-1</f>
        <v>0</v>
      </c>
      <c r="AJ11" s="433">
        <f t="shared" si="16"/>
        <v>0</v>
      </c>
      <c r="AK11" s="432" t="str">
        <f t="shared" si="17"/>
        <v xml:space="preserve">-    </v>
      </c>
      <c r="AL11" s="26">
        <f t="shared" si="18"/>
        <v>0</v>
      </c>
      <c r="AM11" s="26">
        <f t="shared" si="19"/>
        <v>0</v>
      </c>
      <c r="AN11" s="26">
        <f t="shared" si="20"/>
        <v>0</v>
      </c>
      <c r="AO11" s="433">
        <f t="shared" si="21"/>
        <v>0</v>
      </c>
      <c r="AP11" s="432" t="str">
        <f t="shared" si="22"/>
        <v xml:space="preserve">-    </v>
      </c>
    </row>
    <row r="12" spans="1:42" s="429" customFormat="1" ht="15.75" collapsed="1" x14ac:dyDescent="0.25">
      <c r="A12" s="44" t="s">
        <v>4</v>
      </c>
      <c r="B12" s="434" t="s">
        <v>850</v>
      </c>
      <c r="C12" s="26">
        <f>VLOOKUP(B12,'TB - Revenue Data'!$B$5:$H$101,3,FALSE)</f>
        <v>1042548</v>
      </c>
      <c r="D12" s="26">
        <f t="shared" si="0"/>
        <v>521274</v>
      </c>
      <c r="E12" s="26">
        <f>VLOOKUP(B12,'TB - Revenue Data'!$B$5:$H$101,7,FALSE)*-1</f>
        <v>552093.09</v>
      </c>
      <c r="F12" s="433">
        <f t="shared" si="1"/>
        <v>30819.089999999967</v>
      </c>
      <c r="G12" s="432">
        <f t="shared" si="2"/>
        <v>5.9122630324934616E-2</v>
      </c>
      <c r="H12" s="434" t="s">
        <v>979</v>
      </c>
      <c r="I12" s="26">
        <f>VLOOKUP(H12,'TB - Revenue Data'!$B$5:$H$101,3,FALSE)</f>
        <v>0</v>
      </c>
      <c r="J12" s="26">
        <f t="shared" si="3"/>
        <v>0</v>
      </c>
      <c r="K12" s="26">
        <f>VLOOKUP(H12,'TB - Revenue Data'!$B$5:$H$101,7,FALSE)*-1</f>
        <v>0</v>
      </c>
      <c r="L12" s="433">
        <f t="shared" si="4"/>
        <v>0</v>
      </c>
      <c r="M12" s="432" t="str">
        <f t="shared" si="5"/>
        <v xml:space="preserve">-    </v>
      </c>
      <c r="N12" s="434" t="s">
        <v>896</v>
      </c>
      <c r="O12" s="26">
        <f>VLOOKUP(N12,'TB - Revenue Data'!$B$5:$H$101,3,FALSE)</f>
        <v>0</v>
      </c>
      <c r="P12" s="26">
        <f t="shared" si="6"/>
        <v>0</v>
      </c>
      <c r="Q12" s="26">
        <f>VLOOKUP(N12,'TB - Revenue Data'!$B$5:$H$101,7,FALSE)*-1</f>
        <v>0</v>
      </c>
      <c r="R12" s="433">
        <f t="shared" si="7"/>
        <v>0</v>
      </c>
      <c r="S12" s="432" t="str">
        <f t="shared" si="8"/>
        <v xml:space="preserve">-    </v>
      </c>
      <c r="T12" s="434" t="s">
        <v>979</v>
      </c>
      <c r="U12" s="26">
        <f>VLOOKUP(T12,'TB - Revenue Data'!$B$5:$H$101,3,FALSE)</f>
        <v>0</v>
      </c>
      <c r="V12" s="26">
        <f t="shared" si="9"/>
        <v>0</v>
      </c>
      <c r="W12" s="26">
        <f>VLOOKUP(T12,'TB - Revenue Data'!$B$5:$H$101,7,FALSE)*-1</f>
        <v>0</v>
      </c>
      <c r="X12" s="433">
        <f t="shared" si="10"/>
        <v>0</v>
      </c>
      <c r="Y12" s="432" t="str">
        <f t="shared" si="11"/>
        <v xml:space="preserve">-    </v>
      </c>
      <c r="Z12" s="434" t="s">
        <v>979</v>
      </c>
      <c r="AA12" s="26">
        <f>VLOOKUP(Z12,'TB - Revenue Data'!$B$5:$H$101,3,FALSE)</f>
        <v>0</v>
      </c>
      <c r="AB12" s="26">
        <f t="shared" si="12"/>
        <v>0</v>
      </c>
      <c r="AC12" s="26">
        <f>VLOOKUP(Z12,'TB - Revenue Data'!$B$5:$H$101,7,FALSE)*-1</f>
        <v>0</v>
      </c>
      <c r="AD12" s="433">
        <f t="shared" si="13"/>
        <v>0</v>
      </c>
      <c r="AE12" s="432" t="str">
        <f t="shared" si="14"/>
        <v xml:space="preserve">-    </v>
      </c>
      <c r="AF12" s="434" t="s">
        <v>979</v>
      </c>
      <c r="AG12" s="26">
        <f>VLOOKUP(AF12,'TB - Revenue Data'!$B$5:$H$101,3,FALSE)</f>
        <v>0</v>
      </c>
      <c r="AH12" s="26">
        <f t="shared" si="15"/>
        <v>0</v>
      </c>
      <c r="AI12" s="26">
        <f>VLOOKUP(AF12,'TB - Revenue Data'!$B$5:$H$101,7,FALSE)*-1</f>
        <v>0</v>
      </c>
      <c r="AJ12" s="433">
        <f t="shared" si="16"/>
        <v>0</v>
      </c>
      <c r="AK12" s="432" t="str">
        <f t="shared" si="17"/>
        <v xml:space="preserve">-    </v>
      </c>
      <c r="AL12" s="26">
        <f t="shared" si="18"/>
        <v>1042548</v>
      </c>
      <c r="AM12" s="26">
        <f t="shared" si="19"/>
        <v>521274</v>
      </c>
      <c r="AN12" s="26">
        <f t="shared" si="20"/>
        <v>552093.09</v>
      </c>
      <c r="AO12" s="433">
        <f t="shared" si="21"/>
        <v>30819.089999999967</v>
      </c>
      <c r="AP12" s="432">
        <f t="shared" si="22"/>
        <v>5.9122630324934616E-2</v>
      </c>
    </row>
    <row r="13" spans="1:42" s="429" customFormat="1" ht="15.75" x14ac:dyDescent="0.25">
      <c r="A13" s="44" t="s">
        <v>5</v>
      </c>
      <c r="B13" s="434" t="s">
        <v>851</v>
      </c>
      <c r="C13" s="26">
        <f>VLOOKUP(B13,'TB - Revenue Data'!$B$5:$H$101,3,FALSE)</f>
        <v>33122</v>
      </c>
      <c r="D13" s="26">
        <f t="shared" si="0"/>
        <v>16561</v>
      </c>
      <c r="E13" s="26">
        <f>VLOOKUP(B13,'TB - Revenue Data'!$B$5:$H$101,7,FALSE)*-1</f>
        <v>24719.05</v>
      </c>
      <c r="F13" s="433">
        <f t="shared" si="1"/>
        <v>8158.0499999999993</v>
      </c>
      <c r="G13" s="432">
        <f t="shared" si="2"/>
        <v>0.49260612281867033</v>
      </c>
      <c r="H13" s="434" t="s">
        <v>979</v>
      </c>
      <c r="I13" s="26">
        <f>VLOOKUP(H13,'TB - Revenue Data'!$B$5:$H$101,3,FALSE)</f>
        <v>0</v>
      </c>
      <c r="J13" s="26">
        <f t="shared" si="3"/>
        <v>0</v>
      </c>
      <c r="K13" s="26">
        <f>VLOOKUP(H13,'TB - Revenue Data'!$B$5:$H$101,7,FALSE)*-1</f>
        <v>0</v>
      </c>
      <c r="L13" s="433">
        <f t="shared" si="4"/>
        <v>0</v>
      </c>
      <c r="M13" s="432" t="str">
        <f t="shared" si="5"/>
        <v xml:space="preserve">-    </v>
      </c>
      <c r="N13" s="434" t="s">
        <v>897</v>
      </c>
      <c r="O13" s="26">
        <f>VLOOKUP(N13,'TB - Revenue Data'!$B$5:$H$101,3,FALSE)</f>
        <v>0</v>
      </c>
      <c r="P13" s="26">
        <f t="shared" si="6"/>
        <v>0</v>
      </c>
      <c r="Q13" s="26">
        <f>VLOOKUP(N13,'TB - Revenue Data'!$B$5:$H$101,7,FALSE)*-1</f>
        <v>0</v>
      </c>
      <c r="R13" s="433">
        <f t="shared" si="7"/>
        <v>0</v>
      </c>
      <c r="S13" s="432" t="str">
        <f t="shared" si="8"/>
        <v xml:space="preserve">-    </v>
      </c>
      <c r="T13" s="434" t="s">
        <v>979</v>
      </c>
      <c r="U13" s="26">
        <f>VLOOKUP(T13,'TB - Revenue Data'!$B$5:$H$101,3,FALSE)</f>
        <v>0</v>
      </c>
      <c r="V13" s="26">
        <f t="shared" si="9"/>
        <v>0</v>
      </c>
      <c r="W13" s="26">
        <f>VLOOKUP(T13,'TB - Revenue Data'!$B$5:$H$101,7,FALSE)*-1</f>
        <v>0</v>
      </c>
      <c r="X13" s="433">
        <f t="shared" si="10"/>
        <v>0</v>
      </c>
      <c r="Y13" s="432" t="str">
        <f t="shared" si="11"/>
        <v xml:space="preserve">-    </v>
      </c>
      <c r="Z13" s="434" t="s">
        <v>979</v>
      </c>
      <c r="AA13" s="26">
        <f>VLOOKUP(Z13,'TB - Revenue Data'!$B$5:$H$101,3,FALSE)</f>
        <v>0</v>
      </c>
      <c r="AB13" s="26">
        <f t="shared" si="12"/>
        <v>0</v>
      </c>
      <c r="AC13" s="26">
        <f>VLOOKUP(Z13,'TB - Revenue Data'!$B$5:$H$101,7,FALSE)*-1</f>
        <v>0</v>
      </c>
      <c r="AD13" s="433">
        <f t="shared" si="13"/>
        <v>0</v>
      </c>
      <c r="AE13" s="432" t="str">
        <f t="shared" si="14"/>
        <v xml:space="preserve">-    </v>
      </c>
      <c r="AF13" s="434" t="s">
        <v>979</v>
      </c>
      <c r="AG13" s="26">
        <f>VLOOKUP(AF13,'TB - Revenue Data'!$B$5:$H$101,3,FALSE)</f>
        <v>0</v>
      </c>
      <c r="AH13" s="26">
        <f t="shared" si="15"/>
        <v>0</v>
      </c>
      <c r="AI13" s="26">
        <f>VLOOKUP(AF13,'TB - Revenue Data'!$B$5:$H$101,7,FALSE)*-1</f>
        <v>0</v>
      </c>
      <c r="AJ13" s="433">
        <f t="shared" si="16"/>
        <v>0</v>
      </c>
      <c r="AK13" s="432" t="str">
        <f t="shared" si="17"/>
        <v xml:space="preserve">-    </v>
      </c>
      <c r="AL13" s="26">
        <f t="shared" si="18"/>
        <v>33122</v>
      </c>
      <c r="AM13" s="26">
        <f t="shared" si="19"/>
        <v>16561</v>
      </c>
      <c r="AN13" s="26">
        <f t="shared" si="20"/>
        <v>24719.05</v>
      </c>
      <c r="AO13" s="433">
        <f t="shared" si="21"/>
        <v>8158.0499999999993</v>
      </c>
      <c r="AP13" s="432">
        <f t="shared" si="22"/>
        <v>0.49260612281867033</v>
      </c>
    </row>
    <row r="14" spans="1:42" s="429" customFormat="1" ht="15.75" x14ac:dyDescent="0.25">
      <c r="A14" s="44" t="s">
        <v>6</v>
      </c>
      <c r="B14" s="434" t="s">
        <v>853</v>
      </c>
      <c r="C14" s="26">
        <f>VLOOKUP(B14,'TB - Revenue Data'!$B$5:$H$101,3,FALSE)</f>
        <v>87171</v>
      </c>
      <c r="D14" s="26">
        <f t="shared" si="0"/>
        <v>43585.5</v>
      </c>
      <c r="E14" s="26">
        <f>VLOOKUP(B14,'TB - Revenue Data'!$B$5:$H$101,7,FALSE)*-1</f>
        <v>43857.36</v>
      </c>
      <c r="F14" s="433">
        <f t="shared" si="1"/>
        <v>271.86000000000058</v>
      </c>
      <c r="G14" s="432">
        <f t="shared" si="2"/>
        <v>6.2373954640878408E-3</v>
      </c>
      <c r="H14" s="434" t="s">
        <v>979</v>
      </c>
      <c r="I14" s="26">
        <f>VLOOKUP(H14,'TB - Revenue Data'!$B$5:$H$101,3,FALSE)</f>
        <v>0</v>
      </c>
      <c r="J14" s="26">
        <f t="shared" si="3"/>
        <v>0</v>
      </c>
      <c r="K14" s="26">
        <f>VLOOKUP(H14,'TB - Revenue Data'!$B$5:$H$101,7,FALSE)*-1</f>
        <v>0</v>
      </c>
      <c r="L14" s="433">
        <f t="shared" si="4"/>
        <v>0</v>
      </c>
      <c r="M14" s="432" t="str">
        <f t="shared" si="5"/>
        <v xml:space="preserve">-    </v>
      </c>
      <c r="N14" s="434" t="s">
        <v>899</v>
      </c>
      <c r="O14" s="26">
        <f>VLOOKUP(N14,'TB - Revenue Data'!$B$5:$H$101,3,FALSE)</f>
        <v>141964</v>
      </c>
      <c r="P14" s="26">
        <f t="shared" si="6"/>
        <v>70982</v>
      </c>
      <c r="Q14" s="26">
        <f>VLOOKUP(N14,'TB - Revenue Data'!$B$5:$H$101,7,FALSE)*-1</f>
        <v>58139.81</v>
      </c>
      <c r="R14" s="433">
        <f t="shared" si="7"/>
        <v>-12842.190000000002</v>
      </c>
      <c r="S14" s="432">
        <f t="shared" si="8"/>
        <v>-0.18092178298723624</v>
      </c>
      <c r="T14" s="434" t="s">
        <v>979</v>
      </c>
      <c r="U14" s="26">
        <f>VLOOKUP(T14,'TB - Revenue Data'!$B$5:$H$101,3,FALSE)</f>
        <v>0</v>
      </c>
      <c r="V14" s="26">
        <f t="shared" si="9"/>
        <v>0</v>
      </c>
      <c r="W14" s="26">
        <f>VLOOKUP(T14,'TB - Revenue Data'!$B$5:$H$101,7,FALSE)*-1</f>
        <v>0</v>
      </c>
      <c r="X14" s="433">
        <f t="shared" si="10"/>
        <v>0</v>
      </c>
      <c r="Y14" s="432" t="str">
        <f t="shared" si="11"/>
        <v xml:space="preserve">-    </v>
      </c>
      <c r="Z14" s="434" t="s">
        <v>979</v>
      </c>
      <c r="AA14" s="26">
        <f>VLOOKUP(Z14,'TB - Revenue Data'!$B$5:$H$101,3,FALSE)</f>
        <v>0</v>
      </c>
      <c r="AB14" s="26">
        <f t="shared" si="12"/>
        <v>0</v>
      </c>
      <c r="AC14" s="26">
        <f>VLOOKUP(Z14,'TB - Revenue Data'!$B$5:$H$101,7,FALSE)*-1</f>
        <v>0</v>
      </c>
      <c r="AD14" s="433">
        <f t="shared" si="13"/>
        <v>0</v>
      </c>
      <c r="AE14" s="432" t="str">
        <f t="shared" si="14"/>
        <v xml:space="preserve">-    </v>
      </c>
      <c r="AF14" s="434" t="s">
        <v>979</v>
      </c>
      <c r="AG14" s="26">
        <f>VLOOKUP(AF14,'TB - Revenue Data'!$B$5:$H$101,3,FALSE)</f>
        <v>0</v>
      </c>
      <c r="AH14" s="26">
        <f t="shared" si="15"/>
        <v>0</v>
      </c>
      <c r="AI14" s="26">
        <f>VLOOKUP(AF14,'TB - Revenue Data'!$B$5:$H$101,7,FALSE)*-1</f>
        <v>0</v>
      </c>
      <c r="AJ14" s="433">
        <f t="shared" si="16"/>
        <v>0</v>
      </c>
      <c r="AK14" s="432" t="str">
        <f t="shared" si="17"/>
        <v xml:space="preserve">-    </v>
      </c>
      <c r="AL14" s="26">
        <f t="shared" si="18"/>
        <v>229135</v>
      </c>
      <c r="AM14" s="26">
        <f t="shared" si="19"/>
        <v>114567.5</v>
      </c>
      <c r="AN14" s="26">
        <f t="shared" si="20"/>
        <v>101997.17</v>
      </c>
      <c r="AO14" s="433">
        <f t="shared" si="21"/>
        <v>-12570.330000000002</v>
      </c>
      <c r="AP14" s="432">
        <f t="shared" si="22"/>
        <v>-0.10971985947149063</v>
      </c>
    </row>
    <row r="15" spans="1:42" s="429" customFormat="1" ht="15.75" x14ac:dyDescent="0.25">
      <c r="A15" s="44" t="s">
        <v>188</v>
      </c>
      <c r="B15" s="434" t="s">
        <v>979</v>
      </c>
      <c r="C15" s="26">
        <f>VLOOKUP(B15,'TB - Revenue Data'!$B$5:$H$101,3,FALSE)</f>
        <v>0</v>
      </c>
      <c r="D15" s="26">
        <f t="shared" si="0"/>
        <v>0</v>
      </c>
      <c r="E15" s="26">
        <f>VLOOKUP(B15,'TB - Revenue Data'!$B$5:$H$101,7,FALSE)*-1</f>
        <v>0</v>
      </c>
      <c r="F15" s="433">
        <f t="shared" si="1"/>
        <v>0</v>
      </c>
      <c r="G15" s="432" t="str">
        <f t="shared" si="2"/>
        <v xml:space="preserve">-    </v>
      </c>
      <c r="H15" s="434" t="s">
        <v>979</v>
      </c>
      <c r="I15" s="26">
        <f>VLOOKUP(H15,'TB - Revenue Data'!$B$5:$H$101,3,FALSE)</f>
        <v>0</v>
      </c>
      <c r="J15" s="26">
        <f t="shared" si="3"/>
        <v>0</v>
      </c>
      <c r="K15" s="26">
        <f>VLOOKUP(H15,'TB - Revenue Data'!$B$5:$H$101,7,FALSE)*-1</f>
        <v>0</v>
      </c>
      <c r="L15" s="433">
        <f t="shared" si="4"/>
        <v>0</v>
      </c>
      <c r="M15" s="432" t="str">
        <f t="shared" si="5"/>
        <v xml:space="preserve">-    </v>
      </c>
      <c r="N15" s="434" t="s">
        <v>903</v>
      </c>
      <c r="O15" s="26">
        <f>VLOOKUP(N15,'TB - Revenue Data'!$B$5:$H$101,3,FALSE)</f>
        <v>1006500</v>
      </c>
      <c r="P15" s="26">
        <f t="shared" si="6"/>
        <v>503250</v>
      </c>
      <c r="Q15" s="26">
        <f>VLOOKUP(N15,'TB - Revenue Data'!$B$5:$H$101,7,FALSE)*-1</f>
        <v>959975.36</v>
      </c>
      <c r="R15" s="433">
        <f t="shared" si="7"/>
        <v>456725.36</v>
      </c>
      <c r="S15" s="432">
        <f t="shared" si="8"/>
        <v>0.9075516343765524</v>
      </c>
      <c r="T15" s="434" t="s">
        <v>979</v>
      </c>
      <c r="U15" s="26">
        <f>VLOOKUP(T15,'TB - Revenue Data'!$B$5:$H$101,3,FALSE)</f>
        <v>0</v>
      </c>
      <c r="V15" s="26">
        <f t="shared" si="9"/>
        <v>0</v>
      </c>
      <c r="W15" s="26">
        <f>VLOOKUP(T15,'TB - Revenue Data'!$B$5:$H$101,7,FALSE)*-1</f>
        <v>0</v>
      </c>
      <c r="X15" s="433">
        <f t="shared" si="10"/>
        <v>0</v>
      </c>
      <c r="Y15" s="432" t="str">
        <f t="shared" si="11"/>
        <v xml:space="preserve">-    </v>
      </c>
      <c r="Z15" s="434" t="s">
        <v>979</v>
      </c>
      <c r="AA15" s="26">
        <f>VLOOKUP(Z15,'TB - Revenue Data'!$B$5:$H$101,3,FALSE)</f>
        <v>0</v>
      </c>
      <c r="AB15" s="26">
        <f t="shared" si="12"/>
        <v>0</v>
      </c>
      <c r="AC15" s="26">
        <f>VLOOKUP(Z15,'TB - Revenue Data'!$B$5:$H$101,7,FALSE)*-1</f>
        <v>0</v>
      </c>
      <c r="AD15" s="433">
        <f t="shared" si="13"/>
        <v>0</v>
      </c>
      <c r="AE15" s="432" t="str">
        <f t="shared" si="14"/>
        <v xml:space="preserve">-    </v>
      </c>
      <c r="AF15" s="434" t="s">
        <v>979</v>
      </c>
      <c r="AG15" s="26">
        <f>VLOOKUP(AF15,'TB - Revenue Data'!$B$5:$H$101,3,FALSE)</f>
        <v>0</v>
      </c>
      <c r="AH15" s="26">
        <f t="shared" si="15"/>
        <v>0</v>
      </c>
      <c r="AI15" s="26">
        <f>VLOOKUP(AF15,'TB - Revenue Data'!$B$5:$H$101,7,FALSE)*-1</f>
        <v>0</v>
      </c>
      <c r="AJ15" s="433">
        <f t="shared" si="16"/>
        <v>0</v>
      </c>
      <c r="AK15" s="432" t="str">
        <f t="shared" si="17"/>
        <v xml:space="preserve">-    </v>
      </c>
      <c r="AL15" s="26">
        <f t="shared" si="18"/>
        <v>1006500</v>
      </c>
      <c r="AM15" s="26">
        <f t="shared" si="19"/>
        <v>503250</v>
      </c>
      <c r="AN15" s="26">
        <f t="shared" si="20"/>
        <v>959975.36</v>
      </c>
      <c r="AO15" s="433">
        <f t="shared" si="21"/>
        <v>456725.36</v>
      </c>
      <c r="AP15" s="432">
        <f t="shared" si="22"/>
        <v>0.9075516343765524</v>
      </c>
    </row>
    <row r="16" spans="1:42" s="429" customFormat="1" ht="15.75" x14ac:dyDescent="0.25">
      <c r="A16" s="44" t="s">
        <v>7</v>
      </c>
      <c r="B16" s="434" t="s">
        <v>859</v>
      </c>
      <c r="C16" s="26">
        <f>VLOOKUP(B16,'TB - Revenue Data'!$B$5:$H$101,3,FALSE)</f>
        <v>25000</v>
      </c>
      <c r="D16" s="26">
        <f t="shared" si="0"/>
        <v>12500</v>
      </c>
      <c r="E16" s="26">
        <f>VLOOKUP(B16,'TB - Revenue Data'!$B$5:$H$101,7,FALSE)*-1</f>
        <v>10858.59</v>
      </c>
      <c r="F16" s="433">
        <f t="shared" si="1"/>
        <v>-1641.4099999999999</v>
      </c>
      <c r="G16" s="432">
        <f t="shared" si="2"/>
        <v>-0.13131279999999998</v>
      </c>
      <c r="H16" s="434" t="s">
        <v>882</v>
      </c>
      <c r="I16" s="26">
        <f>VLOOKUP(H16,'TB - Revenue Data'!$B$5:$H$101,3,FALSE)</f>
        <v>0</v>
      </c>
      <c r="J16" s="26">
        <f t="shared" si="3"/>
        <v>0</v>
      </c>
      <c r="K16" s="26">
        <f>VLOOKUP(H16,'TB - Revenue Data'!$B$5:$H$101,7,FALSE)*-1</f>
        <v>0</v>
      </c>
      <c r="L16" s="433">
        <f t="shared" si="4"/>
        <v>0</v>
      </c>
      <c r="M16" s="432" t="str">
        <f t="shared" si="5"/>
        <v xml:space="preserve">-    </v>
      </c>
      <c r="N16" s="434" t="s">
        <v>907</v>
      </c>
      <c r="O16" s="26">
        <f>VLOOKUP(N16,'TB - Revenue Data'!$B$5:$H$101,3,FALSE)</f>
        <v>17370</v>
      </c>
      <c r="P16" s="26">
        <f t="shared" si="6"/>
        <v>8685</v>
      </c>
      <c r="Q16" s="26">
        <f>VLOOKUP(N16,'TB - Revenue Data'!$B$5:$H$101,7,FALSE)*-1</f>
        <v>24039.66</v>
      </c>
      <c r="R16" s="433">
        <f t="shared" si="7"/>
        <v>15354.66</v>
      </c>
      <c r="S16" s="432">
        <f t="shared" si="8"/>
        <v>1.7679516407599309</v>
      </c>
      <c r="T16" s="434" t="s">
        <v>925</v>
      </c>
      <c r="U16" s="26">
        <f>VLOOKUP(T16,'TB - Revenue Data'!$B$5:$H$101,3,FALSE)</f>
        <v>0</v>
      </c>
      <c r="V16" s="26">
        <f t="shared" si="9"/>
        <v>0</v>
      </c>
      <c r="W16" s="26">
        <f>VLOOKUP(T16,'TB - Revenue Data'!$B$5:$H$101,7,FALSE)*-1</f>
        <v>0</v>
      </c>
      <c r="X16" s="433">
        <f t="shared" si="10"/>
        <v>0</v>
      </c>
      <c r="Y16" s="432" t="str">
        <f t="shared" si="11"/>
        <v xml:space="preserve">-    </v>
      </c>
      <c r="Z16" s="434" t="s">
        <v>979</v>
      </c>
      <c r="AA16" s="26">
        <f>VLOOKUP(Z16,'TB - Revenue Data'!$B$5:$H$101,3,FALSE)</f>
        <v>0</v>
      </c>
      <c r="AB16" s="26">
        <f t="shared" si="12"/>
        <v>0</v>
      </c>
      <c r="AC16" s="26">
        <f>VLOOKUP(Z16,'TB - Revenue Data'!$B$5:$H$101,7,FALSE)*-1</f>
        <v>0</v>
      </c>
      <c r="AD16" s="433">
        <f t="shared" si="13"/>
        <v>0</v>
      </c>
      <c r="AE16" s="432" t="str">
        <f t="shared" si="14"/>
        <v xml:space="preserve">-    </v>
      </c>
      <c r="AF16" s="434" t="s">
        <v>979</v>
      </c>
      <c r="AG16" s="26">
        <f>VLOOKUP(AF16,'TB - Revenue Data'!$B$5:$H$101,3,FALSE)</f>
        <v>0</v>
      </c>
      <c r="AH16" s="26">
        <f t="shared" si="15"/>
        <v>0</v>
      </c>
      <c r="AI16" s="26">
        <f>VLOOKUP(AF16,'TB - Revenue Data'!$B$5:$H$101,7,FALSE)*-1</f>
        <v>0</v>
      </c>
      <c r="AJ16" s="433">
        <f t="shared" si="16"/>
        <v>0</v>
      </c>
      <c r="AK16" s="432" t="str">
        <f t="shared" si="17"/>
        <v xml:space="preserve">-    </v>
      </c>
      <c r="AL16" s="26">
        <f t="shared" si="18"/>
        <v>42370</v>
      </c>
      <c r="AM16" s="26">
        <f t="shared" si="19"/>
        <v>21185</v>
      </c>
      <c r="AN16" s="26">
        <f t="shared" si="20"/>
        <v>34898.25</v>
      </c>
      <c r="AO16" s="433">
        <f t="shared" si="21"/>
        <v>13713.25</v>
      </c>
      <c r="AP16" s="432">
        <f t="shared" si="22"/>
        <v>0.64730941704035871</v>
      </c>
    </row>
    <row r="17" spans="1:42" s="429" customFormat="1" ht="15.75" x14ac:dyDescent="0.25">
      <c r="A17" s="44" t="s">
        <v>8</v>
      </c>
      <c r="B17" s="430" t="s">
        <v>856</v>
      </c>
      <c r="C17" s="26">
        <f>VLOOKUP(B17,'TB - Revenue Data'!$B$5:$H$101,3,FALSE)</f>
        <v>16605</v>
      </c>
      <c r="D17" s="26">
        <f t="shared" si="0"/>
        <v>8302.5</v>
      </c>
      <c r="E17" s="26">
        <f>VLOOKUP(B17,'TB - Revenue Data'!$B$5:$H$101,7,FALSE)*-1</f>
        <v>0</v>
      </c>
      <c r="F17" s="433">
        <f t="shared" si="1"/>
        <v>-8302.5</v>
      </c>
      <c r="G17" s="432">
        <f t="shared" si="2"/>
        <v>-1</v>
      </c>
      <c r="H17" s="434" t="s">
        <v>979</v>
      </c>
      <c r="I17" s="26">
        <f>VLOOKUP(H17,'TB - Revenue Data'!$B$5:$H$101,3,FALSE)</f>
        <v>0</v>
      </c>
      <c r="J17" s="26">
        <f t="shared" si="3"/>
        <v>0</v>
      </c>
      <c r="K17" s="26">
        <f>VLOOKUP(H17,'TB - Revenue Data'!$B$5:$H$101,7,FALSE)*-1</f>
        <v>0</v>
      </c>
      <c r="L17" s="433">
        <f t="shared" si="4"/>
        <v>0</v>
      </c>
      <c r="M17" s="432" t="str">
        <f t="shared" si="5"/>
        <v xml:space="preserve">-    </v>
      </c>
      <c r="N17" s="434" t="s">
        <v>902</v>
      </c>
      <c r="O17" s="26">
        <f>VLOOKUP(N17,'TB - Revenue Data'!$B$5:$H$101,3,FALSE)</f>
        <v>12300</v>
      </c>
      <c r="P17" s="26">
        <f t="shared" si="6"/>
        <v>6150</v>
      </c>
      <c r="Q17" s="26">
        <f>VLOOKUP(N17,'TB - Revenue Data'!$B$5:$H$101,7,FALSE)*-1</f>
        <v>1605</v>
      </c>
      <c r="R17" s="433">
        <f t="shared" ref="R17:R25" si="23">Q17-P17</f>
        <v>-4545</v>
      </c>
      <c r="S17" s="432">
        <f t="shared" ref="S17:S25" si="24">IF(AND(P17&lt;&gt;0,R17&lt;&gt;0,ISNUMBER(P17),ISNUMBER(R17)),R17/P17,"-    ")</f>
        <v>-0.73902439024390243</v>
      </c>
      <c r="T17" s="434" t="s">
        <v>979</v>
      </c>
      <c r="U17" s="26">
        <f>VLOOKUP(T17,'TB - Revenue Data'!$B$5:$H$101,3,FALSE)</f>
        <v>0</v>
      </c>
      <c r="V17" s="26">
        <f t="shared" si="9"/>
        <v>0</v>
      </c>
      <c r="W17" s="26">
        <f>VLOOKUP(T17,'TB - Revenue Data'!$B$5:$H$101,7,FALSE)*-1</f>
        <v>0</v>
      </c>
      <c r="X17" s="433">
        <f t="shared" si="10"/>
        <v>0</v>
      </c>
      <c r="Y17" s="432" t="str">
        <f t="shared" si="11"/>
        <v xml:space="preserve">-    </v>
      </c>
      <c r="Z17" s="434" t="s">
        <v>979</v>
      </c>
      <c r="AA17" s="26">
        <f>VLOOKUP(Z17,'TB - Revenue Data'!$B$5:$H$101,3,FALSE)</f>
        <v>0</v>
      </c>
      <c r="AB17" s="26">
        <f t="shared" si="12"/>
        <v>0</v>
      </c>
      <c r="AC17" s="26">
        <f>VLOOKUP(Z17,'TB - Revenue Data'!$B$5:$H$101,7,FALSE)*-1</f>
        <v>0</v>
      </c>
      <c r="AD17" s="433">
        <f t="shared" si="13"/>
        <v>0</v>
      </c>
      <c r="AE17" s="432" t="str">
        <f t="shared" si="14"/>
        <v xml:space="preserve">-    </v>
      </c>
      <c r="AF17" s="434" t="s">
        <v>979</v>
      </c>
      <c r="AG17" s="26">
        <f>VLOOKUP(AF17,'TB - Revenue Data'!$B$5:$H$101,3,FALSE)</f>
        <v>0</v>
      </c>
      <c r="AH17" s="26">
        <f t="shared" si="15"/>
        <v>0</v>
      </c>
      <c r="AI17" s="26">
        <f>VLOOKUP(AF17,'TB - Revenue Data'!$B$5:$H$101,7,FALSE)*-1</f>
        <v>0</v>
      </c>
      <c r="AJ17" s="433">
        <f t="shared" si="16"/>
        <v>0</v>
      </c>
      <c r="AK17" s="432" t="str">
        <f t="shared" si="17"/>
        <v xml:space="preserve">-    </v>
      </c>
      <c r="AL17" s="26">
        <f t="shared" si="18"/>
        <v>28905</v>
      </c>
      <c r="AM17" s="26">
        <f t="shared" si="19"/>
        <v>14452.5</v>
      </c>
      <c r="AN17" s="26">
        <f t="shared" si="20"/>
        <v>1605</v>
      </c>
      <c r="AO17" s="433">
        <f t="shared" si="21"/>
        <v>-12847.5</v>
      </c>
      <c r="AP17" s="432">
        <f t="shared" si="22"/>
        <v>-0.88894654903995851</v>
      </c>
    </row>
    <row r="18" spans="1:42" s="429" customFormat="1" ht="15.75" x14ac:dyDescent="0.25">
      <c r="A18" s="44" t="s">
        <v>9</v>
      </c>
      <c r="B18" s="434" t="s">
        <v>979</v>
      </c>
      <c r="C18" s="26">
        <f>VLOOKUP(B18,'TB - Revenue Data'!$B$5:$H$101,3,FALSE)</f>
        <v>0</v>
      </c>
      <c r="D18" s="26">
        <f t="shared" si="0"/>
        <v>0</v>
      </c>
      <c r="E18" s="26">
        <f>VLOOKUP(B18,'TB - Revenue Data'!$B$5:$H$101,7,FALSE)*-1</f>
        <v>0</v>
      </c>
      <c r="F18" s="433">
        <f t="shared" si="1"/>
        <v>0</v>
      </c>
      <c r="G18" s="432" t="str">
        <f t="shared" si="2"/>
        <v xml:space="preserve">-    </v>
      </c>
      <c r="H18" s="434" t="s">
        <v>979</v>
      </c>
      <c r="I18" s="26">
        <f>VLOOKUP(H18,'TB - Revenue Data'!$B$5:$H$101,3,FALSE)</f>
        <v>0</v>
      </c>
      <c r="J18" s="26">
        <f t="shared" si="3"/>
        <v>0</v>
      </c>
      <c r="K18" s="26">
        <f>VLOOKUP(H18,'TB - Revenue Data'!$B$5:$H$101,7,FALSE)*-1</f>
        <v>0</v>
      </c>
      <c r="L18" s="433">
        <f t="shared" si="4"/>
        <v>0</v>
      </c>
      <c r="M18" s="432" t="str">
        <f t="shared" si="5"/>
        <v xml:space="preserve">-    </v>
      </c>
      <c r="N18" s="434" t="s">
        <v>904</v>
      </c>
      <c r="O18" s="26">
        <f>VLOOKUP(N18,'TB - Revenue Data'!$B$5:$H$101,3,FALSE)</f>
        <v>967270</v>
      </c>
      <c r="P18" s="26">
        <f t="shared" si="6"/>
        <v>483635</v>
      </c>
      <c r="Q18" s="26">
        <f>VLOOKUP(N18,'TB - Revenue Data'!$B$5:$H$101,7,FALSE)*-1</f>
        <v>485566.75</v>
      </c>
      <c r="R18" s="433">
        <f t="shared" si="23"/>
        <v>1931.75</v>
      </c>
      <c r="S18" s="432">
        <f t="shared" si="24"/>
        <v>3.994231186742068E-3</v>
      </c>
      <c r="T18" s="434" t="s">
        <v>979</v>
      </c>
      <c r="U18" s="26">
        <f>VLOOKUP(T18,'TB - Revenue Data'!$B$5:$H$101,3,FALSE)</f>
        <v>0</v>
      </c>
      <c r="V18" s="26">
        <f t="shared" si="9"/>
        <v>0</v>
      </c>
      <c r="W18" s="26">
        <f>VLOOKUP(T18,'TB - Revenue Data'!$B$5:$H$101,7,FALSE)*-1</f>
        <v>0</v>
      </c>
      <c r="X18" s="433">
        <f t="shared" si="10"/>
        <v>0</v>
      </c>
      <c r="Y18" s="432" t="str">
        <f t="shared" si="11"/>
        <v xml:space="preserve">-    </v>
      </c>
      <c r="Z18" s="434" t="s">
        <v>979</v>
      </c>
      <c r="AA18" s="26">
        <f>VLOOKUP(Z18,'TB - Revenue Data'!$B$5:$H$101,3,FALSE)</f>
        <v>0</v>
      </c>
      <c r="AB18" s="26">
        <f t="shared" si="12"/>
        <v>0</v>
      </c>
      <c r="AC18" s="26">
        <f>VLOOKUP(Z18,'TB - Revenue Data'!$B$5:$H$101,7,FALSE)*-1</f>
        <v>0</v>
      </c>
      <c r="AD18" s="433">
        <f t="shared" si="13"/>
        <v>0</v>
      </c>
      <c r="AE18" s="432" t="str">
        <f t="shared" si="14"/>
        <v xml:space="preserve">-    </v>
      </c>
      <c r="AF18" s="434" t="s">
        <v>979</v>
      </c>
      <c r="AG18" s="26">
        <f>VLOOKUP(AF18,'TB - Revenue Data'!$B$5:$H$101,3,FALSE)</f>
        <v>0</v>
      </c>
      <c r="AH18" s="26">
        <f t="shared" si="15"/>
        <v>0</v>
      </c>
      <c r="AI18" s="26">
        <f>VLOOKUP(AF18,'TB - Revenue Data'!$B$5:$H$101,7,FALSE)*-1</f>
        <v>0</v>
      </c>
      <c r="AJ18" s="433">
        <f t="shared" si="16"/>
        <v>0</v>
      </c>
      <c r="AK18" s="432" t="str">
        <f t="shared" si="17"/>
        <v xml:space="preserve">-    </v>
      </c>
      <c r="AL18" s="26">
        <f t="shared" si="18"/>
        <v>967270</v>
      </c>
      <c r="AM18" s="26">
        <f t="shared" si="19"/>
        <v>483635</v>
      </c>
      <c r="AN18" s="26">
        <f t="shared" si="20"/>
        <v>485566.75</v>
      </c>
      <c r="AO18" s="433">
        <f t="shared" si="21"/>
        <v>1931.75</v>
      </c>
      <c r="AP18" s="432">
        <f t="shared" si="22"/>
        <v>3.994231186742068E-3</v>
      </c>
    </row>
    <row r="19" spans="1:42" s="429" customFormat="1" ht="15.75" x14ac:dyDescent="0.25">
      <c r="A19" s="44" t="s">
        <v>10</v>
      </c>
      <c r="B19" s="434" t="s">
        <v>857</v>
      </c>
      <c r="C19" s="26">
        <f>VLOOKUP(B19,'TB - Revenue Data'!$B$5:$H$101,3,FALSE)</f>
        <v>21117</v>
      </c>
      <c r="D19" s="26">
        <f t="shared" si="0"/>
        <v>10558.5</v>
      </c>
      <c r="E19" s="26">
        <f>VLOOKUP(B19,'TB - Revenue Data'!$B$5:$H$101,7,FALSE)*-1</f>
        <v>11810.55</v>
      </c>
      <c r="F19" s="433">
        <f t="shared" si="1"/>
        <v>1252.0499999999993</v>
      </c>
      <c r="G19" s="432">
        <f t="shared" si="2"/>
        <v>0.11858218496945581</v>
      </c>
      <c r="H19" s="434" t="s">
        <v>979</v>
      </c>
      <c r="I19" s="26">
        <f>VLOOKUP(H19,'TB - Revenue Data'!$B$5:$H$101,3,FALSE)</f>
        <v>0</v>
      </c>
      <c r="J19" s="26">
        <f t="shared" si="3"/>
        <v>0</v>
      </c>
      <c r="K19" s="26">
        <f>VLOOKUP(H19,'TB - Revenue Data'!$B$5:$H$101,7,FALSE)*-1</f>
        <v>0</v>
      </c>
      <c r="L19" s="433">
        <f t="shared" si="4"/>
        <v>0</v>
      </c>
      <c r="M19" s="432" t="str">
        <f t="shared" si="5"/>
        <v xml:space="preserve">-    </v>
      </c>
      <c r="N19" s="434" t="s">
        <v>900</v>
      </c>
      <c r="O19" s="26">
        <f>VLOOKUP(N19,'TB - Revenue Data'!$B$5:$H$101,3,FALSE)</f>
        <v>0</v>
      </c>
      <c r="P19" s="26">
        <f t="shared" si="6"/>
        <v>0</v>
      </c>
      <c r="Q19" s="26">
        <f>VLOOKUP(N19,'TB - Revenue Data'!$B$5:$H$101,7,FALSE)*-1</f>
        <v>0</v>
      </c>
      <c r="R19" s="433">
        <f t="shared" si="23"/>
        <v>0</v>
      </c>
      <c r="S19" s="432" t="str">
        <f t="shared" si="24"/>
        <v xml:space="preserve">-    </v>
      </c>
      <c r="T19" s="434" t="s">
        <v>979</v>
      </c>
      <c r="U19" s="26">
        <f>VLOOKUP(T19,'TB - Revenue Data'!$B$5:$H$101,3,FALSE)</f>
        <v>0</v>
      </c>
      <c r="V19" s="26">
        <f t="shared" si="9"/>
        <v>0</v>
      </c>
      <c r="W19" s="26">
        <f>VLOOKUP(T19,'TB - Revenue Data'!$B$5:$H$101,7,FALSE)*-1</f>
        <v>0</v>
      </c>
      <c r="X19" s="433">
        <f t="shared" si="10"/>
        <v>0</v>
      </c>
      <c r="Y19" s="432" t="str">
        <f t="shared" si="11"/>
        <v xml:space="preserve">-    </v>
      </c>
      <c r="Z19" s="434" t="s">
        <v>979</v>
      </c>
      <c r="AA19" s="26">
        <f>VLOOKUP(Z19,'TB - Revenue Data'!$B$5:$H$101,3,FALSE)</f>
        <v>0</v>
      </c>
      <c r="AB19" s="26">
        <f t="shared" si="12"/>
        <v>0</v>
      </c>
      <c r="AC19" s="26">
        <f>VLOOKUP(Z19,'TB - Revenue Data'!$B$5:$H$101,7,FALSE)*-1</f>
        <v>0</v>
      </c>
      <c r="AD19" s="433">
        <f t="shared" si="13"/>
        <v>0</v>
      </c>
      <c r="AE19" s="432" t="str">
        <f t="shared" si="14"/>
        <v xml:space="preserve">-    </v>
      </c>
      <c r="AF19" s="434" t="s">
        <v>979</v>
      </c>
      <c r="AG19" s="26">
        <f>VLOOKUP(AF19,'TB - Revenue Data'!$B$5:$H$101,3,FALSE)</f>
        <v>0</v>
      </c>
      <c r="AH19" s="26">
        <f t="shared" si="15"/>
        <v>0</v>
      </c>
      <c r="AI19" s="26">
        <f>VLOOKUP(AF19,'TB - Revenue Data'!$B$5:$H$101,7,FALSE)*-1</f>
        <v>0</v>
      </c>
      <c r="AJ19" s="433">
        <f t="shared" si="16"/>
        <v>0</v>
      </c>
      <c r="AK19" s="432" t="str">
        <f t="shared" si="17"/>
        <v xml:space="preserve">-    </v>
      </c>
      <c r="AL19" s="26">
        <f t="shared" si="18"/>
        <v>21117</v>
      </c>
      <c r="AM19" s="26">
        <f t="shared" si="19"/>
        <v>10558.5</v>
      </c>
      <c r="AN19" s="26">
        <f t="shared" si="20"/>
        <v>11810.55</v>
      </c>
      <c r="AO19" s="433">
        <f t="shared" si="21"/>
        <v>1252.0499999999993</v>
      </c>
      <c r="AP19" s="432">
        <f t="shared" si="22"/>
        <v>0.11858218496945581</v>
      </c>
    </row>
    <row r="20" spans="1:42" s="429" customFormat="1" ht="15.75" x14ac:dyDescent="0.25">
      <c r="A20" s="44" t="s">
        <v>16</v>
      </c>
      <c r="B20" s="434" t="s">
        <v>860</v>
      </c>
      <c r="C20" s="26">
        <f>VLOOKUP(B20,'TB - Revenue Data'!$B$5:$H$101,3,FALSE)</f>
        <v>3000</v>
      </c>
      <c r="D20" s="26">
        <f t="shared" si="0"/>
        <v>1500</v>
      </c>
      <c r="E20" s="26">
        <f>VLOOKUP(B20,'TB - Revenue Data'!$B$5:$H$101,7,FALSE)*-1</f>
        <v>1320</v>
      </c>
      <c r="F20" s="433">
        <f t="shared" si="1"/>
        <v>-180</v>
      </c>
      <c r="G20" s="432">
        <f t="shared" si="2"/>
        <v>-0.12</v>
      </c>
      <c r="H20" s="434" t="s">
        <v>883</v>
      </c>
      <c r="I20" s="26">
        <f>VLOOKUP(H20,'TB - Revenue Data'!$B$5:$H$101,3,FALSE)</f>
        <v>500</v>
      </c>
      <c r="J20" s="26">
        <f t="shared" si="3"/>
        <v>250</v>
      </c>
      <c r="K20" s="26">
        <f>VLOOKUP(H20,'TB - Revenue Data'!$B$5:$H$101,7,FALSE)*-1</f>
        <v>1320</v>
      </c>
      <c r="L20" s="433">
        <f t="shared" si="4"/>
        <v>1070</v>
      </c>
      <c r="M20" s="432">
        <f t="shared" si="5"/>
        <v>4.28</v>
      </c>
      <c r="N20" s="434" t="s">
        <v>908</v>
      </c>
      <c r="O20" s="26">
        <f>VLOOKUP(N20,'TB - Revenue Data'!$B$5:$H$101,3,FALSE)</f>
        <v>10000</v>
      </c>
      <c r="P20" s="26">
        <f t="shared" si="6"/>
        <v>5000</v>
      </c>
      <c r="Q20" s="26">
        <f>VLOOKUP(N20,'TB - Revenue Data'!$B$5:$H$101,7,FALSE)*-1</f>
        <v>2237</v>
      </c>
      <c r="R20" s="433">
        <f t="shared" si="23"/>
        <v>-2763</v>
      </c>
      <c r="S20" s="432">
        <f t="shared" si="24"/>
        <v>-0.55259999999999998</v>
      </c>
      <c r="T20" s="434" t="s">
        <v>926</v>
      </c>
      <c r="U20" s="26">
        <f>VLOOKUP(T20,'TB - Revenue Data'!$B$5:$H$101,3,FALSE)</f>
        <v>10000</v>
      </c>
      <c r="V20" s="26">
        <f t="shared" si="9"/>
        <v>5000</v>
      </c>
      <c r="W20" s="26">
        <f>VLOOKUP(T20,'TB - Revenue Data'!$B$5:$H$101,7,FALSE)*-1</f>
        <v>2207</v>
      </c>
      <c r="X20" s="433">
        <f t="shared" si="10"/>
        <v>-2793</v>
      </c>
      <c r="Y20" s="432">
        <f t="shared" si="11"/>
        <v>-0.55859999999999999</v>
      </c>
      <c r="Z20" s="434" t="s">
        <v>979</v>
      </c>
      <c r="AA20" s="26">
        <f>VLOOKUP(Z20,'TB - Revenue Data'!$B$5:$H$101,3,FALSE)</f>
        <v>0</v>
      </c>
      <c r="AB20" s="26">
        <f t="shared" si="12"/>
        <v>0</v>
      </c>
      <c r="AC20" s="26">
        <f>VLOOKUP(Z20,'TB - Revenue Data'!$B$5:$H$101,7,FALSE)*-1</f>
        <v>0</v>
      </c>
      <c r="AD20" s="433">
        <f t="shared" si="13"/>
        <v>0</v>
      </c>
      <c r="AE20" s="432" t="str">
        <f t="shared" si="14"/>
        <v xml:space="preserve">-    </v>
      </c>
      <c r="AF20" s="434" t="s">
        <v>979</v>
      </c>
      <c r="AG20" s="26">
        <f>VLOOKUP(AF20,'TB - Revenue Data'!$B$5:$H$101,3,FALSE)</f>
        <v>0</v>
      </c>
      <c r="AH20" s="26">
        <f t="shared" si="15"/>
        <v>0</v>
      </c>
      <c r="AI20" s="26">
        <f>VLOOKUP(AF20,'TB - Revenue Data'!$B$5:$H$101,7,FALSE)*-1</f>
        <v>0</v>
      </c>
      <c r="AJ20" s="433">
        <f t="shared" si="16"/>
        <v>0</v>
      </c>
      <c r="AK20" s="432" t="str">
        <f t="shared" si="17"/>
        <v xml:space="preserve">-    </v>
      </c>
      <c r="AL20" s="26">
        <f t="shared" si="18"/>
        <v>23500</v>
      </c>
      <c r="AM20" s="26">
        <f t="shared" si="19"/>
        <v>11750</v>
      </c>
      <c r="AN20" s="26">
        <f t="shared" si="20"/>
        <v>7084</v>
      </c>
      <c r="AO20" s="433">
        <f t="shared" si="21"/>
        <v>-4666</v>
      </c>
      <c r="AP20" s="432">
        <f t="shared" si="22"/>
        <v>-0.39710638297872342</v>
      </c>
    </row>
    <row r="21" spans="1:42" s="429" customFormat="1" ht="15.75" x14ac:dyDescent="0.25">
      <c r="A21" s="44" t="s">
        <v>19</v>
      </c>
      <c r="B21" s="434" t="s">
        <v>862</v>
      </c>
      <c r="C21" s="26">
        <f>VLOOKUP(B21,'TB - Revenue Data'!$B$5:$H$101,3,FALSE)</f>
        <v>0</v>
      </c>
      <c r="D21" s="26">
        <f t="shared" si="0"/>
        <v>0</v>
      </c>
      <c r="E21" s="26">
        <f>VLOOKUP(B21,'TB - Revenue Data'!$B$5:$H$101,7,FALSE)*-1</f>
        <v>0</v>
      </c>
      <c r="F21" s="433">
        <f t="shared" si="1"/>
        <v>0</v>
      </c>
      <c r="G21" s="432" t="str">
        <f t="shared" si="2"/>
        <v xml:space="preserve">-    </v>
      </c>
      <c r="H21" s="434" t="s">
        <v>979</v>
      </c>
      <c r="I21" s="26">
        <f>VLOOKUP(H21,'TB - Revenue Data'!$B$5:$H$101,3,FALSE)</f>
        <v>0</v>
      </c>
      <c r="J21" s="26">
        <f t="shared" si="3"/>
        <v>0</v>
      </c>
      <c r="K21" s="26">
        <f>VLOOKUP(H21,'TB - Revenue Data'!$B$5:$H$101,7,FALSE)*-1</f>
        <v>0</v>
      </c>
      <c r="L21" s="433">
        <f t="shared" si="4"/>
        <v>0</v>
      </c>
      <c r="M21" s="432" t="str">
        <f t="shared" si="5"/>
        <v xml:space="preserve">-    </v>
      </c>
      <c r="N21" s="434" t="s">
        <v>910</v>
      </c>
      <c r="O21" s="26">
        <f>VLOOKUP(N21,'TB - Revenue Data'!$B$5:$H$101,3,FALSE)</f>
        <v>5000</v>
      </c>
      <c r="P21" s="26">
        <f t="shared" si="6"/>
        <v>2500</v>
      </c>
      <c r="Q21" s="26">
        <f>VLOOKUP(N21,'TB - Revenue Data'!$B$5:$H$101,7,FALSE)*-1</f>
        <v>7441.53</v>
      </c>
      <c r="R21" s="433">
        <f t="shared" si="23"/>
        <v>4941.53</v>
      </c>
      <c r="S21" s="432">
        <f t="shared" si="24"/>
        <v>1.9766119999999998</v>
      </c>
      <c r="T21" s="434" t="s">
        <v>979</v>
      </c>
      <c r="U21" s="26">
        <f>VLOOKUP(T21,'TB - Revenue Data'!$B$5:$H$101,3,FALSE)</f>
        <v>0</v>
      </c>
      <c r="V21" s="26">
        <f t="shared" si="9"/>
        <v>0</v>
      </c>
      <c r="W21" s="26">
        <f>VLOOKUP(T21,'TB - Revenue Data'!$B$5:$H$101,7,FALSE)*-1</f>
        <v>0</v>
      </c>
      <c r="X21" s="433">
        <f t="shared" si="10"/>
        <v>0</v>
      </c>
      <c r="Y21" s="432" t="str">
        <f t="shared" si="11"/>
        <v xml:space="preserve">-    </v>
      </c>
      <c r="Z21" s="434" t="s">
        <v>979</v>
      </c>
      <c r="AA21" s="26">
        <f>VLOOKUP(Z21,'TB - Revenue Data'!$B$5:$H$101,3,FALSE)</f>
        <v>0</v>
      </c>
      <c r="AB21" s="26">
        <f t="shared" si="12"/>
        <v>0</v>
      </c>
      <c r="AC21" s="26">
        <f>VLOOKUP(Z21,'TB - Revenue Data'!$B$5:$H$101,7,FALSE)*-1</f>
        <v>0</v>
      </c>
      <c r="AD21" s="433">
        <f t="shared" si="13"/>
        <v>0</v>
      </c>
      <c r="AE21" s="432" t="str">
        <f t="shared" si="14"/>
        <v xml:space="preserve">-    </v>
      </c>
      <c r="AF21" s="434" t="s">
        <v>979</v>
      </c>
      <c r="AG21" s="26">
        <f>VLOOKUP(AF21,'TB - Revenue Data'!$B$5:$H$101,3,FALSE)</f>
        <v>0</v>
      </c>
      <c r="AH21" s="26">
        <f t="shared" si="15"/>
        <v>0</v>
      </c>
      <c r="AI21" s="26">
        <f>VLOOKUP(AF21,'TB - Revenue Data'!$B$5:$H$101,7,FALSE)*-1</f>
        <v>0</v>
      </c>
      <c r="AJ21" s="433">
        <f t="shared" si="16"/>
        <v>0</v>
      </c>
      <c r="AK21" s="432" t="str">
        <f t="shared" si="17"/>
        <v xml:space="preserve">-    </v>
      </c>
      <c r="AL21" s="26">
        <f t="shared" si="18"/>
        <v>5000</v>
      </c>
      <c r="AM21" s="26">
        <f t="shared" si="19"/>
        <v>2500</v>
      </c>
      <c r="AN21" s="26">
        <f t="shared" si="20"/>
        <v>7441.53</v>
      </c>
      <c r="AO21" s="433">
        <f t="shared" si="21"/>
        <v>4941.53</v>
      </c>
      <c r="AP21" s="432">
        <f t="shared" si="22"/>
        <v>1.9766119999999998</v>
      </c>
    </row>
    <row r="22" spans="1:42" s="429" customFormat="1" ht="15.75" x14ac:dyDescent="0.25">
      <c r="A22" s="44" t="s">
        <v>181</v>
      </c>
      <c r="B22" s="434" t="s">
        <v>864</v>
      </c>
      <c r="C22" s="26">
        <f>VLOOKUP(B22,'TB - Revenue Data'!$B$5:$H$101,3,FALSE)</f>
        <v>0</v>
      </c>
      <c r="D22" s="26">
        <f t="shared" si="0"/>
        <v>0</v>
      </c>
      <c r="E22" s="26">
        <f>VLOOKUP(B22,'TB - Revenue Data'!$B$5:$H$101,7,FALSE)*-1</f>
        <v>0</v>
      </c>
      <c r="F22" s="433">
        <f t="shared" si="1"/>
        <v>0</v>
      </c>
      <c r="G22" s="432" t="str">
        <f t="shared" si="2"/>
        <v xml:space="preserve">-    </v>
      </c>
      <c r="H22" s="434" t="s">
        <v>886</v>
      </c>
      <c r="I22" s="26">
        <f>VLOOKUP(H22,'TB - Revenue Data'!$B$5:$H$101,3,FALSE)</f>
        <v>0</v>
      </c>
      <c r="J22" s="26">
        <f t="shared" si="3"/>
        <v>0</v>
      </c>
      <c r="K22" s="26">
        <f>VLOOKUP(H22,'TB - Revenue Data'!$B$5:$H$101,7,FALSE)*-1</f>
        <v>0</v>
      </c>
      <c r="L22" s="433">
        <f t="shared" si="4"/>
        <v>0</v>
      </c>
      <c r="M22" s="432" t="str">
        <f t="shared" si="5"/>
        <v xml:space="preserve">-    </v>
      </c>
      <c r="N22" s="434" t="s">
        <v>912</v>
      </c>
      <c r="O22" s="26">
        <f>VLOOKUP(N22,'TB - Revenue Data'!$B$5:$H$101,3,FALSE)</f>
        <v>24000</v>
      </c>
      <c r="P22" s="26">
        <f t="shared" si="6"/>
        <v>12000</v>
      </c>
      <c r="Q22" s="26">
        <f>VLOOKUP(N22,'TB - Revenue Data'!$B$5:$H$101,7,FALSE)*-1</f>
        <v>12000</v>
      </c>
      <c r="R22" s="433">
        <f t="shared" si="23"/>
        <v>0</v>
      </c>
      <c r="S22" s="432" t="str">
        <f t="shared" si="24"/>
        <v xml:space="preserve">-    </v>
      </c>
      <c r="T22" s="434" t="s">
        <v>929</v>
      </c>
      <c r="U22" s="26">
        <f>VLOOKUP(T22,'TB - Revenue Data'!$B$5:$H$101,3,FALSE)</f>
        <v>0</v>
      </c>
      <c r="V22" s="26">
        <f t="shared" si="9"/>
        <v>0</v>
      </c>
      <c r="W22" s="26">
        <f>VLOOKUP(T22,'TB - Revenue Data'!$B$5:$H$101,7,FALSE)*-1</f>
        <v>0</v>
      </c>
      <c r="X22" s="433">
        <f t="shared" si="10"/>
        <v>0</v>
      </c>
      <c r="Y22" s="432" t="str">
        <f t="shared" si="11"/>
        <v xml:space="preserve">-    </v>
      </c>
      <c r="Z22" s="434" t="s">
        <v>979</v>
      </c>
      <c r="AA22" s="26">
        <f>VLOOKUP(Z22,'TB - Revenue Data'!$B$5:$H$101,3,FALSE)</f>
        <v>0</v>
      </c>
      <c r="AB22" s="26">
        <f t="shared" si="12"/>
        <v>0</v>
      </c>
      <c r="AC22" s="26">
        <f>VLOOKUP(Z22,'TB - Revenue Data'!$B$5:$H$101,7,FALSE)*-1</f>
        <v>0</v>
      </c>
      <c r="AD22" s="433">
        <f t="shared" si="13"/>
        <v>0</v>
      </c>
      <c r="AE22" s="432" t="str">
        <f t="shared" si="14"/>
        <v xml:space="preserve">-    </v>
      </c>
      <c r="AF22" s="434" t="s">
        <v>979</v>
      </c>
      <c r="AG22" s="26">
        <f>VLOOKUP(AF22,'TB - Revenue Data'!$B$5:$H$101,3,FALSE)</f>
        <v>0</v>
      </c>
      <c r="AH22" s="26">
        <f t="shared" si="15"/>
        <v>0</v>
      </c>
      <c r="AI22" s="26">
        <f>VLOOKUP(AF22,'TB - Revenue Data'!$B$5:$H$101,7,FALSE)*-1</f>
        <v>0</v>
      </c>
      <c r="AJ22" s="433">
        <f t="shared" si="16"/>
        <v>0</v>
      </c>
      <c r="AK22" s="432" t="str">
        <f t="shared" si="17"/>
        <v xml:space="preserve">-    </v>
      </c>
      <c r="AL22" s="26">
        <f t="shared" si="18"/>
        <v>24000</v>
      </c>
      <c r="AM22" s="26">
        <f t="shared" si="19"/>
        <v>12000</v>
      </c>
      <c r="AN22" s="26">
        <f t="shared" si="20"/>
        <v>12000</v>
      </c>
      <c r="AO22" s="433">
        <f t="shared" si="21"/>
        <v>0</v>
      </c>
      <c r="AP22" s="432" t="str">
        <f t="shared" si="22"/>
        <v xml:space="preserve">-    </v>
      </c>
    </row>
    <row r="23" spans="1:42" s="429" customFormat="1" ht="15.75" customHeight="1" x14ac:dyDescent="0.25">
      <c r="A23" s="44" t="s">
        <v>21</v>
      </c>
      <c r="B23" s="434" t="s">
        <v>865</v>
      </c>
      <c r="C23" s="26">
        <f>VLOOKUP(B23,'TB - Revenue Data'!$B$5:$H$101,3,FALSE)</f>
        <v>0</v>
      </c>
      <c r="D23" s="26">
        <f t="shared" si="0"/>
        <v>0</v>
      </c>
      <c r="E23" s="26">
        <f>VLOOKUP(B23,'TB - Revenue Data'!$B$5:$H$101,7,FALSE)*-1</f>
        <v>0</v>
      </c>
      <c r="F23" s="433">
        <f t="shared" si="1"/>
        <v>0</v>
      </c>
      <c r="G23" s="432" t="str">
        <f t="shared" si="2"/>
        <v xml:space="preserve">-    </v>
      </c>
      <c r="H23" s="434" t="s">
        <v>1132</v>
      </c>
      <c r="I23" s="26">
        <f>VLOOKUP(H23,'TB - Revenue Data'!$B$5:$H$101,3,FALSE)</f>
        <v>0</v>
      </c>
      <c r="J23" s="26">
        <f t="shared" si="3"/>
        <v>0</v>
      </c>
      <c r="K23" s="26">
        <f>VLOOKUP(H23,'TB - Revenue Data'!$B$5:$H$101,7,FALSE)*-1</f>
        <v>0</v>
      </c>
      <c r="L23" s="433">
        <f t="shared" si="4"/>
        <v>0</v>
      </c>
      <c r="M23" s="432" t="str">
        <f t="shared" si="5"/>
        <v xml:space="preserve">-    </v>
      </c>
      <c r="N23" s="434" t="s">
        <v>913</v>
      </c>
      <c r="O23" s="26">
        <f>VLOOKUP(N23,'TB - Revenue Data'!$B$5:$H$101,3,FALSE)</f>
        <v>0</v>
      </c>
      <c r="P23" s="26">
        <f t="shared" si="6"/>
        <v>0</v>
      </c>
      <c r="Q23" s="26">
        <f>VLOOKUP(N23,'TB - Revenue Data'!$B$5:$H$101,7,FALSE)*-1</f>
        <v>190618.33</v>
      </c>
      <c r="R23" s="433">
        <f t="shared" si="23"/>
        <v>190618.33</v>
      </c>
      <c r="S23" s="432">
        <v>1</v>
      </c>
      <c r="T23" s="434" t="s">
        <v>930</v>
      </c>
      <c r="U23" s="26">
        <f>VLOOKUP(T23,'TB - Revenue Data'!$B$5:$H$101,3,FALSE)</f>
        <v>0</v>
      </c>
      <c r="V23" s="26">
        <f t="shared" si="9"/>
        <v>0</v>
      </c>
      <c r="W23" s="26">
        <f>VLOOKUP(T23,'TB - Revenue Data'!$B$5:$H$101,7,FALSE)*-1</f>
        <v>52306.51</v>
      </c>
      <c r="X23" s="433">
        <f t="shared" si="10"/>
        <v>52306.51</v>
      </c>
      <c r="Y23" s="432">
        <v>1</v>
      </c>
      <c r="Z23" s="434" t="s">
        <v>942</v>
      </c>
      <c r="AA23" s="26">
        <f>VLOOKUP(Z23,'TB - Revenue Data'!$B$5:$H$101,3,FALSE)</f>
        <v>0</v>
      </c>
      <c r="AB23" s="26">
        <f t="shared" si="12"/>
        <v>0</v>
      </c>
      <c r="AC23" s="26">
        <f>VLOOKUP(Z23,'TB - Revenue Data'!$B$5:$H$101,7,FALSE)*-1</f>
        <v>0</v>
      </c>
      <c r="AD23" s="433">
        <f t="shared" si="13"/>
        <v>0</v>
      </c>
      <c r="AE23" s="432" t="str">
        <f t="shared" si="14"/>
        <v xml:space="preserve">-    </v>
      </c>
      <c r="AF23" s="434" t="s">
        <v>979</v>
      </c>
      <c r="AG23" s="26">
        <f>VLOOKUP(AF23,'TB - Revenue Data'!$B$5:$H$101,3,FALSE)</f>
        <v>0</v>
      </c>
      <c r="AH23" s="26">
        <f t="shared" si="15"/>
        <v>0</v>
      </c>
      <c r="AI23" s="26">
        <f>VLOOKUP(AF23,'TB - Revenue Data'!$B$5:$H$101,7,FALSE)*-1</f>
        <v>0</v>
      </c>
      <c r="AJ23" s="433">
        <f t="shared" si="16"/>
        <v>0</v>
      </c>
      <c r="AK23" s="432" t="str">
        <f t="shared" si="17"/>
        <v xml:space="preserve">-    </v>
      </c>
      <c r="AL23" s="26">
        <f t="shared" si="18"/>
        <v>0</v>
      </c>
      <c r="AM23" s="26">
        <f t="shared" si="19"/>
        <v>0</v>
      </c>
      <c r="AN23" s="26">
        <f t="shared" si="20"/>
        <v>242924.84</v>
      </c>
      <c r="AO23" s="433">
        <f t="shared" si="21"/>
        <v>242924.84</v>
      </c>
      <c r="AP23" s="432">
        <v>1</v>
      </c>
    </row>
    <row r="24" spans="1:42" s="429" customFormat="1" ht="15.75" x14ac:dyDescent="0.25">
      <c r="A24" s="44" t="s">
        <v>1141</v>
      </c>
      <c r="B24" s="434" t="s">
        <v>979</v>
      </c>
      <c r="C24" s="26">
        <f>VLOOKUP(B24,'TB - Revenue Data'!$B$5:$H$101,3,FALSE)</f>
        <v>0</v>
      </c>
      <c r="D24" s="26">
        <f t="shared" si="0"/>
        <v>0</v>
      </c>
      <c r="E24" s="26">
        <f>VLOOKUP(B24,'TB - Revenue Data'!$B$5:$H$101,7,FALSE)*-1</f>
        <v>0</v>
      </c>
      <c r="F24" s="433">
        <f t="shared" si="1"/>
        <v>0</v>
      </c>
      <c r="G24" s="432" t="str">
        <f t="shared" si="2"/>
        <v xml:space="preserve">-    </v>
      </c>
      <c r="H24" s="434" t="s">
        <v>879</v>
      </c>
      <c r="I24" s="26">
        <f>VLOOKUP(H24,'TB - Revenue Data'!$B$5:$H$101,3,FALSE)</f>
        <v>141752</v>
      </c>
      <c r="J24" s="26">
        <f t="shared" si="3"/>
        <v>70876</v>
      </c>
      <c r="K24" s="26">
        <f>VLOOKUP(H24,'TB - Revenue Data'!$B$5:$H$101,7,FALSE)*-1</f>
        <v>61305.2</v>
      </c>
      <c r="L24" s="433">
        <f t="shared" si="4"/>
        <v>-9570.8000000000029</v>
      </c>
      <c r="M24" s="432">
        <f t="shared" si="5"/>
        <v>-0.13503583723686444</v>
      </c>
      <c r="N24" s="434" t="s">
        <v>979</v>
      </c>
      <c r="O24" s="26">
        <f>VLOOKUP(N24,'TB - Revenue Data'!$B$5:$H$101,3,FALSE)</f>
        <v>0</v>
      </c>
      <c r="P24" s="26">
        <f t="shared" si="6"/>
        <v>0</v>
      </c>
      <c r="Q24" s="26">
        <f>VLOOKUP(N24,'TB - Revenue Data'!$B$5:$H$101,7,FALSE)*-1</f>
        <v>0</v>
      </c>
      <c r="R24" s="433">
        <f t="shared" si="23"/>
        <v>0</v>
      </c>
      <c r="S24" s="432" t="str">
        <f t="shared" si="24"/>
        <v xml:space="preserve">-    </v>
      </c>
      <c r="T24" s="434" t="s">
        <v>923</v>
      </c>
      <c r="U24" s="26">
        <f>VLOOKUP(T24,'TB - Revenue Data'!$B$5:$H$101,3,FALSE)</f>
        <v>1933260</v>
      </c>
      <c r="V24" s="26">
        <f t="shared" si="9"/>
        <v>966630</v>
      </c>
      <c r="W24" s="26">
        <f>VLOOKUP(T24,'TB - Revenue Data'!$B$5:$H$101,7,FALSE)*-1</f>
        <v>887305.16</v>
      </c>
      <c r="X24" s="433">
        <f t="shared" si="10"/>
        <v>-79324.839999999967</v>
      </c>
      <c r="Y24" s="432">
        <f t="shared" si="11"/>
        <v>-8.206329205590554E-2</v>
      </c>
      <c r="Z24" s="434" t="s">
        <v>979</v>
      </c>
      <c r="AA24" s="26">
        <f>VLOOKUP(Z24,'TB - Revenue Data'!$B$5:$H$101,3,FALSE)</f>
        <v>0</v>
      </c>
      <c r="AB24" s="26">
        <f t="shared" si="12"/>
        <v>0</v>
      </c>
      <c r="AC24" s="26">
        <f>VLOOKUP(Z24,'TB - Revenue Data'!$B$5:$H$101,7,FALSE)*-1</f>
        <v>0</v>
      </c>
      <c r="AD24" s="433">
        <f t="shared" si="13"/>
        <v>0</v>
      </c>
      <c r="AE24" s="432" t="str">
        <f t="shared" si="14"/>
        <v xml:space="preserve">-    </v>
      </c>
      <c r="AF24" s="434" t="s">
        <v>979</v>
      </c>
      <c r="AG24" s="26">
        <f>VLOOKUP(AF24,'TB - Revenue Data'!$B$5:$H$101,3,FALSE)</f>
        <v>0</v>
      </c>
      <c r="AH24" s="26">
        <f t="shared" si="15"/>
        <v>0</v>
      </c>
      <c r="AI24" s="26">
        <f>VLOOKUP(AF24,'TB - Revenue Data'!$B$5:$H$101,7,FALSE)*-1</f>
        <v>0</v>
      </c>
      <c r="AJ24" s="433">
        <f t="shared" si="16"/>
        <v>0</v>
      </c>
      <c r="AK24" s="432" t="str">
        <f t="shared" si="17"/>
        <v xml:space="preserve">-    </v>
      </c>
      <c r="AL24" s="26">
        <f t="shared" si="18"/>
        <v>2075012</v>
      </c>
      <c r="AM24" s="26">
        <f t="shared" si="19"/>
        <v>1037506</v>
      </c>
      <c r="AN24" s="26">
        <f t="shared" si="20"/>
        <v>948610.36</v>
      </c>
      <c r="AO24" s="433">
        <f t="shared" si="21"/>
        <v>-88895.640000000014</v>
      </c>
      <c r="AP24" s="432">
        <f t="shared" si="22"/>
        <v>-8.5682049067668062E-2</v>
      </c>
    </row>
    <row r="25" spans="1:42" s="429" customFormat="1" ht="15.75" x14ac:dyDescent="0.25">
      <c r="A25" s="44" t="s">
        <v>182</v>
      </c>
      <c r="B25" s="434" t="s">
        <v>979</v>
      </c>
      <c r="C25" s="26">
        <f>VLOOKUP(B25,'TB - Revenue Data'!$B$5:$H$101,3,FALSE)</f>
        <v>0</v>
      </c>
      <c r="D25" s="26">
        <f t="shared" si="0"/>
        <v>0</v>
      </c>
      <c r="E25" s="26">
        <f>VLOOKUP(B25,'TB - Revenue Data'!$B$5:$H$101,7,FALSE)*-1</f>
        <v>0</v>
      </c>
      <c r="F25" s="433">
        <f t="shared" si="1"/>
        <v>0</v>
      </c>
      <c r="G25" s="432" t="str">
        <f t="shared" si="2"/>
        <v xml:space="preserve">-    </v>
      </c>
      <c r="H25" s="434" t="s">
        <v>880</v>
      </c>
      <c r="I25" s="26">
        <f>VLOOKUP(H25,'TB - Revenue Data'!$B$5:$H$101,3,FALSE)</f>
        <v>784747</v>
      </c>
      <c r="J25" s="26">
        <f t="shared" si="3"/>
        <v>392373.5</v>
      </c>
      <c r="K25" s="26">
        <f>VLOOKUP(H25,'TB - Revenue Data'!$B$5:$H$101,7,FALSE)*-1</f>
        <v>378790.32</v>
      </c>
      <c r="L25" s="433">
        <f t="shared" si="4"/>
        <v>-13583.179999999993</v>
      </c>
      <c r="M25" s="432">
        <f t="shared" si="5"/>
        <v>-3.4617985159548219E-2</v>
      </c>
      <c r="N25" s="434" t="s">
        <v>979</v>
      </c>
      <c r="O25" s="26">
        <f>VLOOKUP(N25,'TB - Revenue Data'!$B$5:$H$101,3,FALSE)</f>
        <v>0</v>
      </c>
      <c r="P25" s="26">
        <f t="shared" si="6"/>
        <v>0</v>
      </c>
      <c r="Q25" s="26">
        <f>VLOOKUP(N25,'TB - Revenue Data'!$B$5:$H$101,7,FALSE)*-1</f>
        <v>0</v>
      </c>
      <c r="R25" s="433">
        <f t="shared" si="23"/>
        <v>0</v>
      </c>
      <c r="S25" s="432" t="str">
        <f t="shared" si="24"/>
        <v xml:space="preserve">-    </v>
      </c>
      <c r="T25" s="434" t="s">
        <v>922</v>
      </c>
      <c r="U25" s="26">
        <f>VLOOKUP(T25,'TB - Revenue Data'!$B$5:$H$101,3,FALSE)</f>
        <v>0</v>
      </c>
      <c r="V25" s="26">
        <f t="shared" si="9"/>
        <v>0</v>
      </c>
      <c r="W25" s="26">
        <f>VLOOKUP(T25,'TB - Revenue Data'!$B$5:$H$101,7,FALSE)*-1</f>
        <v>0</v>
      </c>
      <c r="X25" s="433">
        <f t="shared" si="10"/>
        <v>0</v>
      </c>
      <c r="Y25" s="432" t="str">
        <f t="shared" si="11"/>
        <v xml:space="preserve">-    </v>
      </c>
      <c r="Z25" s="434" t="s">
        <v>979</v>
      </c>
      <c r="AA25" s="26">
        <f>VLOOKUP(Z25,'TB - Revenue Data'!$B$5:$H$101,3,FALSE)</f>
        <v>0</v>
      </c>
      <c r="AB25" s="26">
        <f t="shared" si="12"/>
        <v>0</v>
      </c>
      <c r="AC25" s="26">
        <f>VLOOKUP(Z25,'TB - Revenue Data'!$B$5:$H$101,7,FALSE)*-1</f>
        <v>0</v>
      </c>
      <c r="AD25" s="433">
        <f t="shared" si="13"/>
        <v>0</v>
      </c>
      <c r="AE25" s="432" t="str">
        <f t="shared" si="14"/>
        <v xml:space="preserve">-    </v>
      </c>
      <c r="AF25" s="434" t="s">
        <v>979</v>
      </c>
      <c r="AG25" s="26">
        <f>VLOOKUP(AF25,'TB - Revenue Data'!$B$5:$H$101,3,FALSE)</f>
        <v>0</v>
      </c>
      <c r="AH25" s="26">
        <f t="shared" si="15"/>
        <v>0</v>
      </c>
      <c r="AI25" s="26">
        <f>VLOOKUP(AF25,'TB - Revenue Data'!$B$5:$H$101,7,FALSE)*-1</f>
        <v>0</v>
      </c>
      <c r="AJ25" s="433">
        <f t="shared" si="16"/>
        <v>0</v>
      </c>
      <c r="AK25" s="432" t="str">
        <f t="shared" si="17"/>
        <v xml:space="preserve">-    </v>
      </c>
      <c r="AL25" s="26">
        <f t="shared" si="18"/>
        <v>784747</v>
      </c>
      <c r="AM25" s="26">
        <f t="shared" si="19"/>
        <v>392373.5</v>
      </c>
      <c r="AN25" s="26">
        <f t="shared" si="20"/>
        <v>378790.32</v>
      </c>
      <c r="AO25" s="433">
        <f t="shared" si="21"/>
        <v>-13583.179999999993</v>
      </c>
      <c r="AP25" s="432">
        <f t="shared" si="22"/>
        <v>-3.4617985159548219E-2</v>
      </c>
    </row>
    <row r="26" spans="1:42" s="129" customFormat="1" ht="15.75" x14ac:dyDescent="0.25">
      <c r="A26" s="17"/>
      <c r="B26" s="17"/>
      <c r="C26" s="28"/>
      <c r="D26" s="28"/>
      <c r="E26" s="28"/>
      <c r="F26" s="91"/>
      <c r="G26" s="167" t="s">
        <v>33</v>
      </c>
      <c r="H26" s="103"/>
      <c r="I26" s="28"/>
      <c r="J26" s="28"/>
      <c r="K26" s="28"/>
      <c r="L26" s="91"/>
      <c r="M26" s="167" t="s">
        <v>33</v>
      </c>
      <c r="N26" s="105"/>
      <c r="O26" s="28"/>
      <c r="P26" s="28"/>
      <c r="Q26" s="28"/>
      <c r="R26" s="91"/>
      <c r="S26" s="167" t="s">
        <v>33</v>
      </c>
      <c r="T26" s="105"/>
      <c r="U26" s="28"/>
      <c r="V26" s="28"/>
      <c r="W26" s="28"/>
      <c r="X26" s="91"/>
      <c r="Y26" s="167" t="s">
        <v>33</v>
      </c>
      <c r="Z26" s="105"/>
      <c r="AA26" s="28"/>
      <c r="AB26" s="28"/>
      <c r="AC26" s="28"/>
      <c r="AD26" s="91"/>
      <c r="AE26" s="167" t="s">
        <v>33</v>
      </c>
      <c r="AF26" s="105"/>
      <c r="AG26" s="28"/>
      <c r="AH26" s="28"/>
      <c r="AI26" s="28"/>
      <c r="AJ26" s="91"/>
      <c r="AK26" s="167" t="s">
        <v>33</v>
      </c>
      <c r="AL26" s="18"/>
      <c r="AM26" s="18"/>
      <c r="AN26" s="18"/>
      <c r="AO26" s="164"/>
      <c r="AP26" s="163" t="s">
        <v>33</v>
      </c>
    </row>
    <row r="27" spans="1:42" s="198" customFormat="1" ht="15.75" x14ac:dyDescent="0.25">
      <c r="A27" s="199" t="s">
        <v>191</v>
      </c>
      <c r="B27" s="85"/>
      <c r="C27" s="192">
        <f>SUM(C9:C25)</f>
        <v>4158593</v>
      </c>
      <c r="D27" s="192">
        <f>SUM(D9:D25)</f>
        <v>2079296.5</v>
      </c>
      <c r="E27" s="192">
        <f>SUM(E9:E25)</f>
        <v>1964173.7800000003</v>
      </c>
      <c r="F27" s="193">
        <f>E27-D27</f>
        <v>-115122.71999999974</v>
      </c>
      <c r="G27" s="191">
        <f>IF(AND(D27&lt;&gt;0,F27&lt;&gt;0,ISNUMBER(D27),ISNUMBER(F27)),F27/D27,"-    ")</f>
        <v>-5.5366187554300089E-2</v>
      </c>
      <c r="H27" s="194"/>
      <c r="I27" s="192">
        <f>SUM(I9:I25)</f>
        <v>926999</v>
      </c>
      <c r="J27" s="192">
        <f>SUM(J9:J25)</f>
        <v>463499.5</v>
      </c>
      <c r="K27" s="192">
        <f>SUM(K9:K25)</f>
        <v>441415.52</v>
      </c>
      <c r="L27" s="193">
        <f>K27-J27</f>
        <v>-22083.979999999981</v>
      </c>
      <c r="M27" s="191">
        <f>IF(AND(J27&lt;&gt;0,L27&lt;&gt;0,ISNUMBER(J27),ISNUMBER(L27)),L27/J27,"-    ")</f>
        <v>-4.7646178690591859E-2</v>
      </c>
      <c r="N27" s="195"/>
      <c r="O27" s="192">
        <f>SUM(O9:O25)</f>
        <v>6423381</v>
      </c>
      <c r="P27" s="192">
        <f>SUM(P9:P25)</f>
        <v>3211690.5</v>
      </c>
      <c r="Q27" s="192">
        <f>SUM(Q9:Q25)</f>
        <v>3469632.63</v>
      </c>
      <c r="R27" s="193">
        <f>Q27-P27</f>
        <v>257942.12999999989</v>
      </c>
      <c r="S27" s="191">
        <f>IF(AND(P27&lt;&gt;0,R27&lt;&gt;0,ISNUMBER(P27),ISNUMBER(R27)),R27/P27,"-    ")</f>
        <v>8.0313507792858591E-2</v>
      </c>
      <c r="T27" s="195"/>
      <c r="U27" s="192">
        <f>SUM(U9:U25)</f>
        <v>1943260</v>
      </c>
      <c r="V27" s="192">
        <f>SUM(V9:V25)</f>
        <v>971630</v>
      </c>
      <c r="W27" s="192">
        <f>SUM(W9:W25)</f>
        <v>941818.67</v>
      </c>
      <c r="X27" s="193">
        <f>W27-V27</f>
        <v>-29811.329999999958</v>
      </c>
      <c r="Y27" s="191">
        <f>IF(AND(V27&lt;&gt;0,X27&lt;&gt;0,ISNUMBER(V27),ISNUMBER(X27)),X27/V27,"-    ")</f>
        <v>-3.0681771867892057E-2</v>
      </c>
      <c r="Z27" s="195"/>
      <c r="AA27" s="192">
        <f>SUM(AA9:AA25)</f>
        <v>0</v>
      </c>
      <c r="AB27" s="192">
        <f>SUM(AB9:AB25)</f>
        <v>0</v>
      </c>
      <c r="AC27" s="192">
        <f>SUM(AC9:AC25)</f>
        <v>0</v>
      </c>
      <c r="AD27" s="193">
        <f>AC27-AB27</f>
        <v>0</v>
      </c>
      <c r="AE27" s="191" t="str">
        <f>IF(AND(AB27&lt;&gt;0,AD27&lt;&gt;0,ISNUMBER(AB27),ISNUMBER(AD27)),AD27/AB27,"-    ")</f>
        <v xml:space="preserve">-    </v>
      </c>
      <c r="AF27" s="195"/>
      <c r="AG27" s="192">
        <f>SUM(AG9:AG25)</f>
        <v>0</v>
      </c>
      <c r="AH27" s="192">
        <f>SUM(AH9:AH25)</f>
        <v>0</v>
      </c>
      <c r="AI27" s="192">
        <f>SUM(AI9:AI25)</f>
        <v>0</v>
      </c>
      <c r="AJ27" s="193">
        <f>AI27-AH27</f>
        <v>0</v>
      </c>
      <c r="AK27" s="196" t="str">
        <f>IF(AND(AH27&lt;&gt;0,AJ27&lt;&gt;0,ISNUMBER(AH27),ISNUMBER(AJ27)),AJ27/AH27,"-    ")</f>
        <v xml:space="preserve">-    </v>
      </c>
      <c r="AL27" s="115">
        <f>C27+I27+O27+U27+AA27+AG27</f>
        <v>13452233</v>
      </c>
      <c r="AM27" s="115">
        <f>D27+J27+P27+V27+AB27+AH27</f>
        <v>6726116.5</v>
      </c>
      <c r="AN27" s="115">
        <f>E27+K27+Q27+W27+AC27+AI27</f>
        <v>6817040.5999999996</v>
      </c>
      <c r="AO27" s="197">
        <f>AN27-AM27</f>
        <v>90924.099999999627</v>
      </c>
      <c r="AP27" s="191">
        <f>IF(AND(AM27&lt;&gt;0,AO27&lt;&gt;0,ISNUMBER(AM27),ISNUMBER(AO27)),AO27/AM27,"-    ")</f>
        <v>1.3518067966857195E-2</v>
      </c>
    </row>
    <row r="28" spans="1:42" s="129" customFormat="1" ht="15.75" x14ac:dyDescent="0.25">
      <c r="A28" s="17"/>
      <c r="B28" s="17"/>
      <c r="C28" s="28"/>
      <c r="D28" s="28"/>
      <c r="E28" s="28"/>
      <c r="F28" s="91"/>
      <c r="G28" s="167"/>
      <c r="H28" s="103"/>
      <c r="I28" s="28"/>
      <c r="J28" s="28"/>
      <c r="K28" s="28"/>
      <c r="L28" s="91"/>
      <c r="M28" s="167"/>
      <c r="N28" s="105"/>
      <c r="O28" s="28"/>
      <c r="P28" s="28"/>
      <c r="Q28" s="28"/>
      <c r="R28" s="91"/>
      <c r="S28" s="167"/>
      <c r="T28" s="105"/>
      <c r="U28" s="28"/>
      <c r="V28" s="28"/>
      <c r="W28" s="28"/>
      <c r="X28" s="91"/>
      <c r="Y28" s="167"/>
      <c r="Z28" s="105"/>
      <c r="AA28" s="28"/>
      <c r="AB28" s="28"/>
      <c r="AC28" s="28"/>
      <c r="AD28" s="91"/>
      <c r="AE28" s="167"/>
      <c r="AF28" s="105"/>
      <c r="AG28" s="28"/>
      <c r="AH28" s="28"/>
      <c r="AI28" s="28"/>
      <c r="AJ28" s="91"/>
      <c r="AK28" s="167"/>
      <c r="AL28" s="18"/>
      <c r="AM28" s="18"/>
      <c r="AN28" s="18"/>
      <c r="AO28" s="164"/>
      <c r="AP28" s="163"/>
    </row>
    <row r="29" spans="1:42" s="129" customFormat="1" ht="15.75" x14ac:dyDescent="0.25">
      <c r="A29" s="13" t="s">
        <v>11</v>
      </c>
      <c r="B29" s="131" t="s">
        <v>979</v>
      </c>
      <c r="C29" s="14">
        <f>VLOOKUP(B29,'TB - Revenue Data'!$B$5:$H$101,3,FALSE)</f>
        <v>0</v>
      </c>
      <c r="D29" s="14">
        <f>C29/2</f>
        <v>0</v>
      </c>
      <c r="E29" s="14">
        <f>VLOOKUP(B29,'TB - Revenue Data'!$B$5:$H$101,7,FALSE)*-1</f>
        <v>0</v>
      </c>
      <c r="F29" s="92">
        <f>E29-D29</f>
        <v>0</v>
      </c>
      <c r="G29" s="48" t="str">
        <f>IF(AND(D29&lt;&gt;0,F29&lt;&gt;0,ISNUMBER(D29),ISNUMBER(F29)),F29/D29,"-    ")</f>
        <v xml:space="preserve">-    </v>
      </c>
      <c r="H29" s="131" t="s">
        <v>979</v>
      </c>
      <c r="I29" s="14">
        <f>VLOOKUP(H29,'TB - Revenue Data'!$B$5:$H$101,3,FALSE)</f>
        <v>0</v>
      </c>
      <c r="J29" s="14">
        <f>I29/2</f>
        <v>0</v>
      </c>
      <c r="K29" s="14">
        <f>VLOOKUP(H29,'TB - Revenue Data'!$B$5:$H$101,7,FALSE)*-1</f>
        <v>0</v>
      </c>
      <c r="L29" s="92">
        <f>K29-J29</f>
        <v>0</v>
      </c>
      <c r="M29" s="48" t="str">
        <f>IF(AND(J29&lt;&gt;0,L29&lt;&gt;0,ISNUMBER(J29),ISNUMBER(L29)),L29/J29,"-    ")</f>
        <v xml:space="preserve">-    </v>
      </c>
      <c r="N29" s="131" t="s">
        <v>905</v>
      </c>
      <c r="O29" s="14">
        <f>VLOOKUP(N29,'TB - Revenue Data'!$B$5:$H$101,3,FALSE)</f>
        <v>110000</v>
      </c>
      <c r="P29" s="14">
        <f>O29/2</f>
        <v>55000</v>
      </c>
      <c r="Q29" s="14">
        <f>VLOOKUP(N29,'TB - Revenue Data'!$B$5:$H$101,7,FALSE)*-1</f>
        <v>78963.53</v>
      </c>
      <c r="R29" s="92">
        <f>Q29-P29</f>
        <v>23963.53</v>
      </c>
      <c r="S29" s="48">
        <f>IF(AND(P29&lt;&gt;0,R29&lt;&gt;0,ISNUMBER(P29),ISNUMBER(R29)),R29/P29,"-    ")</f>
        <v>0.43570054545454545</v>
      </c>
      <c r="T29" s="131" t="s">
        <v>924</v>
      </c>
      <c r="U29" s="14">
        <f>VLOOKUP(T29,'TB - Revenue Data'!$B$5:$H$101,3,FALSE)</f>
        <v>33000</v>
      </c>
      <c r="V29" s="14">
        <f>U29/2</f>
        <v>16500</v>
      </c>
      <c r="W29" s="14">
        <f>VLOOKUP(T29,'TB - Revenue Data'!$B$5:$H$101,7,FALSE)*-1</f>
        <v>18651.490000000002</v>
      </c>
      <c r="X29" s="92">
        <f>W29-V29</f>
        <v>2151.4900000000016</v>
      </c>
      <c r="Y29" s="48">
        <f>IF(AND(V29&lt;&gt;0,X29&lt;&gt;0,ISNUMBER(V29),ISNUMBER(X29)),X29/V29,"-    ")</f>
        <v>0.13039333333333342</v>
      </c>
      <c r="Z29" s="131" t="s">
        <v>979</v>
      </c>
      <c r="AA29" s="14">
        <f>VLOOKUP(Z29,'TB - Revenue Data'!$B$5:$H$101,3,FALSE)</f>
        <v>0</v>
      </c>
      <c r="AB29" s="14">
        <f>AA29/2</f>
        <v>0</v>
      </c>
      <c r="AC29" s="14">
        <f>VLOOKUP(Z29,'TB - Revenue Data'!$B$5:$H$101,7,FALSE)*-1</f>
        <v>0</v>
      </c>
      <c r="AD29" s="92">
        <f>AC29-AB29</f>
        <v>0</v>
      </c>
      <c r="AE29" s="48" t="str">
        <f>IF(AND(AB29&lt;&gt;0,AD29&lt;&gt;0,ISNUMBER(AB29),ISNUMBER(AD29)),AD29/AB29,"-    ")</f>
        <v xml:space="preserve">-    </v>
      </c>
      <c r="AF29" s="131" t="s">
        <v>979</v>
      </c>
      <c r="AG29" s="14">
        <f>VLOOKUP(AF29,'TB - Revenue Data'!$B$5:$H$101,3,FALSE)</f>
        <v>0</v>
      </c>
      <c r="AH29" s="14">
        <f t="shared" ref="AH29:AH41" si="25">AG29/2</f>
        <v>0</v>
      </c>
      <c r="AI29" s="14">
        <f>VLOOKUP(AF29,'TB - Revenue Data'!$B$5:$H$101,7,FALSE)*-1</f>
        <v>0</v>
      </c>
      <c r="AJ29" s="92">
        <f t="shared" ref="AJ29:AJ41" si="26">AI29-AH29</f>
        <v>0</v>
      </c>
      <c r="AK29" s="48" t="str">
        <f t="shared" ref="AK29:AK41" si="27">IF(AND(AH29&lt;&gt;0,AJ29&lt;&gt;0,ISNUMBER(AH29),ISNUMBER(AJ29)),AJ29/AH29,"-    ")</f>
        <v xml:space="preserve">-    </v>
      </c>
      <c r="AL29" s="14">
        <f>C29+I29+O29+U29+AA29+AG29</f>
        <v>143000</v>
      </c>
      <c r="AM29" s="14">
        <f>D29+J29+P29+V29+AB29+AH29</f>
        <v>71500</v>
      </c>
      <c r="AN29" s="26">
        <f>E29+K29+Q29+W29+AC29+AI29</f>
        <v>97615.02</v>
      </c>
      <c r="AO29" s="92">
        <f>AN29-AM29</f>
        <v>26115.020000000004</v>
      </c>
      <c r="AP29" s="48">
        <f>IF(AND(AM29&lt;&gt;0,AO29&lt;&gt;0,ISNUMBER(AM29),ISNUMBER(AO29)),AO29/AM29,"-    ")</f>
        <v>0.36524503496503502</v>
      </c>
    </row>
    <row r="30" spans="1:42" s="129" customFormat="1" ht="15.75" x14ac:dyDescent="0.25">
      <c r="A30" s="13" t="s">
        <v>12</v>
      </c>
      <c r="B30" s="131" t="s">
        <v>858</v>
      </c>
      <c r="C30" s="14">
        <f>VLOOKUP(B30,'TB - Revenue Data'!$B$5:$H$101,3,FALSE)</f>
        <v>0</v>
      </c>
      <c r="D30" s="14">
        <f t="shared" ref="D30:D39" si="28">C30/2</f>
        <v>0</v>
      </c>
      <c r="E30" s="14">
        <f>VLOOKUP(B30,'TB - Revenue Data'!$B$5:$H$101,7,FALSE)*-1</f>
        <v>0</v>
      </c>
      <c r="F30" s="92">
        <f t="shared" ref="F30:F39" si="29">E30-D30</f>
        <v>0</v>
      </c>
      <c r="G30" s="48" t="str">
        <f t="shared" ref="G30:G39" si="30">IF(AND(D30&lt;&gt;0,F30&lt;&gt;0,ISNUMBER(D30),ISNUMBER(F30)),F30/D30,"-    ")</f>
        <v xml:space="preserve">-    </v>
      </c>
      <c r="H30" s="131" t="s">
        <v>881</v>
      </c>
      <c r="I30" s="14">
        <f>VLOOKUP(H30,'TB - Revenue Data'!$B$5:$H$101,3,FALSE)</f>
        <v>0</v>
      </c>
      <c r="J30" s="14">
        <f t="shared" ref="J30:J39" si="31">I30/2</f>
        <v>0</v>
      </c>
      <c r="K30" s="14">
        <f>VLOOKUP(H30,'TB - Revenue Data'!$B$5:$H$101,7,FALSE)*-1</f>
        <v>875.25</v>
      </c>
      <c r="L30" s="92">
        <f t="shared" ref="L30:L39" si="32">K30-J30</f>
        <v>875.25</v>
      </c>
      <c r="M30" s="48">
        <v>1</v>
      </c>
      <c r="N30" s="131" t="s">
        <v>906</v>
      </c>
      <c r="O30" s="14">
        <f>VLOOKUP(N30,'TB - Revenue Data'!$B$5:$H$101,3,FALSE)</f>
        <v>1922400</v>
      </c>
      <c r="P30" s="14">
        <f t="shared" ref="P30:P39" si="33">O30/2</f>
        <v>961200</v>
      </c>
      <c r="Q30" s="14">
        <f>VLOOKUP(N30,'TB - Revenue Data'!$B$5:$H$101,7,FALSE)*-1</f>
        <v>111287</v>
      </c>
      <c r="R30" s="92">
        <f t="shared" ref="R30:R39" si="34">Q30-P30</f>
        <v>-849913</v>
      </c>
      <c r="S30" s="48">
        <f t="shared" ref="S30:S39" si="35">IF(AND(P30&lt;&gt;0,R30&lt;&gt;0,ISNUMBER(P30),ISNUMBER(R30)),R30/P30,"-    ")</f>
        <v>-0.88422076570952979</v>
      </c>
      <c r="T30" s="131" t="s">
        <v>921</v>
      </c>
      <c r="U30" s="14">
        <f>VLOOKUP(T30,'TB - Revenue Data'!$B$5:$H$101,3,FALSE)</f>
        <v>667722</v>
      </c>
      <c r="V30" s="14">
        <f t="shared" ref="V30:V36" si="36">U30/2</f>
        <v>333861</v>
      </c>
      <c r="W30" s="14">
        <f>VLOOKUP(T30,'TB - Revenue Data'!$B$5:$H$101,7,FALSE)*-1</f>
        <v>25784</v>
      </c>
      <c r="X30" s="92">
        <f t="shared" ref="X30:X36" si="37">W30-V30</f>
        <v>-308077</v>
      </c>
      <c r="Y30" s="48">
        <f t="shared" ref="Y30:Y36" si="38">IF(AND(V30&lt;&gt;0,X30&lt;&gt;0,ISNUMBER(V30),ISNUMBER(X30)),X30/V30,"-    ")</f>
        <v>-0.92277025468683072</v>
      </c>
      <c r="Z30" s="131" t="s">
        <v>979</v>
      </c>
      <c r="AA30" s="14">
        <f>VLOOKUP(Z30,'TB - Revenue Data'!$B$5:$H$101,3,FALSE)</f>
        <v>0</v>
      </c>
      <c r="AB30" s="14">
        <f t="shared" ref="AB30:AB39" si="39">AA30/2</f>
        <v>0</v>
      </c>
      <c r="AC30" s="14">
        <f>VLOOKUP(Z30,'TB - Revenue Data'!$B$5:$H$101,7,FALSE)*-1</f>
        <v>0</v>
      </c>
      <c r="AD30" s="92">
        <f t="shared" ref="AD30:AD39" si="40">AC30-AB30</f>
        <v>0</v>
      </c>
      <c r="AE30" s="48" t="str">
        <f t="shared" ref="AE30:AE39" si="41">IF(AND(AB30&lt;&gt;0,AD30&lt;&gt;0,ISNUMBER(AB30),ISNUMBER(AD30)),AD30/AB30,"-    ")</f>
        <v xml:space="preserve">-    </v>
      </c>
      <c r="AF30" s="131" t="s">
        <v>979</v>
      </c>
      <c r="AG30" s="14">
        <f>VLOOKUP(AF30,'TB - Revenue Data'!$B$5:$H$101,3,FALSE)</f>
        <v>0</v>
      </c>
      <c r="AH30" s="14">
        <f t="shared" si="25"/>
        <v>0</v>
      </c>
      <c r="AI30" s="14">
        <f>VLOOKUP(AF30,'TB - Revenue Data'!$B$5:$H$101,7,FALSE)*-1</f>
        <v>0</v>
      </c>
      <c r="AJ30" s="92">
        <f t="shared" si="26"/>
        <v>0</v>
      </c>
      <c r="AK30" s="48" t="str">
        <f t="shared" si="27"/>
        <v xml:space="preserve">-    </v>
      </c>
      <c r="AL30" s="14">
        <f t="shared" ref="AL30:AL39" si="42">C30+I30+O30+U30+AA30+AG30</f>
        <v>2590122</v>
      </c>
      <c r="AM30" s="14">
        <f t="shared" ref="AM30:AM39" si="43">D30+J30+P30+V30+AB30+AH30</f>
        <v>1295061</v>
      </c>
      <c r="AN30" s="26">
        <f t="shared" ref="AN30:AN39" si="44">E30+K30+Q30+W30+AC30+AI30</f>
        <v>137946.25</v>
      </c>
      <c r="AO30" s="92">
        <f t="shared" ref="AO30:AO39" si="45">AN30-AM30</f>
        <v>-1157114.75</v>
      </c>
      <c r="AP30" s="48">
        <f t="shared" ref="AP30:AP39" si="46">IF(AND(AM30&lt;&gt;0,AO30&lt;&gt;0,ISNUMBER(AM30),ISNUMBER(AO30)),AO30/AM30,"-    ")</f>
        <v>-0.89348281663952511</v>
      </c>
    </row>
    <row r="31" spans="1:42" s="129" customFormat="1" ht="15.75" x14ac:dyDescent="0.25">
      <c r="A31" s="13" t="s">
        <v>13</v>
      </c>
      <c r="B31" s="131" t="s">
        <v>870</v>
      </c>
      <c r="C31" s="14">
        <f>VLOOKUP(B31,'TB - Revenue Data'!$B$5:$H$101,3,FALSE)</f>
        <v>13000</v>
      </c>
      <c r="D31" s="14">
        <f t="shared" si="28"/>
        <v>6500</v>
      </c>
      <c r="E31" s="14">
        <f>VLOOKUP(B31,'TB - Revenue Data'!$B$5:$H$101,7,FALSE)*-1</f>
        <v>6063.34</v>
      </c>
      <c r="F31" s="92">
        <f t="shared" si="29"/>
        <v>-436.65999999999985</v>
      </c>
      <c r="G31" s="48">
        <f t="shared" si="30"/>
        <v>-6.717846153846152E-2</v>
      </c>
      <c r="H31" s="131" t="s">
        <v>889</v>
      </c>
      <c r="I31" s="14">
        <f>VLOOKUP(H31,'TB - Revenue Data'!$B$5:$H$101,3,FALSE)</f>
        <v>4900</v>
      </c>
      <c r="J31" s="14">
        <f t="shared" si="31"/>
        <v>2450</v>
      </c>
      <c r="K31" s="14">
        <f>VLOOKUP(H31,'TB - Revenue Data'!$B$5:$H$101,7,FALSE)*-1</f>
        <v>2312.06</v>
      </c>
      <c r="L31" s="92">
        <f t="shared" si="32"/>
        <v>-137.94000000000005</v>
      </c>
      <c r="M31" s="48">
        <f t="shared" ref="M31:M39" si="47">IF(AND(J31&lt;&gt;0,L31&lt;&gt;0,ISNUMBER(J31),ISNUMBER(L31)),L31/J31,"-    ")</f>
        <v>-5.6302040816326553E-2</v>
      </c>
      <c r="N31" s="131" t="s">
        <v>916</v>
      </c>
      <c r="O31" s="14">
        <f>VLOOKUP(N31,'TB - Revenue Data'!$B$5:$H$101,3,FALSE)</f>
        <v>14250</v>
      </c>
      <c r="P31" s="14">
        <f t="shared" si="33"/>
        <v>7125</v>
      </c>
      <c r="Q31" s="14">
        <f>VLOOKUP(N31,'TB - Revenue Data'!$B$5:$H$101,7,FALSE)*-1</f>
        <v>7095.22</v>
      </c>
      <c r="R31" s="92">
        <f t="shared" si="34"/>
        <v>-29.779999999999745</v>
      </c>
      <c r="S31" s="48">
        <f t="shared" si="35"/>
        <v>-4.1796491228069822E-3</v>
      </c>
      <c r="T31" s="131" t="s">
        <v>933</v>
      </c>
      <c r="U31" s="14">
        <f>VLOOKUP(T31,'TB - Revenue Data'!$B$5:$H$101,3,FALSE)</f>
        <v>3800</v>
      </c>
      <c r="V31" s="14">
        <f t="shared" si="36"/>
        <v>1900</v>
      </c>
      <c r="W31" s="14">
        <f>VLOOKUP(T31,'TB - Revenue Data'!$B$5:$H$101,7,FALSE)*-1</f>
        <v>1849.76</v>
      </c>
      <c r="X31" s="92">
        <f t="shared" si="37"/>
        <v>-50.240000000000009</v>
      </c>
      <c r="Y31" s="48">
        <f t="shared" si="38"/>
        <v>-2.6442105263157899E-2</v>
      </c>
      <c r="Z31" s="131" t="s">
        <v>979</v>
      </c>
      <c r="AA31" s="14">
        <f>VLOOKUP(Z31,'TB - Revenue Data'!$B$5:$H$101,3,FALSE)</f>
        <v>0</v>
      </c>
      <c r="AB31" s="14">
        <f t="shared" si="39"/>
        <v>0</v>
      </c>
      <c r="AC31" s="14">
        <f>VLOOKUP(Z31,'TB - Revenue Data'!$B$5:$H$101,7,FALSE)*-1</f>
        <v>0</v>
      </c>
      <c r="AD31" s="92">
        <f t="shared" si="40"/>
        <v>0</v>
      </c>
      <c r="AE31" s="48" t="str">
        <f t="shared" si="41"/>
        <v xml:space="preserve">-    </v>
      </c>
      <c r="AF31" s="131" t="s">
        <v>979</v>
      </c>
      <c r="AG31" s="14">
        <f>VLOOKUP(AF31,'TB - Revenue Data'!$B$5:$H$101,3,FALSE)</f>
        <v>0</v>
      </c>
      <c r="AH31" s="14">
        <f t="shared" si="25"/>
        <v>0</v>
      </c>
      <c r="AI31" s="14">
        <f>VLOOKUP(AF31,'TB - Revenue Data'!$B$5:$H$101,7,FALSE)*-1</f>
        <v>0</v>
      </c>
      <c r="AJ31" s="92">
        <f t="shared" si="26"/>
        <v>0</v>
      </c>
      <c r="AK31" s="48" t="str">
        <f t="shared" si="27"/>
        <v xml:space="preserve">-    </v>
      </c>
      <c r="AL31" s="14">
        <f t="shared" si="42"/>
        <v>35950</v>
      </c>
      <c r="AM31" s="14">
        <f t="shared" si="43"/>
        <v>17975</v>
      </c>
      <c r="AN31" s="26">
        <f t="shared" si="44"/>
        <v>17320.379999999997</v>
      </c>
      <c r="AO31" s="92">
        <f t="shared" si="45"/>
        <v>-654.62000000000262</v>
      </c>
      <c r="AP31" s="48">
        <f t="shared" si="46"/>
        <v>-3.6418358831710858E-2</v>
      </c>
    </row>
    <row r="32" spans="1:42" s="129" customFormat="1" ht="15.75" x14ac:dyDescent="0.25">
      <c r="A32" s="13" t="s">
        <v>14</v>
      </c>
      <c r="B32" s="131" t="s">
        <v>871</v>
      </c>
      <c r="C32" s="14">
        <f>VLOOKUP(B32,'TB - Revenue Data'!$B$5:$H$101,3,FALSE)</f>
        <v>4000</v>
      </c>
      <c r="D32" s="14">
        <f t="shared" si="28"/>
        <v>2000</v>
      </c>
      <c r="E32" s="14">
        <f>VLOOKUP(B32,'TB - Revenue Data'!$B$5:$H$101,7,FALSE)*-1</f>
        <v>135.96</v>
      </c>
      <c r="F32" s="92">
        <f t="shared" si="29"/>
        <v>-1864.04</v>
      </c>
      <c r="G32" s="48">
        <f t="shared" si="30"/>
        <v>-0.93201999999999996</v>
      </c>
      <c r="H32" s="131" t="s">
        <v>890</v>
      </c>
      <c r="I32" s="14">
        <f>VLOOKUP(H32,'TB - Revenue Data'!$B$5:$H$101,3,FALSE)</f>
        <v>0</v>
      </c>
      <c r="J32" s="14">
        <f t="shared" si="31"/>
        <v>0</v>
      </c>
      <c r="K32" s="14">
        <f>VLOOKUP(H32,'TB - Revenue Data'!$B$5:$H$101,7,FALSE)*-1</f>
        <v>0</v>
      </c>
      <c r="L32" s="92">
        <f t="shared" si="32"/>
        <v>0</v>
      </c>
      <c r="M32" s="48" t="str">
        <f t="shared" si="47"/>
        <v xml:space="preserve">-    </v>
      </c>
      <c r="N32" s="131" t="s">
        <v>979</v>
      </c>
      <c r="O32" s="14">
        <f>VLOOKUP(N32,'TB - Revenue Data'!$B$5:$H$101,3,FALSE)</f>
        <v>0</v>
      </c>
      <c r="P32" s="14">
        <f t="shared" si="33"/>
        <v>0</v>
      </c>
      <c r="Q32" s="14">
        <f>VLOOKUP(N32,'TB - Revenue Data'!$B$5:$H$101,7,FALSE)*-1</f>
        <v>0</v>
      </c>
      <c r="R32" s="92">
        <f t="shared" si="34"/>
        <v>0</v>
      </c>
      <c r="S32" s="48" t="str">
        <f t="shared" si="35"/>
        <v xml:space="preserve">-    </v>
      </c>
      <c r="T32" s="131" t="s">
        <v>979</v>
      </c>
      <c r="U32" s="14">
        <f>VLOOKUP(T32,'TB - Revenue Data'!$B$5:$H$101,3,FALSE)</f>
        <v>0</v>
      </c>
      <c r="V32" s="14">
        <f t="shared" si="36"/>
        <v>0</v>
      </c>
      <c r="W32" s="14">
        <f>VLOOKUP(T32,'TB - Revenue Data'!$B$5:$H$101,7,FALSE)*-1</f>
        <v>0</v>
      </c>
      <c r="X32" s="92">
        <f t="shared" si="37"/>
        <v>0</v>
      </c>
      <c r="Y32" s="48" t="str">
        <f t="shared" si="38"/>
        <v xml:space="preserve">-    </v>
      </c>
      <c r="Z32" s="131" t="s">
        <v>979</v>
      </c>
      <c r="AA32" s="14">
        <f>VLOOKUP(Z32,'TB - Revenue Data'!$B$5:$H$101,3,FALSE)</f>
        <v>0</v>
      </c>
      <c r="AB32" s="14">
        <f t="shared" si="39"/>
        <v>0</v>
      </c>
      <c r="AC32" s="14">
        <f>VLOOKUP(Z32,'TB - Revenue Data'!$B$5:$H$101,7,FALSE)*-1</f>
        <v>0</v>
      </c>
      <c r="AD32" s="92">
        <f t="shared" si="40"/>
        <v>0</v>
      </c>
      <c r="AE32" s="48" t="str">
        <f t="shared" si="41"/>
        <v xml:space="preserve">-    </v>
      </c>
      <c r="AF32" s="131" t="s">
        <v>979</v>
      </c>
      <c r="AG32" s="14">
        <f>VLOOKUP(AF32,'TB - Revenue Data'!$B$5:$H$101,3,FALSE)</f>
        <v>0</v>
      </c>
      <c r="AH32" s="14">
        <f t="shared" si="25"/>
        <v>0</v>
      </c>
      <c r="AI32" s="14">
        <f>VLOOKUP(AF32,'TB - Revenue Data'!$B$5:$H$101,7,FALSE)*-1</f>
        <v>0</v>
      </c>
      <c r="AJ32" s="92">
        <f t="shared" si="26"/>
        <v>0</v>
      </c>
      <c r="AK32" s="48" t="str">
        <f t="shared" si="27"/>
        <v xml:space="preserve">-    </v>
      </c>
      <c r="AL32" s="14">
        <f t="shared" si="42"/>
        <v>4000</v>
      </c>
      <c r="AM32" s="14">
        <f t="shared" si="43"/>
        <v>2000</v>
      </c>
      <c r="AN32" s="26">
        <f t="shared" si="44"/>
        <v>135.96</v>
      </c>
      <c r="AO32" s="92">
        <f t="shared" si="45"/>
        <v>-1864.04</v>
      </c>
      <c r="AP32" s="48">
        <f t="shared" si="46"/>
        <v>-0.93201999999999996</v>
      </c>
    </row>
    <row r="33" spans="1:42" s="129" customFormat="1" ht="15.75" x14ac:dyDescent="0.25">
      <c r="A33" s="13" t="s">
        <v>15</v>
      </c>
      <c r="B33" s="131" t="s">
        <v>872</v>
      </c>
      <c r="C33" s="14">
        <f>VLOOKUP(B33,'TB - Revenue Data'!$B$5:$H$101,3,FALSE)</f>
        <v>19500</v>
      </c>
      <c r="D33" s="14">
        <f t="shared" si="28"/>
        <v>9750</v>
      </c>
      <c r="E33" s="14">
        <f>VLOOKUP(B33,'TB - Revenue Data'!$B$5:$H$101,7,FALSE)*-1</f>
        <v>9610.4599999999991</v>
      </c>
      <c r="F33" s="92">
        <f t="shared" si="29"/>
        <v>-139.54000000000087</v>
      </c>
      <c r="G33" s="48">
        <f t="shared" si="30"/>
        <v>-1.4311794871794962E-2</v>
      </c>
      <c r="H33" s="131" t="s">
        <v>891</v>
      </c>
      <c r="I33" s="14">
        <f>VLOOKUP(H33,'TB - Revenue Data'!$B$5:$H$101,3,FALSE)</f>
        <v>7300</v>
      </c>
      <c r="J33" s="14">
        <f t="shared" si="31"/>
        <v>3650</v>
      </c>
      <c r="K33" s="14">
        <f>VLOOKUP(H33,'TB - Revenue Data'!$B$5:$H$101,7,FALSE)*-1</f>
        <v>3606.53</v>
      </c>
      <c r="L33" s="92">
        <f t="shared" si="32"/>
        <v>-43.4699999999998</v>
      </c>
      <c r="M33" s="48">
        <f t="shared" si="47"/>
        <v>-1.1909589041095835E-2</v>
      </c>
      <c r="N33" s="131" t="s">
        <v>917</v>
      </c>
      <c r="O33" s="14">
        <f>VLOOKUP(N33,'TB - Revenue Data'!$B$5:$H$101,3,FALSE)</f>
        <v>68000</v>
      </c>
      <c r="P33" s="14">
        <f t="shared" si="33"/>
        <v>34000</v>
      </c>
      <c r="Q33" s="14">
        <f>VLOOKUP(N33,'TB - Revenue Data'!$B$5:$H$101,7,FALSE)*-1</f>
        <v>33865.870000000003</v>
      </c>
      <c r="R33" s="92">
        <f t="shared" si="34"/>
        <v>-134.12999999999738</v>
      </c>
      <c r="S33" s="48">
        <f t="shared" si="35"/>
        <v>-3.9449999999999225E-3</v>
      </c>
      <c r="T33" s="131" t="s">
        <v>934</v>
      </c>
      <c r="U33" s="14">
        <f>VLOOKUP(T33,'TB - Revenue Data'!$B$5:$H$101,3,FALSE)</f>
        <v>29000</v>
      </c>
      <c r="V33" s="14">
        <f t="shared" si="36"/>
        <v>14500</v>
      </c>
      <c r="W33" s="14">
        <f>VLOOKUP(T33,'TB - Revenue Data'!$B$5:$H$101,7,FALSE)*-1</f>
        <v>14214.85</v>
      </c>
      <c r="X33" s="92">
        <f t="shared" si="37"/>
        <v>-285.14999999999964</v>
      </c>
      <c r="Y33" s="48">
        <f t="shared" si="38"/>
        <v>-1.9665517241379285E-2</v>
      </c>
      <c r="Z33" s="131" t="s">
        <v>943</v>
      </c>
      <c r="AA33" s="14">
        <f>VLOOKUP(Z33,'TB - Revenue Data'!$B$5:$H$101,3,FALSE)</f>
        <v>8000</v>
      </c>
      <c r="AB33" s="14">
        <f t="shared" si="39"/>
        <v>4000</v>
      </c>
      <c r="AC33" s="14">
        <f>VLOOKUP(Z33,'TB - Revenue Data'!$B$5:$H$101,7,FALSE)*-1</f>
        <v>4164.1000000000004</v>
      </c>
      <c r="AD33" s="92">
        <f t="shared" si="40"/>
        <v>164.10000000000036</v>
      </c>
      <c r="AE33" s="48">
        <f t="shared" si="41"/>
        <v>4.1025000000000089E-2</v>
      </c>
      <c r="AF33" s="131" t="s">
        <v>979</v>
      </c>
      <c r="AG33" s="14">
        <f>VLOOKUP(AF33,'TB - Revenue Data'!$B$5:$H$101,3,FALSE)</f>
        <v>0</v>
      </c>
      <c r="AH33" s="14">
        <f t="shared" si="25"/>
        <v>0</v>
      </c>
      <c r="AI33" s="14">
        <f>VLOOKUP(AF33,'TB - Revenue Data'!$B$5:$H$101,7,FALSE)*-1</f>
        <v>0</v>
      </c>
      <c r="AJ33" s="92">
        <f t="shared" si="26"/>
        <v>0</v>
      </c>
      <c r="AK33" s="48" t="str">
        <f t="shared" si="27"/>
        <v xml:space="preserve">-    </v>
      </c>
      <c r="AL33" s="14">
        <f t="shared" si="42"/>
        <v>131800</v>
      </c>
      <c r="AM33" s="14">
        <f t="shared" si="43"/>
        <v>65900</v>
      </c>
      <c r="AN33" s="26">
        <f t="shared" si="44"/>
        <v>65461.81</v>
      </c>
      <c r="AO33" s="92">
        <f t="shared" si="45"/>
        <v>-438.19000000000233</v>
      </c>
      <c r="AP33" s="48">
        <f t="shared" si="46"/>
        <v>-6.649317147192752E-3</v>
      </c>
    </row>
    <row r="34" spans="1:42" s="129" customFormat="1" ht="15.75" x14ac:dyDescent="0.25">
      <c r="A34" s="13" t="s">
        <v>843</v>
      </c>
      <c r="B34" s="131" t="s">
        <v>944</v>
      </c>
      <c r="C34" s="14">
        <f>VLOOKUP(B34,'TB - Revenue Data'!$B$5:$H$101,3,FALSE)</f>
        <v>40</v>
      </c>
      <c r="D34" s="14">
        <f t="shared" si="28"/>
        <v>20</v>
      </c>
      <c r="E34" s="14">
        <f>VLOOKUP(B34,'TB - Revenue Data'!$B$5:$H$101,7,FALSE)*-1</f>
        <v>17.32</v>
      </c>
      <c r="F34" s="92">
        <f t="shared" si="29"/>
        <v>-2.6799999999999997</v>
      </c>
      <c r="G34" s="48">
        <f t="shared" si="30"/>
        <v>-0.13399999999999998</v>
      </c>
      <c r="H34" s="131" t="s">
        <v>947</v>
      </c>
      <c r="I34" s="14">
        <f>VLOOKUP(H34,'TB - Revenue Data'!$B$5:$H$101,3,FALSE)</f>
        <v>12</v>
      </c>
      <c r="J34" s="14">
        <f t="shared" si="31"/>
        <v>6</v>
      </c>
      <c r="K34" s="14">
        <f>VLOOKUP(H34,'TB - Revenue Data'!$B$5:$H$101,7,FALSE)*-1</f>
        <v>4.95</v>
      </c>
      <c r="L34" s="92">
        <f t="shared" si="32"/>
        <v>-1.0499999999999998</v>
      </c>
      <c r="M34" s="48">
        <f t="shared" si="47"/>
        <v>-0.17499999999999996</v>
      </c>
      <c r="N34" s="131" t="s">
        <v>946</v>
      </c>
      <c r="O34" s="14">
        <f>VLOOKUP(N34,'TB - Revenue Data'!$B$5:$H$101,3,FALSE)</f>
        <v>65</v>
      </c>
      <c r="P34" s="14">
        <f t="shared" si="33"/>
        <v>32.5</v>
      </c>
      <c r="Q34" s="14">
        <f>VLOOKUP(N34,'TB - Revenue Data'!$B$5:$H$101,7,FALSE)*-1</f>
        <v>30.92</v>
      </c>
      <c r="R34" s="92">
        <f t="shared" si="34"/>
        <v>-1.5799999999999983</v>
      </c>
      <c r="S34" s="48">
        <f t="shared" si="35"/>
        <v>-4.861538461538456E-2</v>
      </c>
      <c r="T34" s="131" t="s">
        <v>945</v>
      </c>
      <c r="U34" s="14">
        <f>VLOOKUP(T34,'TB - Revenue Data'!$B$5:$H$101,3,FALSE)</f>
        <v>20</v>
      </c>
      <c r="V34" s="14">
        <f t="shared" si="36"/>
        <v>10</v>
      </c>
      <c r="W34" s="14">
        <f>VLOOKUP(T34,'TB - Revenue Data'!$B$5:$H$101,7,FALSE)*-1</f>
        <v>8.66</v>
      </c>
      <c r="X34" s="92">
        <f t="shared" si="37"/>
        <v>-1.3399999999999999</v>
      </c>
      <c r="Y34" s="48">
        <f t="shared" si="38"/>
        <v>-0.13399999999999998</v>
      </c>
      <c r="Z34" s="131" t="s">
        <v>979</v>
      </c>
      <c r="AA34" s="14">
        <f>VLOOKUP(Z34,'TB - Revenue Data'!$B$5:$H$101,3,FALSE)</f>
        <v>0</v>
      </c>
      <c r="AB34" s="14">
        <f t="shared" si="39"/>
        <v>0</v>
      </c>
      <c r="AC34" s="14">
        <f>VLOOKUP(Z34,'TB - Revenue Data'!$B$5:$H$101,7,FALSE)*-1</f>
        <v>0</v>
      </c>
      <c r="AD34" s="92">
        <f t="shared" si="40"/>
        <v>0</v>
      </c>
      <c r="AE34" s="48" t="str">
        <f t="shared" si="41"/>
        <v xml:space="preserve">-    </v>
      </c>
      <c r="AF34" s="131" t="s">
        <v>979</v>
      </c>
      <c r="AG34" s="14">
        <f>VLOOKUP(AF34,'TB - Revenue Data'!$B$5:$H$101,3,FALSE)</f>
        <v>0</v>
      </c>
      <c r="AH34" s="14">
        <f t="shared" si="25"/>
        <v>0</v>
      </c>
      <c r="AI34" s="14">
        <f>VLOOKUP(AF34,'TB - Revenue Data'!$B$5:$H$101,7,FALSE)*-1</f>
        <v>0</v>
      </c>
      <c r="AJ34" s="92">
        <f t="shared" si="26"/>
        <v>0</v>
      </c>
      <c r="AK34" s="48" t="str">
        <f t="shared" si="27"/>
        <v xml:space="preserve">-    </v>
      </c>
      <c r="AL34" s="14">
        <f t="shared" si="42"/>
        <v>137</v>
      </c>
      <c r="AM34" s="14">
        <f t="shared" si="43"/>
        <v>68.5</v>
      </c>
      <c r="AN34" s="26">
        <f t="shared" si="44"/>
        <v>61.849999999999994</v>
      </c>
      <c r="AO34" s="92">
        <f t="shared" si="45"/>
        <v>-6.6500000000000057</v>
      </c>
      <c r="AP34" s="48">
        <f t="shared" si="46"/>
        <v>-9.7080291970803007E-2</v>
      </c>
    </row>
    <row r="35" spans="1:42" s="129" customFormat="1" ht="15.75" x14ac:dyDescent="0.25">
      <c r="A35" s="13" t="s">
        <v>17</v>
      </c>
      <c r="B35" s="131" t="s">
        <v>861</v>
      </c>
      <c r="C35" s="14">
        <f>VLOOKUP(B35,'TB - Revenue Data'!$B$5:$H$101,3,FALSE)</f>
        <v>12325</v>
      </c>
      <c r="D35" s="14">
        <f t="shared" si="28"/>
        <v>6162.5</v>
      </c>
      <c r="E35" s="14">
        <f>VLOOKUP(B35,'TB - Revenue Data'!$B$5:$H$101,7,FALSE)*-1</f>
        <v>10786.57</v>
      </c>
      <c r="F35" s="92">
        <f t="shared" si="29"/>
        <v>4624.07</v>
      </c>
      <c r="G35" s="48">
        <f t="shared" si="30"/>
        <v>0.75035618661257597</v>
      </c>
      <c r="H35" s="131" t="s">
        <v>884</v>
      </c>
      <c r="I35" s="14">
        <f>VLOOKUP(H35,'TB - Revenue Data'!$B$5:$H$101,3,FALSE)</f>
        <v>3400</v>
      </c>
      <c r="J35" s="14">
        <f t="shared" si="31"/>
        <v>1700</v>
      </c>
      <c r="K35" s="14">
        <f>VLOOKUP(H35,'TB - Revenue Data'!$B$5:$H$101,7,FALSE)*-1</f>
        <v>725.92</v>
      </c>
      <c r="L35" s="92">
        <f t="shared" si="32"/>
        <v>-974.08</v>
      </c>
      <c r="M35" s="48">
        <f t="shared" si="47"/>
        <v>-0.57298823529411769</v>
      </c>
      <c r="N35" s="131" t="s">
        <v>909</v>
      </c>
      <c r="O35" s="14">
        <f>VLOOKUP(N35,'TB - Revenue Data'!$B$5:$H$101,3,FALSE)</f>
        <v>22100</v>
      </c>
      <c r="P35" s="14">
        <f t="shared" si="33"/>
        <v>11050</v>
      </c>
      <c r="Q35" s="14">
        <f>VLOOKUP(N35,'TB - Revenue Data'!$B$5:$H$101,7,FALSE)*-1</f>
        <v>5538.41</v>
      </c>
      <c r="R35" s="92">
        <f t="shared" si="34"/>
        <v>-5511.59</v>
      </c>
      <c r="S35" s="48">
        <f t="shared" si="35"/>
        <v>-0.49878642533936651</v>
      </c>
      <c r="T35" s="131" t="s">
        <v>927</v>
      </c>
      <c r="U35" s="14">
        <f>VLOOKUP(T35,'TB - Revenue Data'!$B$5:$H$101,3,FALSE)</f>
        <v>4675</v>
      </c>
      <c r="V35" s="14">
        <f t="shared" si="36"/>
        <v>2337.5</v>
      </c>
      <c r="W35" s="14">
        <f>VLOOKUP(T35,'TB - Revenue Data'!$B$5:$H$101,7,FALSE)*-1</f>
        <v>9508.1299999999992</v>
      </c>
      <c r="X35" s="92">
        <f t="shared" si="37"/>
        <v>7170.6299999999992</v>
      </c>
      <c r="Y35" s="48">
        <f t="shared" si="38"/>
        <v>3.0676491978609621</v>
      </c>
      <c r="Z35" s="131" t="s">
        <v>940</v>
      </c>
      <c r="AA35" s="14">
        <f>VLOOKUP(Z35,'TB - Revenue Data'!$B$5:$H$101,3,FALSE)</f>
        <v>0</v>
      </c>
      <c r="AB35" s="14">
        <f t="shared" si="39"/>
        <v>0</v>
      </c>
      <c r="AC35" s="14">
        <f>VLOOKUP(Z35,'TB - Revenue Data'!$B$5:$H$101,7,FALSE)*-1</f>
        <v>0</v>
      </c>
      <c r="AD35" s="92">
        <f t="shared" si="40"/>
        <v>0</v>
      </c>
      <c r="AE35" s="48" t="str">
        <f t="shared" si="41"/>
        <v xml:space="preserve">-    </v>
      </c>
      <c r="AF35" s="131" t="s">
        <v>979</v>
      </c>
      <c r="AG35" s="14">
        <f>VLOOKUP(AF35,'TB - Revenue Data'!$B$5:$H$101,3,FALSE)</f>
        <v>0</v>
      </c>
      <c r="AH35" s="14">
        <f t="shared" si="25"/>
        <v>0</v>
      </c>
      <c r="AI35" s="14">
        <f>VLOOKUP(AF35,'TB - Revenue Data'!$B$5:$H$101,7,FALSE)*-1</f>
        <v>0</v>
      </c>
      <c r="AJ35" s="92">
        <f t="shared" si="26"/>
        <v>0</v>
      </c>
      <c r="AK35" s="48" t="str">
        <f t="shared" si="27"/>
        <v xml:space="preserve">-    </v>
      </c>
      <c r="AL35" s="14">
        <f t="shared" si="42"/>
        <v>42500</v>
      </c>
      <c r="AM35" s="14">
        <f t="shared" si="43"/>
        <v>21250</v>
      </c>
      <c r="AN35" s="26">
        <f t="shared" si="44"/>
        <v>26559.03</v>
      </c>
      <c r="AO35" s="92">
        <f t="shared" si="45"/>
        <v>5309.0299999999988</v>
      </c>
      <c r="AP35" s="48">
        <f t="shared" si="46"/>
        <v>0.24983670588235288</v>
      </c>
    </row>
    <row r="36" spans="1:42" s="129" customFormat="1" ht="15.75" hidden="1" outlineLevel="1" x14ac:dyDescent="0.25">
      <c r="A36" s="13" t="s">
        <v>18</v>
      </c>
      <c r="B36" s="131" t="s">
        <v>869</v>
      </c>
      <c r="C36" s="14">
        <f>VLOOKUP(B36,'TB - Revenue Data'!$B$5:$H$101,3,FALSE)</f>
        <v>0</v>
      </c>
      <c r="D36" s="14">
        <f t="shared" si="28"/>
        <v>0</v>
      </c>
      <c r="E36" s="14">
        <f>VLOOKUP(B36,'TB - Revenue Data'!$B$5:$H$101,7,FALSE)*-1</f>
        <v>0</v>
      </c>
      <c r="F36" s="92">
        <f t="shared" si="29"/>
        <v>0</v>
      </c>
      <c r="G36" s="48" t="str">
        <f t="shared" si="30"/>
        <v xml:space="preserve">-    </v>
      </c>
      <c r="H36" s="131" t="s">
        <v>878</v>
      </c>
      <c r="I36" s="14">
        <f>VLOOKUP(H36,'TB - Revenue Data'!$B$5:$H$101,3,FALSE)</f>
        <v>0</v>
      </c>
      <c r="J36" s="14">
        <f t="shared" si="31"/>
        <v>0</v>
      </c>
      <c r="K36" s="14">
        <f>VLOOKUP(H36,'TB - Revenue Data'!$B$5:$H$101,7,FALSE)*-1</f>
        <v>0</v>
      </c>
      <c r="L36" s="92">
        <f t="shared" si="32"/>
        <v>0</v>
      </c>
      <c r="M36" s="48" t="str">
        <f t="shared" si="47"/>
        <v xml:space="preserve">-    </v>
      </c>
      <c r="N36" s="131" t="s">
        <v>1137</v>
      </c>
      <c r="O36" s="14">
        <f>VLOOKUP(N36,'TB - Revenue Data'!$B$5:$H$101,3,FALSE)</f>
        <v>0</v>
      </c>
      <c r="P36" s="14">
        <f t="shared" si="33"/>
        <v>0</v>
      </c>
      <c r="Q36" s="14">
        <f>VLOOKUP(N36,'TB - Revenue Data'!$B$5:$H$101,7,FALSE)*-1</f>
        <v>0</v>
      </c>
      <c r="R36" s="92">
        <f t="shared" si="34"/>
        <v>0</v>
      </c>
      <c r="S36" s="48" t="str">
        <f t="shared" si="35"/>
        <v xml:space="preserve">-    </v>
      </c>
      <c r="T36" s="131" t="s">
        <v>1139</v>
      </c>
      <c r="U36" s="14">
        <f>VLOOKUP(T36,'TB - Revenue Data'!$B$5:$H$101,3,FALSE)</f>
        <v>0</v>
      </c>
      <c r="V36" s="14">
        <f t="shared" si="36"/>
        <v>0</v>
      </c>
      <c r="W36" s="14">
        <f>VLOOKUP(T36,'TB - Revenue Data'!$B$5:$H$101,7,FALSE)*-1</f>
        <v>0</v>
      </c>
      <c r="X36" s="92">
        <f t="shared" si="37"/>
        <v>0</v>
      </c>
      <c r="Y36" s="48" t="str">
        <f t="shared" si="38"/>
        <v xml:space="preserve">-    </v>
      </c>
      <c r="Z36" s="131" t="s">
        <v>979</v>
      </c>
      <c r="AA36" s="14">
        <f>VLOOKUP(Z36,'TB - Revenue Data'!$B$5:$H$101,3,FALSE)</f>
        <v>0</v>
      </c>
      <c r="AB36" s="14">
        <f t="shared" si="39"/>
        <v>0</v>
      </c>
      <c r="AC36" s="14">
        <f>VLOOKUP(Z36,'TB - Revenue Data'!$B$5:$H$101,7,FALSE)*-1</f>
        <v>0</v>
      </c>
      <c r="AD36" s="92">
        <f t="shared" si="40"/>
        <v>0</v>
      </c>
      <c r="AE36" s="48" t="str">
        <f t="shared" si="41"/>
        <v xml:space="preserve">-    </v>
      </c>
      <c r="AF36" s="131" t="s">
        <v>979</v>
      </c>
      <c r="AG36" s="14">
        <f>VLOOKUP(AF36,'TB - Revenue Data'!$B$5:$H$101,3,FALSE)</f>
        <v>0</v>
      </c>
      <c r="AH36" s="14">
        <f t="shared" si="25"/>
        <v>0</v>
      </c>
      <c r="AI36" s="14">
        <f>VLOOKUP(AF36,'TB - Revenue Data'!$B$5:$H$101,7,FALSE)*-1</f>
        <v>0</v>
      </c>
      <c r="AJ36" s="92">
        <f t="shared" si="26"/>
        <v>0</v>
      </c>
      <c r="AK36" s="48" t="str">
        <f t="shared" si="27"/>
        <v xml:space="preserve">-    </v>
      </c>
      <c r="AL36" s="14">
        <f t="shared" si="42"/>
        <v>0</v>
      </c>
      <c r="AM36" s="14">
        <f t="shared" si="43"/>
        <v>0</v>
      </c>
      <c r="AN36" s="26">
        <f t="shared" si="44"/>
        <v>0</v>
      </c>
      <c r="AO36" s="92">
        <f t="shared" si="45"/>
        <v>0</v>
      </c>
      <c r="AP36" s="48" t="str">
        <f t="shared" si="46"/>
        <v xml:space="preserve">-    </v>
      </c>
    </row>
    <row r="37" spans="1:42" s="129" customFormat="1" ht="15.75" collapsed="1" x14ac:dyDescent="0.25">
      <c r="A37" s="13" t="s">
        <v>20</v>
      </c>
      <c r="B37" s="131" t="s">
        <v>863</v>
      </c>
      <c r="C37" s="14">
        <f>VLOOKUP(B37,'TB - Revenue Data'!$B$5:$H$101,3,FALSE)</f>
        <v>3425</v>
      </c>
      <c r="D37" s="14">
        <f t="shared" si="28"/>
        <v>1712.5</v>
      </c>
      <c r="E37" s="14">
        <f>VLOOKUP(B37,'TB - Revenue Data'!$B$5:$H$101,7,FALSE)*-1</f>
        <v>0</v>
      </c>
      <c r="F37" s="92">
        <f t="shared" si="29"/>
        <v>-1712.5</v>
      </c>
      <c r="G37" s="48">
        <f t="shared" si="30"/>
        <v>-1</v>
      </c>
      <c r="H37" s="131" t="s">
        <v>885</v>
      </c>
      <c r="I37" s="14">
        <f>VLOOKUP(H37,'TB - Revenue Data'!$B$5:$H$101,3,FALSE)</f>
        <v>1895</v>
      </c>
      <c r="J37" s="14">
        <f t="shared" si="31"/>
        <v>947.5</v>
      </c>
      <c r="K37" s="14">
        <f>VLOOKUP(H37,'TB - Revenue Data'!$B$5:$H$101,7,FALSE)*-1</f>
        <v>0</v>
      </c>
      <c r="L37" s="92">
        <f t="shared" si="32"/>
        <v>-947.5</v>
      </c>
      <c r="M37" s="48">
        <f t="shared" si="47"/>
        <v>-1</v>
      </c>
      <c r="N37" s="131" t="s">
        <v>911</v>
      </c>
      <c r="O37" s="14">
        <f>VLOOKUP(N37,'TB - Revenue Data'!$B$5:$H$101,3,FALSE)</f>
        <v>19550</v>
      </c>
      <c r="P37" s="14">
        <f t="shared" si="33"/>
        <v>9775</v>
      </c>
      <c r="Q37" s="14">
        <f>VLOOKUP(N37,'TB - Revenue Data'!$B$5:$H$101,7,FALSE)*-1</f>
        <v>0</v>
      </c>
      <c r="R37" s="92">
        <f t="shared" si="34"/>
        <v>-9775</v>
      </c>
      <c r="S37" s="48">
        <f t="shared" si="35"/>
        <v>-1</v>
      </c>
      <c r="T37" s="131" t="s">
        <v>928</v>
      </c>
      <c r="U37" s="14">
        <f>VLOOKUP(T37,'TB - Revenue Data'!$B$5:$H$101,3,FALSE)</f>
        <v>7800</v>
      </c>
      <c r="V37" s="14">
        <f>U37/2</f>
        <v>3900</v>
      </c>
      <c r="W37" s="14">
        <f>VLOOKUP(T37,'TB - Revenue Data'!$B$5:$H$101,7,FALSE)*-1</f>
        <v>0</v>
      </c>
      <c r="X37" s="92">
        <f>W37-V37</f>
        <v>-3900</v>
      </c>
      <c r="Y37" s="48">
        <f>IF(AND(V37&lt;&gt;0,X37&lt;&gt;0,ISNUMBER(V37),ISNUMBER(X37)),X37/V37,"-    ")</f>
        <v>-1</v>
      </c>
      <c r="Z37" s="131" t="s">
        <v>941</v>
      </c>
      <c r="AA37" s="14">
        <f>VLOOKUP(Z37,'TB - Revenue Data'!$B$5:$H$101,3,FALSE)</f>
        <v>3300</v>
      </c>
      <c r="AB37" s="14">
        <f t="shared" si="39"/>
        <v>1650</v>
      </c>
      <c r="AC37" s="14">
        <f>VLOOKUP(Z37,'TB - Revenue Data'!$B$5:$H$101,7,FALSE)*-1</f>
        <v>0</v>
      </c>
      <c r="AD37" s="92">
        <f t="shared" si="40"/>
        <v>-1650</v>
      </c>
      <c r="AE37" s="48">
        <f t="shared" si="41"/>
        <v>-1</v>
      </c>
      <c r="AF37" s="131" t="s">
        <v>979</v>
      </c>
      <c r="AG37" s="14">
        <f>VLOOKUP(AF37,'TB - Revenue Data'!$B$5:$H$101,3,FALSE)</f>
        <v>0</v>
      </c>
      <c r="AH37" s="14">
        <f t="shared" si="25"/>
        <v>0</v>
      </c>
      <c r="AI37" s="14">
        <f>VLOOKUP(AF37,'TB - Revenue Data'!$B$5:$H$101,7,FALSE)*-1</f>
        <v>0</v>
      </c>
      <c r="AJ37" s="92">
        <f t="shared" si="26"/>
        <v>0</v>
      </c>
      <c r="AK37" s="48" t="str">
        <f t="shared" si="27"/>
        <v xml:space="preserve">-    </v>
      </c>
      <c r="AL37" s="14">
        <f t="shared" si="42"/>
        <v>35970</v>
      </c>
      <c r="AM37" s="14">
        <f t="shared" si="43"/>
        <v>17985</v>
      </c>
      <c r="AN37" s="26">
        <f t="shared" si="44"/>
        <v>0</v>
      </c>
      <c r="AO37" s="92">
        <f t="shared" si="45"/>
        <v>-17985</v>
      </c>
      <c r="AP37" s="48">
        <f t="shared" si="46"/>
        <v>-1</v>
      </c>
    </row>
    <row r="38" spans="1:42" s="129" customFormat="1" ht="15.75" x14ac:dyDescent="0.25">
      <c r="A38" s="13" t="s">
        <v>844</v>
      </c>
      <c r="B38" s="131" t="s">
        <v>948</v>
      </c>
      <c r="C38" s="14">
        <f>VLOOKUP(B38,'TB - Revenue Data'!$B$5:$H$101,3,FALSE)</f>
        <v>3125</v>
      </c>
      <c r="D38" s="14">
        <f t="shared" si="28"/>
        <v>1562.5</v>
      </c>
      <c r="E38" s="14">
        <f>VLOOKUP(B38,'TB - Revenue Data'!$B$5:$H$101,7,FALSE)*-1</f>
        <v>0</v>
      </c>
      <c r="F38" s="92">
        <f t="shared" si="29"/>
        <v>-1562.5</v>
      </c>
      <c r="G38" s="48">
        <f t="shared" si="30"/>
        <v>-1</v>
      </c>
      <c r="H38" s="131" t="s">
        <v>951</v>
      </c>
      <c r="I38" s="14">
        <f>VLOOKUP(H38,'TB - Revenue Data'!$B$5:$H$101,3,FALSE)</f>
        <v>895</v>
      </c>
      <c r="J38" s="14">
        <f t="shared" si="31"/>
        <v>447.5</v>
      </c>
      <c r="K38" s="14">
        <f>VLOOKUP(H38,'TB - Revenue Data'!$B$5:$H$101,7,FALSE)*-1</f>
        <v>0</v>
      </c>
      <c r="L38" s="92">
        <f t="shared" si="32"/>
        <v>-447.5</v>
      </c>
      <c r="M38" s="48">
        <f t="shared" si="47"/>
        <v>-1</v>
      </c>
      <c r="N38" s="131" t="s">
        <v>950</v>
      </c>
      <c r="O38" s="14">
        <f>VLOOKUP(N38,'TB - Revenue Data'!$B$5:$H$101,3,FALSE)</f>
        <v>5650</v>
      </c>
      <c r="P38" s="14">
        <f t="shared" si="33"/>
        <v>2825</v>
      </c>
      <c r="Q38" s="14">
        <f>VLOOKUP(N38,'TB - Revenue Data'!$B$5:$H$101,7,FALSE)*-1</f>
        <v>0</v>
      </c>
      <c r="R38" s="92">
        <f t="shared" si="34"/>
        <v>-2825</v>
      </c>
      <c r="S38" s="48">
        <f t="shared" si="35"/>
        <v>-1</v>
      </c>
      <c r="T38" s="131" t="s">
        <v>949</v>
      </c>
      <c r="U38" s="14">
        <f>VLOOKUP(T38,'TB - Revenue Data'!$B$5:$H$101,3,FALSE)</f>
        <v>1550</v>
      </c>
      <c r="V38" s="14">
        <f>U38/2</f>
        <v>775</v>
      </c>
      <c r="W38" s="14">
        <f>VLOOKUP(T38,'TB - Revenue Data'!$B$5:$H$101,7,FALSE)*-1</f>
        <v>0</v>
      </c>
      <c r="X38" s="92">
        <f>W38-V38</f>
        <v>-775</v>
      </c>
      <c r="Y38" s="48">
        <f>IF(AND(V38&lt;&gt;0,X38&lt;&gt;0,ISNUMBER(V38),ISNUMBER(X38)),X38/V38,"-    ")</f>
        <v>-1</v>
      </c>
      <c r="Z38" s="131" t="s">
        <v>979</v>
      </c>
      <c r="AA38" s="14">
        <f>VLOOKUP(Z38,'TB - Revenue Data'!$B$5:$H$101,3,FALSE)</f>
        <v>0</v>
      </c>
      <c r="AB38" s="14">
        <f t="shared" si="39"/>
        <v>0</v>
      </c>
      <c r="AC38" s="14">
        <f>VLOOKUP(Z38,'TB - Revenue Data'!$B$5:$H$101,7,FALSE)*-1</f>
        <v>0</v>
      </c>
      <c r="AD38" s="92">
        <f t="shared" si="40"/>
        <v>0</v>
      </c>
      <c r="AE38" s="48" t="str">
        <f t="shared" si="41"/>
        <v xml:space="preserve">-    </v>
      </c>
      <c r="AF38" s="131" t="s">
        <v>979</v>
      </c>
      <c r="AG38" s="14">
        <f>VLOOKUP(AF38,'TB - Revenue Data'!$B$5:$H$101,3,FALSE)</f>
        <v>0</v>
      </c>
      <c r="AH38" s="14">
        <f t="shared" si="25"/>
        <v>0</v>
      </c>
      <c r="AI38" s="14">
        <f>VLOOKUP(AF38,'TB - Revenue Data'!$B$5:$H$101,7,FALSE)*-1</f>
        <v>0</v>
      </c>
      <c r="AJ38" s="92">
        <f t="shared" si="26"/>
        <v>0</v>
      </c>
      <c r="AK38" s="48" t="str">
        <f t="shared" si="27"/>
        <v xml:space="preserve">-    </v>
      </c>
      <c r="AL38" s="14">
        <f t="shared" si="42"/>
        <v>11220</v>
      </c>
      <c r="AM38" s="14">
        <f t="shared" si="43"/>
        <v>5610</v>
      </c>
      <c r="AN38" s="26">
        <f t="shared" si="44"/>
        <v>0</v>
      </c>
      <c r="AO38" s="92">
        <f t="shared" si="45"/>
        <v>-5610</v>
      </c>
      <c r="AP38" s="48">
        <f t="shared" si="46"/>
        <v>-1</v>
      </c>
    </row>
    <row r="39" spans="1:42" s="129" customFormat="1" ht="15.75" x14ac:dyDescent="0.25">
      <c r="A39" s="13" t="s">
        <v>1131</v>
      </c>
      <c r="B39" s="131" t="s">
        <v>1130</v>
      </c>
      <c r="C39" s="14">
        <f>VLOOKUP(B39,'TB - Revenue Data'!$B$5:$H$101,3,FALSE)</f>
        <v>52037.14</v>
      </c>
      <c r="D39" s="14">
        <f t="shared" si="28"/>
        <v>26018.57</v>
      </c>
      <c r="E39" s="14">
        <f>VLOOKUP(B39,'TB - Revenue Data'!$B$5:$H$101,7,FALSE)*-1</f>
        <v>26915.759999999998</v>
      </c>
      <c r="F39" s="92">
        <f t="shared" si="29"/>
        <v>897.18999999999869</v>
      </c>
      <c r="G39" s="48">
        <f t="shared" si="30"/>
        <v>3.4482679101887563E-2</v>
      </c>
      <c r="H39" s="131" t="s">
        <v>1133</v>
      </c>
      <c r="I39" s="14">
        <f>VLOOKUP(H39,'TB - Revenue Data'!$B$5:$H$101,3,FALSE)</f>
        <v>14355.07</v>
      </c>
      <c r="J39" s="14">
        <f t="shared" si="31"/>
        <v>7177.5349999999999</v>
      </c>
      <c r="K39" s="14">
        <f>VLOOKUP(H39,'TB - Revenue Data'!$B$5:$H$101,7,FALSE)*-1</f>
        <v>8074.72</v>
      </c>
      <c r="L39" s="92">
        <f t="shared" si="32"/>
        <v>897.1850000000004</v>
      </c>
      <c r="M39" s="48">
        <f t="shared" si="47"/>
        <v>0.12499904215026474</v>
      </c>
      <c r="N39" s="131" t="s">
        <v>1138</v>
      </c>
      <c r="O39" s="14">
        <f>VLOOKUP(N39,'TB - Revenue Data'!$B$5:$H$101,3,FALSE)</f>
        <v>93307.97</v>
      </c>
      <c r="P39" s="14">
        <f t="shared" si="33"/>
        <v>46653.985000000001</v>
      </c>
      <c r="Q39" s="14">
        <f>VLOOKUP(N39,'TB - Revenue Data'!$B$5:$H$101,7,FALSE)*-1</f>
        <v>44859.6</v>
      </c>
      <c r="R39" s="92">
        <f t="shared" si="34"/>
        <v>-1794.385000000002</v>
      </c>
      <c r="S39" s="48">
        <f t="shared" si="35"/>
        <v>-3.8461559071534875E-2</v>
      </c>
      <c r="T39" s="131" t="s">
        <v>1140</v>
      </c>
      <c r="U39" s="14">
        <f>VLOOKUP(T39,'TB - Revenue Data'!$B$5:$H$101,3,FALSE)</f>
        <v>19738.22</v>
      </c>
      <c r="V39" s="14">
        <f>U39/2</f>
        <v>9869.11</v>
      </c>
      <c r="W39" s="14">
        <f>VLOOKUP(T39,'TB - Revenue Data'!$B$5:$H$101,7,FALSE)*-1</f>
        <v>9869.1200000000008</v>
      </c>
      <c r="X39" s="92">
        <f>W39-V39</f>
        <v>1.0000000000218279E-2</v>
      </c>
      <c r="Y39" s="48">
        <f>IF(AND(V39&lt;&gt;0,X39&lt;&gt;0,ISNUMBER(V39),ISNUMBER(X39)),X39/V39,"-    ")</f>
        <v>1.013262594116215E-6</v>
      </c>
      <c r="Z39" s="131" t="s">
        <v>979</v>
      </c>
      <c r="AA39" s="14">
        <f>VLOOKUP(Z39,'TB - Revenue Data'!$B$5:$H$101,3,FALSE)</f>
        <v>0</v>
      </c>
      <c r="AB39" s="14">
        <f t="shared" si="39"/>
        <v>0</v>
      </c>
      <c r="AC39" s="14">
        <f>VLOOKUP(Z39,'TB - Revenue Data'!$B$5:$H$101,7,FALSE)*-1</f>
        <v>0</v>
      </c>
      <c r="AD39" s="92">
        <f t="shared" si="40"/>
        <v>0</v>
      </c>
      <c r="AE39" s="48" t="str">
        <f t="shared" si="41"/>
        <v xml:space="preserve">-    </v>
      </c>
      <c r="AF39" s="131" t="s">
        <v>979</v>
      </c>
      <c r="AG39" s="14">
        <f>VLOOKUP(AF39,'TB - Revenue Data'!$B$5:$H$101,3,FALSE)</f>
        <v>0</v>
      </c>
      <c r="AH39" s="14">
        <f t="shared" si="25"/>
        <v>0</v>
      </c>
      <c r="AI39" s="14">
        <f>VLOOKUP(AF39,'TB - Revenue Data'!$B$5:$H$101,7,FALSE)*-1</f>
        <v>0</v>
      </c>
      <c r="AJ39" s="92">
        <f t="shared" si="26"/>
        <v>0</v>
      </c>
      <c r="AK39" s="48" t="str">
        <f t="shared" si="27"/>
        <v xml:space="preserve">-    </v>
      </c>
      <c r="AL39" s="14">
        <f t="shared" si="42"/>
        <v>179438.4</v>
      </c>
      <c r="AM39" s="14">
        <f t="shared" si="43"/>
        <v>89719.2</v>
      </c>
      <c r="AN39" s="26">
        <f t="shared" si="44"/>
        <v>89719.199999999983</v>
      </c>
      <c r="AO39" s="92">
        <f t="shared" si="45"/>
        <v>0</v>
      </c>
      <c r="AP39" s="48" t="str">
        <f t="shared" si="46"/>
        <v xml:space="preserve">-    </v>
      </c>
    </row>
    <row r="40" spans="1:42" s="129" customFormat="1" ht="15.75" hidden="1" customHeight="1" outlineLevel="1" x14ac:dyDescent="0.25">
      <c r="A40" s="13" t="s">
        <v>867</v>
      </c>
      <c r="B40" s="107" t="s">
        <v>866</v>
      </c>
      <c r="C40" s="14">
        <f>VLOOKUP(B40,'TB - Revenue Data'!$B$5:$H$101,3,FALSE)</f>
        <v>0</v>
      </c>
      <c r="D40" s="14">
        <f>C40/2</f>
        <v>0</v>
      </c>
      <c r="E40" s="14">
        <f>VLOOKUP(B40,'TB - Revenue Data'!$B$5:$H$101,7,FALSE)*-1</f>
        <v>0</v>
      </c>
      <c r="F40" s="92">
        <f>E40-D40</f>
        <v>0</v>
      </c>
      <c r="G40" s="48" t="str">
        <f>IF(AND(D40&lt;&gt;0,F40&lt;&gt;0,ISNUMBER(D40),ISNUMBER(F40)),F40/D40,"-    ")</f>
        <v xml:space="preserve">-    </v>
      </c>
      <c r="H40" s="81" t="s">
        <v>887</v>
      </c>
      <c r="I40" s="14">
        <f>VLOOKUP(H40,'TB - Revenue Data'!$B$5:$H$101,3,FALSE)</f>
        <v>0</v>
      </c>
      <c r="J40" s="14">
        <f>I40/2</f>
        <v>0</v>
      </c>
      <c r="K40" s="14">
        <f>VLOOKUP(H40,'TB - Revenue Data'!$B$5:$H$101,7,FALSE)*-1</f>
        <v>0</v>
      </c>
      <c r="L40" s="92">
        <f>K40-J40</f>
        <v>0</v>
      </c>
      <c r="M40" s="48" t="str">
        <f>IF(AND(J40&lt;&gt;0,L40&lt;&gt;0,ISNUMBER(J40),ISNUMBER(L40)),L40/J40,"-    ")</f>
        <v xml:space="preserve">-    </v>
      </c>
      <c r="N40" s="107" t="s">
        <v>914</v>
      </c>
      <c r="O40" s="14">
        <f>VLOOKUP(N40,'TB - Revenue Data'!$B$5:$H$101,3,FALSE)</f>
        <v>0</v>
      </c>
      <c r="P40" s="14">
        <f>O40/2</f>
        <v>0</v>
      </c>
      <c r="Q40" s="14">
        <f>VLOOKUP(N40,'TB - Revenue Data'!$B$5:$H$101,7,FALSE)*-1</f>
        <v>0</v>
      </c>
      <c r="R40" s="92">
        <f>Q40-P40</f>
        <v>0</v>
      </c>
      <c r="S40" s="48" t="str">
        <f>IF(AND(P40&lt;&gt;0,R40&lt;&gt;0,ISNUMBER(P40),ISNUMBER(R40)),R40/P40,"-    ")</f>
        <v xml:space="preserve">-    </v>
      </c>
      <c r="T40" s="81" t="s">
        <v>931</v>
      </c>
      <c r="U40" s="14">
        <f>VLOOKUP(T40,'TB - Revenue Data'!$B$5:$H$101,3,FALSE)</f>
        <v>0</v>
      </c>
      <c r="V40" s="14">
        <f>U40/2</f>
        <v>0</v>
      </c>
      <c r="W40" s="14">
        <f>VLOOKUP(T40,'TB - Revenue Data'!$B$5:$H$101,7,FALSE)*-1</f>
        <v>0</v>
      </c>
      <c r="X40" s="92">
        <f>W40-V40</f>
        <v>0</v>
      </c>
      <c r="Y40" s="48" t="str">
        <f>IF(AND(V40&lt;&gt;0,X40&lt;&gt;0,ISNUMBER(V40),ISNUMBER(X40)),X40/V40,"-    ")</f>
        <v xml:space="preserve">-    </v>
      </c>
      <c r="Z40" s="81" t="s">
        <v>979</v>
      </c>
      <c r="AA40" s="14">
        <f>VLOOKUP(Z40,'TB - Revenue Data'!$B$5:$H$101,3,FALSE)</f>
        <v>0</v>
      </c>
      <c r="AB40" s="14">
        <f>AA40/2</f>
        <v>0</v>
      </c>
      <c r="AC40" s="14">
        <f>VLOOKUP(Z40,'TB - Revenue Data'!$B$5:$H$101,7,FALSE)*-1</f>
        <v>0</v>
      </c>
      <c r="AD40" s="92">
        <f>AC40-AB40</f>
        <v>0</v>
      </c>
      <c r="AE40" s="48" t="str">
        <f>IF(AND(AB40&lt;&gt;0,AD40&lt;&gt;0,ISNUMBER(AB40),ISNUMBER(AD40)),AD40/AB40,"-    ")</f>
        <v xml:space="preserve">-    </v>
      </c>
      <c r="AF40" s="131" t="s">
        <v>979</v>
      </c>
      <c r="AG40" s="14">
        <f>VLOOKUP(AF40,'TB - Revenue Data'!$B$5:$H$101,3,FALSE)</f>
        <v>0</v>
      </c>
      <c r="AH40" s="14">
        <f t="shared" si="25"/>
        <v>0</v>
      </c>
      <c r="AI40" s="14">
        <f>VLOOKUP(AF40,'TB - Revenue Data'!$B$5:$H$101,7,FALSE)*-1</f>
        <v>0</v>
      </c>
      <c r="AJ40" s="92">
        <f t="shared" si="26"/>
        <v>0</v>
      </c>
      <c r="AK40" s="48" t="str">
        <f t="shared" si="27"/>
        <v xml:space="preserve">-    </v>
      </c>
      <c r="AL40" s="14">
        <f t="shared" ref="AL40:AN41" si="48">C40+I40+O40+U40+AA40+AG40</f>
        <v>0</v>
      </c>
      <c r="AM40" s="14">
        <f t="shared" si="48"/>
        <v>0</v>
      </c>
      <c r="AN40" s="26">
        <f t="shared" si="48"/>
        <v>0</v>
      </c>
      <c r="AO40" s="92">
        <f>AN40-AM40</f>
        <v>0</v>
      </c>
      <c r="AP40" s="48" t="str">
        <f>IF(AND(AN40&lt;&gt;0,AO40&lt;&gt;0,ISNUMBER(AN40),ISNUMBER(AO40)),AO40/AN40,"-    ")</f>
        <v xml:space="preserve">-    </v>
      </c>
    </row>
    <row r="41" spans="1:42" s="129" customFormat="1" ht="15.75" hidden="1" customHeight="1" outlineLevel="1" x14ac:dyDescent="0.25">
      <c r="A41" s="13" t="s">
        <v>32</v>
      </c>
      <c r="B41" s="107" t="s">
        <v>868</v>
      </c>
      <c r="C41" s="14">
        <f>VLOOKUP(B41,'TB - Revenue Data'!$B$5:$H$101,3,FALSE)</f>
        <v>0</v>
      </c>
      <c r="D41" s="14">
        <f>C41/2</f>
        <v>0</v>
      </c>
      <c r="E41" s="14">
        <f>VLOOKUP(B41,'TB - Revenue Data'!$B$5:$H$101,7,FALSE)*-1</f>
        <v>0</v>
      </c>
      <c r="F41" s="92">
        <f>E41-D41</f>
        <v>0</v>
      </c>
      <c r="G41" s="48" t="str">
        <f>IF(AND(D41&lt;&gt;0,F41&lt;&gt;0,ISNUMBER(D41),ISNUMBER(F41)),F41/D41,"-    ")</f>
        <v xml:space="preserve">-    </v>
      </c>
      <c r="H41" s="81" t="s">
        <v>888</v>
      </c>
      <c r="I41" s="14">
        <f>VLOOKUP(H41,'TB - Revenue Data'!$B$5:$H$101,3,FALSE)</f>
        <v>0</v>
      </c>
      <c r="J41" s="14">
        <f>I41/2</f>
        <v>0</v>
      </c>
      <c r="K41" s="14">
        <f>VLOOKUP(H41,'TB - Revenue Data'!$B$5:$H$101,7,FALSE)*-1</f>
        <v>0</v>
      </c>
      <c r="L41" s="92">
        <f>K41-J41</f>
        <v>0</v>
      </c>
      <c r="M41" s="48" t="str">
        <f>IF(AND(J41&lt;&gt;0,L41&lt;&gt;0,ISNUMBER(J41),ISNUMBER(L41)),L41/J41,"-    ")</f>
        <v xml:space="preserve">-    </v>
      </c>
      <c r="N41" s="107" t="s">
        <v>915</v>
      </c>
      <c r="O41" s="14">
        <f>VLOOKUP(N41,'TB - Revenue Data'!$B$5:$H$101,3,FALSE)</f>
        <v>0</v>
      </c>
      <c r="P41" s="14">
        <f>O41/2</f>
        <v>0</v>
      </c>
      <c r="Q41" s="14">
        <f>VLOOKUP(N41,'TB - Revenue Data'!$B$5:$H$101,7,FALSE)*-1</f>
        <v>0</v>
      </c>
      <c r="R41" s="92">
        <f>Q41-P41</f>
        <v>0</v>
      </c>
      <c r="S41" s="48" t="str">
        <f>IF(AND(P41&lt;&gt;0,R41&lt;&gt;0,ISNUMBER(P41),ISNUMBER(R41)),R41/P41,"-    ")</f>
        <v xml:space="preserve">-    </v>
      </c>
      <c r="T41" s="81" t="s">
        <v>932</v>
      </c>
      <c r="U41" s="14">
        <f>VLOOKUP(T41,'TB - Revenue Data'!$B$5:$H$101,3,FALSE)</f>
        <v>0</v>
      </c>
      <c r="V41" s="14">
        <f>U41/2</f>
        <v>0</v>
      </c>
      <c r="W41" s="14">
        <f>VLOOKUP(T41,'TB - Revenue Data'!$B$5:$H$101,7,FALSE)*-1</f>
        <v>0</v>
      </c>
      <c r="X41" s="92">
        <f>W41-V41</f>
        <v>0</v>
      </c>
      <c r="Y41" s="48" t="str">
        <f>IF(AND(V41&lt;&gt;0,X41&lt;&gt;0,ISNUMBER(V41),ISNUMBER(X41)),X41/V41,"-    ")</f>
        <v xml:space="preserve">-    </v>
      </c>
      <c r="Z41" s="81" t="s">
        <v>979</v>
      </c>
      <c r="AA41" s="14">
        <f>VLOOKUP(Z41,'TB - Revenue Data'!$B$5:$H$101,3,FALSE)</f>
        <v>0</v>
      </c>
      <c r="AB41" s="14">
        <f>AA41/2</f>
        <v>0</v>
      </c>
      <c r="AC41" s="14">
        <f>VLOOKUP(Z41,'TB - Revenue Data'!$B$5:$H$101,7,FALSE)*-1</f>
        <v>0</v>
      </c>
      <c r="AD41" s="92">
        <f>AC41-AB41</f>
        <v>0</v>
      </c>
      <c r="AE41" s="48" t="str">
        <f>IF(AND(AB41&lt;&gt;0,AD41&lt;&gt;0,ISNUMBER(AB41),ISNUMBER(AD41)),AD41/AB41,"-    ")</f>
        <v xml:space="preserve">-    </v>
      </c>
      <c r="AF41" s="131" t="s">
        <v>979</v>
      </c>
      <c r="AG41" s="14">
        <f>VLOOKUP(AF41,'TB - Revenue Data'!$B$5:$H$101,3,FALSE)</f>
        <v>0</v>
      </c>
      <c r="AH41" s="14">
        <f t="shared" si="25"/>
        <v>0</v>
      </c>
      <c r="AI41" s="14">
        <f>VLOOKUP(AF41,'TB - Revenue Data'!$B$5:$H$101,7,FALSE)*-1</f>
        <v>0</v>
      </c>
      <c r="AJ41" s="92">
        <f t="shared" si="26"/>
        <v>0</v>
      </c>
      <c r="AK41" s="48" t="str">
        <f t="shared" si="27"/>
        <v xml:space="preserve">-    </v>
      </c>
      <c r="AL41" s="14">
        <f t="shared" si="48"/>
        <v>0</v>
      </c>
      <c r="AM41" s="14">
        <f t="shared" si="48"/>
        <v>0</v>
      </c>
      <c r="AN41" s="26">
        <f t="shared" si="48"/>
        <v>0</v>
      </c>
      <c r="AO41" s="92">
        <f>AN41-AM41</f>
        <v>0</v>
      </c>
      <c r="AP41" s="48" t="str">
        <f>IF(AND(AN41&lt;&gt;0,AO41&lt;&gt;0,ISNUMBER(AN41),ISNUMBER(AO41)),AO41/AN41,"-    ")</f>
        <v xml:space="preserve">-    </v>
      </c>
    </row>
    <row r="42" spans="1:42" s="129" customFormat="1" ht="15.75" collapsed="1" x14ac:dyDescent="0.25">
      <c r="A42" s="17"/>
      <c r="B42" s="17"/>
      <c r="C42" s="28"/>
      <c r="D42" s="28"/>
      <c r="E42" s="28"/>
      <c r="F42" s="91"/>
      <c r="G42" s="167"/>
      <c r="H42" s="103"/>
      <c r="I42" s="28"/>
      <c r="J42" s="28"/>
      <c r="K42" s="28"/>
      <c r="L42" s="91"/>
      <c r="M42" s="167"/>
      <c r="N42" s="105"/>
      <c r="O42" s="28"/>
      <c r="P42" s="28"/>
      <c r="Q42" s="28"/>
      <c r="R42" s="91"/>
      <c r="S42" s="167"/>
      <c r="T42" s="105"/>
      <c r="U42" s="28"/>
      <c r="V42" s="28"/>
      <c r="W42" s="28"/>
      <c r="X42" s="91"/>
      <c r="Y42" s="167"/>
      <c r="Z42" s="105"/>
      <c r="AA42" s="28"/>
      <c r="AB42" s="28"/>
      <c r="AC42" s="28"/>
      <c r="AD42" s="91"/>
      <c r="AE42" s="167"/>
      <c r="AF42" s="131"/>
      <c r="AG42" s="28"/>
      <c r="AH42" s="28"/>
      <c r="AI42" s="28"/>
      <c r="AJ42" s="91"/>
      <c r="AK42" s="167"/>
      <c r="AL42" s="18"/>
      <c r="AM42" s="18"/>
      <c r="AN42" s="18"/>
      <c r="AO42" s="164"/>
      <c r="AP42" s="163"/>
    </row>
    <row r="43" spans="1:42" s="204" customFormat="1" ht="15.75" x14ac:dyDescent="0.25">
      <c r="A43" s="219" t="s">
        <v>192</v>
      </c>
      <c r="B43" s="200"/>
      <c r="C43" s="27">
        <f>SUM(C29:C42)</f>
        <v>107452.14</v>
      </c>
      <c r="D43" s="27">
        <f>SUM(D29:D42)</f>
        <v>53726.07</v>
      </c>
      <c r="E43" s="27">
        <f>SUM(E29:E42)</f>
        <v>53529.409999999996</v>
      </c>
      <c r="F43" s="169">
        <f>E43-D43</f>
        <v>-196.66000000000349</v>
      </c>
      <c r="G43" s="201">
        <f>IF(AND(D43&lt;&gt;0,F43&lt;&gt;0,ISNUMBER(D43),ISNUMBER(F43)),F43/D43,"-    ")</f>
        <v>-3.6604203508651106E-3</v>
      </c>
      <c r="H43" s="202"/>
      <c r="I43" s="27">
        <f>SUM(I29:I42)</f>
        <v>32757.07</v>
      </c>
      <c r="J43" s="27">
        <f>SUM(J29:J42)</f>
        <v>16378.535</v>
      </c>
      <c r="K43" s="27">
        <f>SUM(K29:K42)</f>
        <v>15599.43</v>
      </c>
      <c r="L43" s="169">
        <f>K43-J43</f>
        <v>-779.10499999999956</v>
      </c>
      <c r="M43" s="201">
        <f>IF(AND(J43&lt;&gt;0,L43&lt;&gt;0,ISNUMBER(J43),ISNUMBER(L43)),L43/J43,"-    ")</f>
        <v>-4.7568662276571111E-2</v>
      </c>
      <c r="N43" s="203"/>
      <c r="O43" s="27">
        <f>SUM(O29:O42)</f>
        <v>2255322.9700000002</v>
      </c>
      <c r="P43" s="27">
        <f>SUM(P29:P42)</f>
        <v>1127661.4850000001</v>
      </c>
      <c r="Q43" s="27">
        <f>SUM(Q29:Q42)</f>
        <v>281640.55</v>
      </c>
      <c r="R43" s="169">
        <f>Q43-P43</f>
        <v>-846020.93500000006</v>
      </c>
      <c r="S43" s="201">
        <f>IF(AND(P43&lt;&gt;0,R43&lt;&gt;0,ISNUMBER(P43),ISNUMBER(R43)),R43/P43,"-    ")</f>
        <v>-0.7502437089974745</v>
      </c>
      <c r="T43" s="203"/>
      <c r="U43" s="27">
        <f>SUM(U29:U42)</f>
        <v>767305.22</v>
      </c>
      <c r="V43" s="27">
        <f>SUM(V29:V42)</f>
        <v>383652.61</v>
      </c>
      <c r="W43" s="27">
        <f>SUM(W29:W42)</f>
        <v>79886.010000000009</v>
      </c>
      <c r="X43" s="169">
        <f>W43-V43</f>
        <v>-303766.59999999998</v>
      </c>
      <c r="Y43" s="201">
        <f>IF(AND(V43&lt;&gt;0,X43&lt;&gt;0,ISNUMBER(V43),ISNUMBER(X43)),X43/V43,"-    ")</f>
        <v>-0.79177514262186299</v>
      </c>
      <c r="Z43" s="203"/>
      <c r="AA43" s="27">
        <f>SUM(AA29:AA42)</f>
        <v>11300</v>
      </c>
      <c r="AB43" s="27">
        <f>SUM(AB29:AB42)</f>
        <v>5650</v>
      </c>
      <c r="AC43" s="27">
        <f>SUM(AC29:AC42)</f>
        <v>4164.1000000000004</v>
      </c>
      <c r="AD43" s="169">
        <f>AC43-AB43</f>
        <v>-1485.8999999999996</v>
      </c>
      <c r="AE43" s="201">
        <f>IF(AND(AB43&lt;&gt;0,AD43&lt;&gt;0,ISNUMBER(AB43),ISNUMBER(AD43)),AD43/AB43,"-    ")</f>
        <v>-0.26299115044247784</v>
      </c>
      <c r="AF43" s="203"/>
      <c r="AG43" s="27">
        <f>SUM(AG29:AG42)</f>
        <v>0</v>
      </c>
      <c r="AH43" s="27">
        <f>SUM(AH29:AH42)</f>
        <v>0</v>
      </c>
      <c r="AI43" s="27">
        <f>SUM(AI29:AI42)</f>
        <v>0</v>
      </c>
      <c r="AJ43" s="169">
        <f>AI43-AH43</f>
        <v>0</v>
      </c>
      <c r="AK43" s="201" t="str">
        <f>IF(AND(AH43&lt;&gt;0,AJ43&lt;&gt;0,ISNUMBER(AH43),ISNUMBER(AJ43)),AJ43/AH43,"-    ")</f>
        <v xml:space="preserve">-    </v>
      </c>
      <c r="AL43" s="23">
        <f>C43+I43+O43+U43+AA43+AG43</f>
        <v>3174137.4000000004</v>
      </c>
      <c r="AM43" s="23">
        <f>D43+J43+P43+V43+AB43+AH43</f>
        <v>1587068.7000000002</v>
      </c>
      <c r="AN43" s="23">
        <f>E43+K43+Q43+W43+AC43+AI43</f>
        <v>434819.5</v>
      </c>
      <c r="AO43" s="90">
        <f>AN43-AM43</f>
        <v>-1152249.2000000002</v>
      </c>
      <c r="AP43" s="50">
        <f>IF(AND(AM43&lt;&gt;0,AO43&lt;&gt;0,ISNUMBER(AM43),ISNUMBER(AO43)),AO43/AM43,"-    ")</f>
        <v>-0.72602351744445592</v>
      </c>
    </row>
    <row r="44" spans="1:42" s="204" customFormat="1" ht="15.75" x14ac:dyDescent="0.25">
      <c r="A44" s="220"/>
      <c r="B44" s="205"/>
      <c r="C44" s="206"/>
      <c r="D44" s="206"/>
      <c r="E44" s="206"/>
      <c r="F44" s="207"/>
      <c r="G44" s="208"/>
      <c r="H44" s="209"/>
      <c r="I44" s="206"/>
      <c r="J44" s="206"/>
      <c r="K44" s="206"/>
      <c r="L44" s="207"/>
      <c r="M44" s="210"/>
      <c r="N44" s="211"/>
      <c r="O44" s="206"/>
      <c r="P44" s="206"/>
      <c r="Q44" s="206"/>
      <c r="R44" s="207"/>
      <c r="S44" s="210"/>
      <c r="T44" s="211"/>
      <c r="U44" s="206"/>
      <c r="V44" s="206"/>
      <c r="W44" s="206"/>
      <c r="X44" s="207"/>
      <c r="Y44" s="210"/>
      <c r="Z44" s="211"/>
      <c r="AA44" s="206"/>
      <c r="AB44" s="206"/>
      <c r="AC44" s="206"/>
      <c r="AD44" s="207"/>
      <c r="AE44" s="210"/>
      <c r="AF44" s="211"/>
      <c r="AG44" s="206"/>
      <c r="AH44" s="206"/>
      <c r="AI44" s="206"/>
      <c r="AJ44" s="207"/>
      <c r="AK44" s="210"/>
      <c r="AL44" s="114"/>
      <c r="AM44" s="114"/>
      <c r="AN44" s="114"/>
      <c r="AO44" s="212"/>
      <c r="AP44" s="49"/>
    </row>
    <row r="45" spans="1:42" s="204" customFormat="1" ht="15.75" x14ac:dyDescent="0.25">
      <c r="A45" s="221" t="s">
        <v>30</v>
      </c>
      <c r="B45" s="213"/>
      <c r="C45" s="214">
        <f>C27+C43</f>
        <v>4266045.1399999997</v>
      </c>
      <c r="D45" s="214">
        <f>D27+D43</f>
        <v>2133022.5699999998</v>
      </c>
      <c r="E45" s="214">
        <f>E27+E43</f>
        <v>2017703.1900000002</v>
      </c>
      <c r="F45" s="166">
        <f>E45-D45</f>
        <v>-115319.37999999966</v>
      </c>
      <c r="G45" s="215">
        <f>IF(AND(D45&lt;&gt;0,F45&lt;&gt;0,ISNUMBER(D45),ISNUMBER(F45)),F45/D45,"-    ")</f>
        <v>-5.4063834870720411E-2</v>
      </c>
      <c r="H45" s="216"/>
      <c r="I45" s="214">
        <f>I27+I43</f>
        <v>959756.07</v>
      </c>
      <c r="J45" s="214">
        <f>J27+J43</f>
        <v>479878.03499999997</v>
      </c>
      <c r="K45" s="214">
        <f>K27+K43</f>
        <v>457014.95</v>
      </c>
      <c r="L45" s="166">
        <f>K45-J45</f>
        <v>-22863.084999999963</v>
      </c>
      <c r="M45" s="217">
        <f>IF(AND(J45&lt;&gt;0,L45&lt;&gt;0,ISNUMBER(J45),ISNUMBER(L45)),L45/J45,"-    ")</f>
        <v>-4.764353300729833E-2</v>
      </c>
      <c r="N45" s="218"/>
      <c r="O45" s="214">
        <f>O27+O43</f>
        <v>8678703.9700000007</v>
      </c>
      <c r="P45" s="214">
        <f>P27+P43</f>
        <v>4339351.9850000003</v>
      </c>
      <c r="Q45" s="214">
        <f>Q27+Q43</f>
        <v>3751273.1799999997</v>
      </c>
      <c r="R45" s="166">
        <f>Q45-P45</f>
        <v>-588078.80500000063</v>
      </c>
      <c r="S45" s="217">
        <f>IF(AND(P45&lt;&gt;0,R45&lt;&gt;0,ISNUMBER(P45),ISNUMBER(R45)),R45/P45,"-    ")</f>
        <v>-0.13552226393084371</v>
      </c>
      <c r="T45" s="218"/>
      <c r="U45" s="214">
        <f>U27+U43</f>
        <v>2710565.2199999997</v>
      </c>
      <c r="V45" s="214">
        <f>V27+V43</f>
        <v>1355282.6099999999</v>
      </c>
      <c r="W45" s="214">
        <f>W27+W43</f>
        <v>1021704.68</v>
      </c>
      <c r="X45" s="166">
        <f>W45-V45</f>
        <v>-333577.92999999982</v>
      </c>
      <c r="Y45" s="217">
        <f>IF(AND(V45&lt;&gt;0,X45&lt;&gt;0,ISNUMBER(V45),ISNUMBER(X45)),X45/V45,"-    ")</f>
        <v>-0.24613163892068227</v>
      </c>
      <c r="Z45" s="218"/>
      <c r="AA45" s="214">
        <f>AA27+AA43</f>
        <v>11300</v>
      </c>
      <c r="AB45" s="214">
        <f>AB27+AB43</f>
        <v>5650</v>
      </c>
      <c r="AC45" s="214">
        <f>AC27+AC43</f>
        <v>4164.1000000000004</v>
      </c>
      <c r="AD45" s="166">
        <f>AC45-AB45</f>
        <v>-1485.8999999999996</v>
      </c>
      <c r="AE45" s="217">
        <f>IF(AND(AB45&lt;&gt;0,AD45&lt;&gt;0,ISNUMBER(AB45),ISNUMBER(AD45)),AD45/AB45,"-    ")</f>
        <v>-0.26299115044247784</v>
      </c>
      <c r="AF45" s="218"/>
      <c r="AG45" s="214">
        <f>AG27+AG43</f>
        <v>0</v>
      </c>
      <c r="AH45" s="214">
        <f>AH27+AH43</f>
        <v>0</v>
      </c>
      <c r="AI45" s="214">
        <f>AI27+AI43</f>
        <v>0</v>
      </c>
      <c r="AJ45" s="166">
        <f>AI45-AH45</f>
        <v>0</v>
      </c>
      <c r="AK45" s="217" t="str">
        <f>IF(AND(AH45&lt;&gt;0,AJ45&lt;&gt;0,ISNUMBER(AH45),ISNUMBER(AJ45)),AJ45/AH45,"-    ")</f>
        <v xml:space="preserve">-    </v>
      </c>
      <c r="AL45" s="116">
        <f>C45+I45+O45+U45+AA45+AG45</f>
        <v>16626370.399999999</v>
      </c>
      <c r="AM45" s="116">
        <f>D45+J45+P45+V45+AB45+AH45</f>
        <v>8313185.1999999993</v>
      </c>
      <c r="AN45" s="116">
        <f>E45+K45+Q45+W45+AC45+AI45</f>
        <v>7251860.0999999996</v>
      </c>
      <c r="AO45" s="88">
        <f>AN45-AM45</f>
        <v>-1061325.0999999996</v>
      </c>
      <c r="AP45" s="55">
        <f>IF(AND(AM45&lt;&gt;0,AO45&lt;&gt;0,ISNUMBER(AM45),ISNUMBER(AO45)),AO45/AM45,"-    ")</f>
        <v>-0.12766768386201713</v>
      </c>
    </row>
    <row r="46" spans="1:42" ht="15.75" x14ac:dyDescent="0.25">
      <c r="A46" s="113"/>
      <c r="C46" s="120">
        <f>C45-'TB - Revenue Data'!D105</f>
        <v>0</v>
      </c>
      <c r="D46" s="113"/>
      <c r="E46" s="121">
        <f>E45+'TB - Revenue Data'!H105</f>
        <v>0</v>
      </c>
      <c r="F46" s="29"/>
      <c r="G46" s="29"/>
      <c r="H46" s="29"/>
      <c r="I46" s="120">
        <f>I45-'TB - Revenue Data'!D106</f>
        <v>0</v>
      </c>
      <c r="J46" s="129"/>
      <c r="K46" s="121">
        <f>K45+'TB - Revenue Data'!H106</f>
        <v>0</v>
      </c>
      <c r="L46" s="29"/>
      <c r="M46" s="29"/>
      <c r="N46" s="29"/>
      <c r="O46" s="120">
        <f>O45-'TB - Revenue Data'!D107</f>
        <v>0</v>
      </c>
      <c r="P46" s="113"/>
      <c r="Q46" s="121">
        <f>Q45+'TB - Revenue Data'!H107</f>
        <v>0</v>
      </c>
      <c r="R46" s="29"/>
      <c r="S46" s="29"/>
      <c r="T46" s="29"/>
      <c r="U46" s="120">
        <f>U45-'TB - Revenue Data'!D108</f>
        <v>0</v>
      </c>
      <c r="V46" s="113"/>
      <c r="W46" s="121">
        <f>W45+'TB - Revenue Data'!H108</f>
        <v>0</v>
      </c>
      <c r="X46" s="29"/>
      <c r="Y46" s="29"/>
      <c r="Z46" s="29"/>
      <c r="AA46" s="120">
        <f>AA45-'TB - Revenue Data'!D109</f>
        <v>0</v>
      </c>
      <c r="AB46" s="113"/>
      <c r="AC46" s="121">
        <f>AC45+'TB - Revenue Data'!H109</f>
        <v>0</v>
      </c>
      <c r="AD46" s="29"/>
      <c r="AE46" s="29"/>
      <c r="AF46" s="29"/>
      <c r="AG46" s="121">
        <f>AG45-'TB - Revenue Data'!D110</f>
        <v>0</v>
      </c>
      <c r="AH46" s="113"/>
      <c r="AI46" s="121">
        <f>AI45+'TB - Revenue Data'!H110</f>
        <v>0</v>
      </c>
      <c r="AJ46" s="29"/>
      <c r="AK46" s="113"/>
      <c r="AL46" s="121">
        <f>AL45-'TB - Revenue Data'!D105-'TB - Revenue Data'!D106-'TB - Revenue Data'!D107-'TB - Revenue Data'!D108-'TB - Revenue Data'!D109-'TB - Revenue Data'!D110</f>
        <v>-2.7939677238464355E-9</v>
      </c>
      <c r="AM46" s="113"/>
      <c r="AN46" s="121">
        <f>AN45+'TB - Revenue Data'!H105+'TB - Revenue Data'!H106+'TB - Revenue Data'!H107+'TB - Revenue Data'!H108+'TB - Revenue Data'!H109+'TB - Revenue Data'!H110</f>
        <v>-1.1878000805154443E-9</v>
      </c>
    </row>
  </sheetData>
  <sheetProtection password="CFD3" sheet="1" objects="1" scenarios="1" selectLockedCells="1" selectUnlockedCells="1"/>
  <mergeCells count="7">
    <mergeCell ref="U5:Y5"/>
    <mergeCell ref="AA5:AE5"/>
    <mergeCell ref="AG5:AK5"/>
    <mergeCell ref="AL5:AP5"/>
    <mergeCell ref="C5:G5"/>
    <mergeCell ref="I5:M5"/>
    <mergeCell ref="O5:S5"/>
  </mergeCells>
  <printOptions horizontalCentered="1"/>
  <pageMargins left="0.7" right="0.7" top="0.75" bottom="0.75" header="0.3" footer="0.3"/>
  <pageSetup scale="49" firstPageNumber="2" orientation="landscape" useFirstPageNumber="1" r:id="rId1"/>
  <headerFooter>
    <oddFooter>&amp;L&amp;F - &amp;A&amp;CMarina Coast Water District&amp;R&amp;P</oddFooter>
  </headerFooter>
  <colBreaks count="3" manualBreakCount="3">
    <brk id="13" min="4" max="44" man="1"/>
    <brk id="25" min="4" max="44" man="1"/>
    <brk id="32" min="4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  <pageSetUpPr fitToPage="1"/>
  </sheetPr>
  <dimension ref="A1:AP78"/>
  <sheetViews>
    <sheetView view="pageBreakPreview" zoomScale="50" zoomScaleNormal="100" zoomScaleSheetLayoutView="50" workbookViewId="0">
      <pane xSplit="1" ySplit="7" topLeftCell="B21" activePane="bottomRight" state="frozenSplit"/>
      <selection pane="topRight"/>
      <selection pane="bottomLeft" activeCell="A7" sqref="A7"/>
      <selection pane="bottomRight" activeCell="AU36" sqref="AU36"/>
    </sheetView>
  </sheetViews>
  <sheetFormatPr defaultColWidth="9.140625" defaultRowHeight="15.75" outlineLevelRow="1" outlineLevelCol="1" x14ac:dyDescent="0.25"/>
  <cols>
    <col min="1" max="1" width="40.42578125" style="3" bestFit="1" customWidth="1"/>
    <col min="2" max="2" width="17.7109375" style="69" hidden="1" customWidth="1" outlineLevel="1"/>
    <col min="3" max="3" width="11.7109375" style="53" hidden="1" customWidth="1" collapsed="1"/>
    <col min="4" max="4" width="11.7109375" style="53" hidden="1" customWidth="1"/>
    <col min="5" max="5" width="11.5703125" style="3" hidden="1" customWidth="1"/>
    <col min="6" max="7" width="17.42578125" style="53" hidden="1" customWidth="1"/>
    <col min="8" max="8" width="17.7109375" style="53" hidden="1" customWidth="1" outlineLevel="1"/>
    <col min="9" max="9" width="11.5703125" style="3" hidden="1" customWidth="1" collapsed="1"/>
    <col min="10" max="11" width="11.5703125" style="3" hidden="1" customWidth="1"/>
    <col min="12" max="13" width="17.42578125" style="53" hidden="1" customWidth="1"/>
    <col min="14" max="14" width="17.7109375" style="69" hidden="1" customWidth="1" outlineLevel="1"/>
    <col min="15" max="15" width="17.28515625" style="3" customWidth="1" collapsed="1"/>
    <col min="16" max="16" width="15.7109375" style="3" customWidth="1"/>
    <col min="17" max="17" width="19.28515625" style="3" customWidth="1"/>
    <col min="18" max="19" width="17.28515625" style="53" customWidth="1"/>
    <col min="20" max="20" width="17.7109375" style="53" hidden="1" customWidth="1" outlineLevel="1"/>
    <col min="21" max="21" width="15.7109375" style="3" customWidth="1" collapsed="1"/>
    <col min="22" max="22" width="16" style="3" customWidth="1"/>
    <col min="23" max="23" width="14.85546875" style="3" customWidth="1"/>
    <col min="24" max="25" width="17.28515625" style="53" customWidth="1"/>
    <col min="26" max="26" width="13.28515625" style="69" hidden="1" customWidth="1" outlineLevel="1"/>
    <col min="27" max="27" width="11.5703125" style="3" hidden="1" customWidth="1" collapsed="1"/>
    <col min="28" max="29" width="11.5703125" style="3" hidden="1" customWidth="1"/>
    <col min="30" max="31" width="17.28515625" style="53" hidden="1" customWidth="1"/>
    <col min="32" max="32" width="13.140625" style="53" hidden="1" customWidth="1" outlineLevel="1"/>
    <col min="33" max="33" width="11.5703125" style="3" hidden="1" customWidth="1" collapsed="1"/>
    <col min="34" max="35" width="11.5703125" style="3" hidden="1" customWidth="1"/>
    <col min="36" max="37" width="17.28515625" style="53" hidden="1" customWidth="1"/>
    <col min="38" max="38" width="17.42578125" style="3" hidden="1" customWidth="1"/>
    <col min="39" max="40" width="16.28515625" style="3" hidden="1" customWidth="1"/>
    <col min="41" max="42" width="17.42578125" style="53" hidden="1" customWidth="1"/>
    <col min="43" max="16384" width="9.140625" style="3"/>
  </cols>
  <sheetData>
    <row r="1" spans="1:42" s="1" customFormat="1" x14ac:dyDescent="0.25">
      <c r="A1" s="87" t="s">
        <v>31</v>
      </c>
      <c r="B1" s="87"/>
      <c r="C1" s="87"/>
      <c r="D1" s="87"/>
      <c r="E1" s="87"/>
      <c r="F1" s="46"/>
      <c r="G1" s="46"/>
      <c r="H1" s="46"/>
      <c r="L1" s="46"/>
      <c r="M1" s="46"/>
      <c r="N1" s="68"/>
      <c r="R1" s="46"/>
      <c r="S1" s="46"/>
      <c r="T1" s="46"/>
      <c r="X1" s="46"/>
      <c r="Y1" s="46"/>
      <c r="Z1" s="68"/>
      <c r="AD1" s="46"/>
      <c r="AE1" s="46"/>
      <c r="AF1" s="46"/>
      <c r="AJ1" s="46"/>
      <c r="AK1" s="46"/>
      <c r="AO1" s="46"/>
      <c r="AP1" s="46"/>
    </row>
    <row r="2" spans="1:42" s="1" customFormat="1" x14ac:dyDescent="0.25">
      <c r="A2" s="87" t="s">
        <v>1259</v>
      </c>
      <c r="B2" s="87"/>
      <c r="C2" s="87"/>
      <c r="D2" s="87"/>
      <c r="E2" s="87"/>
      <c r="F2" s="46"/>
      <c r="G2" s="46"/>
      <c r="H2" s="46"/>
      <c r="L2" s="46"/>
      <c r="M2" s="46"/>
      <c r="N2" s="68"/>
      <c r="R2" s="46"/>
      <c r="S2" s="46"/>
      <c r="T2" s="46"/>
      <c r="X2" s="46"/>
      <c r="Y2" s="46"/>
      <c r="Z2" s="68"/>
      <c r="AD2" s="46"/>
      <c r="AE2" s="46"/>
      <c r="AF2" s="46"/>
      <c r="AJ2" s="46"/>
      <c r="AK2" s="46"/>
      <c r="AO2" s="46"/>
      <c r="AP2" s="46"/>
    </row>
    <row r="3" spans="1:42" s="1" customFormat="1" x14ac:dyDescent="0.25">
      <c r="A3" s="1" t="s">
        <v>1925</v>
      </c>
      <c r="B3" s="68"/>
      <c r="C3" s="46"/>
      <c r="D3" s="46"/>
      <c r="F3" s="46"/>
      <c r="G3" s="46"/>
      <c r="H3" s="46"/>
      <c r="L3" s="46"/>
      <c r="M3" s="46"/>
      <c r="N3" s="68"/>
      <c r="R3" s="46"/>
      <c r="S3" s="46"/>
      <c r="T3" s="46"/>
      <c r="X3" s="46"/>
      <c r="Y3" s="46"/>
      <c r="Z3" s="68"/>
      <c r="AD3" s="46"/>
      <c r="AE3" s="46"/>
      <c r="AF3" s="46"/>
      <c r="AJ3" s="46"/>
      <c r="AK3" s="46"/>
      <c r="AO3" s="46"/>
      <c r="AP3" s="46"/>
    </row>
    <row r="4" spans="1:42" s="1" customFormat="1" x14ac:dyDescent="0.25">
      <c r="B4" s="68"/>
      <c r="C4" s="46"/>
      <c r="D4" s="46"/>
      <c r="F4" s="46"/>
      <c r="G4" s="46"/>
      <c r="H4" s="46"/>
      <c r="L4" s="46"/>
      <c r="M4" s="46"/>
      <c r="N4" s="68"/>
      <c r="R4" s="46"/>
      <c r="S4" s="46"/>
      <c r="T4" s="46"/>
      <c r="X4" s="46"/>
      <c r="Y4" s="46"/>
      <c r="Z4" s="68"/>
      <c r="AD4" s="46"/>
      <c r="AE4" s="46"/>
      <c r="AF4" s="46"/>
      <c r="AJ4" s="46"/>
      <c r="AK4" s="46"/>
      <c r="AO4" s="46"/>
      <c r="AP4" s="46"/>
    </row>
    <row r="5" spans="1:42" x14ac:dyDescent="0.25">
      <c r="A5" s="2" t="s">
        <v>0</v>
      </c>
      <c r="B5" s="80"/>
      <c r="C5" s="569" t="s">
        <v>25</v>
      </c>
      <c r="D5" s="567"/>
      <c r="E5" s="567"/>
      <c r="F5" s="567"/>
      <c r="G5" s="568"/>
      <c r="H5" s="76"/>
      <c r="I5" s="569" t="s">
        <v>26</v>
      </c>
      <c r="J5" s="567"/>
      <c r="K5" s="567"/>
      <c r="L5" s="567"/>
      <c r="M5" s="568"/>
      <c r="N5" s="76"/>
      <c r="O5" s="569" t="s">
        <v>27</v>
      </c>
      <c r="P5" s="567"/>
      <c r="Q5" s="567"/>
      <c r="R5" s="567"/>
      <c r="S5" s="568"/>
      <c r="T5" s="76"/>
      <c r="U5" s="569" t="s">
        <v>28</v>
      </c>
      <c r="V5" s="567"/>
      <c r="W5" s="567"/>
      <c r="X5" s="567"/>
      <c r="Y5" s="568"/>
      <c r="Z5" s="76"/>
      <c r="AA5" s="569" t="s">
        <v>184</v>
      </c>
      <c r="AB5" s="567"/>
      <c r="AC5" s="567"/>
      <c r="AD5" s="567"/>
      <c r="AE5" s="568"/>
      <c r="AF5" s="76"/>
      <c r="AG5" s="569" t="s">
        <v>187</v>
      </c>
      <c r="AH5" s="567"/>
      <c r="AI5" s="567"/>
      <c r="AJ5" s="567"/>
      <c r="AK5" s="568"/>
      <c r="AL5" s="569" t="s">
        <v>29</v>
      </c>
      <c r="AM5" s="567"/>
      <c r="AN5" s="567"/>
      <c r="AO5" s="567"/>
      <c r="AP5" s="568"/>
    </row>
    <row r="6" spans="1:42" s="29" customFormat="1" x14ac:dyDescent="0.25">
      <c r="A6" s="37" t="s">
        <v>23</v>
      </c>
      <c r="B6" s="77" t="s">
        <v>952</v>
      </c>
      <c r="C6" s="35" t="str">
        <f>Revenue!C6</f>
        <v>ANNUAL</v>
      </c>
      <c r="D6" s="24" t="str">
        <f>Revenue!D6</f>
        <v>JUL - DEC</v>
      </c>
      <c r="E6" s="24" t="str">
        <f>Revenue!E6</f>
        <v>JUL - DEC</v>
      </c>
      <c r="F6" s="24" t="str">
        <f>Revenue!F6</f>
        <v>BUD vs ACTUALS</v>
      </c>
      <c r="G6" s="36" t="str">
        <f>Revenue!G6</f>
        <v>BUD vs ACTUALS</v>
      </c>
      <c r="H6" s="77" t="s">
        <v>952</v>
      </c>
      <c r="I6" s="35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35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35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77" t="s">
        <v>952</v>
      </c>
      <c r="AA6" s="35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77" t="s">
        <v>952</v>
      </c>
      <c r="AG6" s="35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35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x14ac:dyDescent="0.25">
      <c r="A7" s="5"/>
      <c r="B7" s="78" t="s">
        <v>953</v>
      </c>
      <c r="C7" s="154" t="str">
        <f>Revenue!C7</f>
        <v>BUDGET</v>
      </c>
      <c r="D7" s="6" t="str">
        <f>Revenue!D7</f>
        <v>BUDGET</v>
      </c>
      <c r="E7" s="6" t="str">
        <f>Revenue!E7</f>
        <v>ACTUALS</v>
      </c>
      <c r="F7" s="6" t="str">
        <f>Revenue!F7</f>
        <v>$ CHANGE</v>
      </c>
      <c r="G7" s="7" t="str">
        <f>Revenue!G7</f>
        <v>% CHANGE</v>
      </c>
      <c r="H7" s="78" t="s">
        <v>953</v>
      </c>
      <c r="I7" s="154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154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154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78" t="s">
        <v>953</v>
      </c>
      <c r="AA7" s="154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78" t="s">
        <v>953</v>
      </c>
      <c r="AG7" s="154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154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x14ac:dyDescent="0.25">
      <c r="A8" s="8"/>
      <c r="B8" s="106"/>
      <c r="C8" s="155"/>
      <c r="D8" s="56"/>
      <c r="E8" s="9"/>
      <c r="F8" s="56"/>
      <c r="G8" s="57"/>
      <c r="H8" s="109"/>
      <c r="I8" s="161"/>
      <c r="J8" s="9"/>
      <c r="K8" s="9"/>
      <c r="L8" s="56"/>
      <c r="M8" s="57"/>
      <c r="N8" s="106"/>
      <c r="O8" s="161"/>
      <c r="P8" s="9"/>
      <c r="Q8" s="9"/>
      <c r="R8" s="56"/>
      <c r="S8" s="57"/>
      <c r="T8" s="109"/>
      <c r="U8" s="161"/>
      <c r="V8" s="9"/>
      <c r="W8" s="9"/>
      <c r="X8" s="56"/>
      <c r="Y8" s="57"/>
      <c r="Z8" s="106"/>
      <c r="AA8" s="161"/>
      <c r="AB8" s="9"/>
      <c r="AC8" s="9"/>
      <c r="AD8" s="56"/>
      <c r="AE8" s="57"/>
      <c r="AF8" s="109"/>
      <c r="AG8" s="161"/>
      <c r="AH8" s="9"/>
      <c r="AI8" s="9"/>
      <c r="AJ8" s="56"/>
      <c r="AK8" s="57"/>
      <c r="AL8" s="161"/>
      <c r="AM8" s="9"/>
      <c r="AN8" s="9"/>
      <c r="AO8" s="56"/>
      <c r="AP8" s="57"/>
    </row>
    <row r="9" spans="1:42" x14ac:dyDescent="0.25">
      <c r="A9" s="16" t="s">
        <v>1249</v>
      </c>
      <c r="B9" s="131" t="s">
        <v>1260</v>
      </c>
      <c r="C9" s="156">
        <f>SUMIF('TB - Expense Data'!$G$3:$G$757,B9,'TB - Expense Data'!$J$3:$J$757)</f>
        <v>939703.72</v>
      </c>
      <c r="D9" s="14">
        <f>C9/2</f>
        <v>469851.86</v>
      </c>
      <c r="E9" s="26">
        <f>SUMIF('TB - Expense Data'!$G$3:$G$757,B9,'TB - Expense Data'!$N$3:$N$757)</f>
        <v>371795.86000000004</v>
      </c>
      <c r="F9" s="92">
        <f>E9-D9</f>
        <v>-98055.999999999942</v>
      </c>
      <c r="G9" s="186">
        <f>IF(AND(D9&lt;&gt;0,F9&lt;&gt;0,ISNUMBER(D9),ISNUMBER(F9)),F9/D9,"-    ")</f>
        <v>-0.20869556630040784</v>
      </c>
      <c r="H9" s="131" t="s">
        <v>1261</v>
      </c>
      <c r="I9" s="156">
        <f>SUMIF('TB - Expense Data'!$G$3:$G$757,H9,'TB - Expense Data'!$J$3:$J$757)</f>
        <v>297396.04000000004</v>
      </c>
      <c r="J9" s="14">
        <f>I9/2</f>
        <v>148698.02000000002</v>
      </c>
      <c r="K9" s="26">
        <f>SUMIF('TB - Expense Data'!$G$3:$G$757,H9,'TB - Expense Data'!$N$3:$N$757)</f>
        <v>124402.66</v>
      </c>
      <c r="L9" s="92">
        <f>K9-J9</f>
        <v>-24295.360000000015</v>
      </c>
      <c r="M9" s="186">
        <f>IF(AND(J9&lt;&gt;0,L9&lt;&gt;0,ISNUMBER(J9),ISNUMBER(L9)),L9/J9,"-    ")</f>
        <v>-0.16338724617853023</v>
      </c>
      <c r="N9" s="81" t="s">
        <v>1262</v>
      </c>
      <c r="O9" s="156">
        <f>SUMIF('TB - Expense Data'!$G$3:$G$757,N9,'TB - Expense Data'!$J$3:$J$757)</f>
        <v>1456243.4799999997</v>
      </c>
      <c r="P9" s="14">
        <f>O9/2</f>
        <v>728121.73999999987</v>
      </c>
      <c r="Q9" s="26">
        <f>SUMIF('TB - Expense Data'!$G$3:$G$757,N9,'TB - Expense Data'!$N$3:$N$757)</f>
        <v>642777.43999999994</v>
      </c>
      <c r="R9" s="92">
        <f>Q9-P9</f>
        <v>-85344.29999999993</v>
      </c>
      <c r="S9" s="186">
        <f>IF(AND(P9&lt;&gt;0,R9&lt;&gt;0,ISNUMBER(P9),ISNUMBER(R9)),R9/P9,"-    ")</f>
        <v>-0.11721158057991778</v>
      </c>
      <c r="T9" s="81" t="s">
        <v>1263</v>
      </c>
      <c r="U9" s="156">
        <f>SUMIF('TB - Expense Data'!$G$3:$G$757,T9,'TB - Expense Data'!$J$3:$J$757)</f>
        <v>370768.76</v>
      </c>
      <c r="V9" s="14">
        <f>U9/2</f>
        <v>185384.38</v>
      </c>
      <c r="W9" s="26">
        <f>SUMIF('TB - Expense Data'!$G$3:$G$757,T9,'TB - Expense Data'!$N$3:$N$757)</f>
        <v>168810.83000000002</v>
      </c>
      <c r="X9" s="92">
        <f>W9-V9</f>
        <v>-16573.549999999988</v>
      </c>
      <c r="Y9" s="186">
        <f>IF(AND(V9&lt;&gt;0,X9&lt;&gt;0,ISNUMBER(V9),ISNUMBER(X9)),X9/V9,"-    ")</f>
        <v>-8.9401005629492561E-2</v>
      </c>
      <c r="Z9" s="131" t="s">
        <v>979</v>
      </c>
      <c r="AA9" s="156">
        <f>SUMIF('TB - Expense Data'!$G$3:$G$757,Z9,'TB - Expense Data'!$J$3:$J$757)</f>
        <v>0</v>
      </c>
      <c r="AB9" s="14">
        <f>AA9/2</f>
        <v>0</v>
      </c>
      <c r="AC9" s="26">
        <f>SUMIF('TB - Expense Data'!$G$3:$G$757,Z9,'TB - Expense Data'!$N$3:$N$757)</f>
        <v>0</v>
      </c>
      <c r="AD9" s="92">
        <f>AC9-AB9</f>
        <v>0</v>
      </c>
      <c r="AE9" s="186" t="str">
        <f>IF(AND(AB9&lt;&gt;0,AD9&lt;&gt;0,ISNUMBER(AB9),ISNUMBER(AD9)),AD9/AB9,"-    ")</f>
        <v xml:space="preserve">-    </v>
      </c>
      <c r="AF9" s="131" t="s">
        <v>979</v>
      </c>
      <c r="AG9" s="156">
        <f>SUMIF('TB - Expense Data'!$G$3:$G$757,AF9,'TB - Expense Data'!$J$3:$J$757)</f>
        <v>0</v>
      </c>
      <c r="AH9" s="14">
        <f>AG9/2</f>
        <v>0</v>
      </c>
      <c r="AI9" s="26">
        <f>SUMIF('TB - Expense Data'!$G$3:$G$757,AF9,'TB - Expense Data'!$N$3:$N$757)</f>
        <v>0</v>
      </c>
      <c r="AJ9" s="92">
        <f>AI9-AH9</f>
        <v>0</v>
      </c>
      <c r="AK9" s="186" t="str">
        <f>IF(AND(AH9&lt;&gt;0,AJ9&lt;&gt;0,ISNUMBER(AH9),ISNUMBER(AJ9)),AJ9/AH9,"-    ")</f>
        <v xml:space="preserve">-    </v>
      </c>
      <c r="AL9" s="156">
        <f>C9+I9+O9+U9+AA9+AG9</f>
        <v>3064112</v>
      </c>
      <c r="AM9" s="14">
        <f>D9+J9+P9+V9+AB9+AH9</f>
        <v>1532056</v>
      </c>
      <c r="AN9" s="26">
        <f>E9+K9+Q9+W9+AC9+AI9</f>
        <v>1307786.79</v>
      </c>
      <c r="AO9" s="92">
        <f>AN9-AM9</f>
        <v>-224269.20999999996</v>
      </c>
      <c r="AP9" s="186">
        <f>IF(AND(AM9&lt;&gt;0,AO9&lt;&gt;0,ISNUMBER(AM9),ISNUMBER(AO9)),AO9/AM9,"-    ")</f>
        <v>-0.14638447289133033</v>
      </c>
    </row>
    <row r="10" spans="1:42" x14ac:dyDescent="0.25">
      <c r="A10" s="13" t="s">
        <v>667</v>
      </c>
      <c r="B10" s="131" t="s">
        <v>1264</v>
      </c>
      <c r="C10" s="156">
        <f>SUMIF('TB - Expense Data'!$G$3:$G$757,B10,'TB - Expense Data'!$J$3:$J$757)</f>
        <v>-112635.4</v>
      </c>
      <c r="D10" s="14">
        <f t="shared" ref="D10:D29" si="0">C10/2</f>
        <v>-56317.7</v>
      </c>
      <c r="E10" s="26">
        <f>SUMIF('TB - Expense Data'!$G$3:$G$757,B10,'TB - Expense Data'!$N$3:$N$757)</f>
        <v>-10546.75</v>
      </c>
      <c r="F10" s="92">
        <f t="shared" ref="F10:F29" si="1">E10-D10</f>
        <v>45770.95</v>
      </c>
      <c r="G10" s="186">
        <f t="shared" ref="G10:G29" si="2">IF(AND(D10&lt;&gt;0,F10&lt;&gt;0,ISNUMBER(D10),ISNUMBER(F10)),F10/D10,"-    ")</f>
        <v>-0.81272761494166135</v>
      </c>
      <c r="H10" s="131" t="s">
        <v>1265</v>
      </c>
      <c r="I10" s="156">
        <f>SUMIF('TB - Expense Data'!$G$3:$G$757,H10,'TB - Expense Data'!$J$3:$J$757)</f>
        <v>-25433.8</v>
      </c>
      <c r="J10" s="14">
        <f t="shared" ref="J10:J29" si="3">I10/2</f>
        <v>-12716.9</v>
      </c>
      <c r="K10" s="26">
        <f>SUMIF('TB - Expense Data'!$G$3:$G$757,H10,'TB - Expense Data'!$N$3:$N$757)</f>
        <v>-3686.59</v>
      </c>
      <c r="L10" s="92">
        <f t="shared" ref="L10:L29" si="4">K10-J10</f>
        <v>9030.31</v>
      </c>
      <c r="M10" s="186">
        <f t="shared" ref="M10:M29" si="5">IF(AND(J10&lt;&gt;0,L10&lt;&gt;0,ISNUMBER(J10),ISNUMBER(L10)),L10/J10,"-    ")</f>
        <v>-0.71010309116215431</v>
      </c>
      <c r="N10" s="81" t="s">
        <v>1266</v>
      </c>
      <c r="O10" s="156">
        <f>SUMIF('TB - Expense Data'!$G$3:$G$757,N10,'TB - Expense Data'!$J$3:$J$757)</f>
        <v>-185303.4</v>
      </c>
      <c r="P10" s="14">
        <f t="shared" ref="P10:P29" si="6">O10/2</f>
        <v>-92651.7</v>
      </c>
      <c r="Q10" s="26">
        <f>SUMIF('TB - Expense Data'!$G$3:$G$757,N10,'TB - Expense Data'!$N$3:$N$757)</f>
        <v>-18783.509999999998</v>
      </c>
      <c r="R10" s="92">
        <f t="shared" ref="R10:R29" si="7">Q10-P10</f>
        <v>73868.19</v>
      </c>
      <c r="S10" s="186">
        <f t="shared" ref="S10:S29" si="8">IF(AND(P10&lt;&gt;0,R10&lt;&gt;0,ISNUMBER(P10),ISNUMBER(R10)),R10/P10,"-    ")</f>
        <v>-0.7972675083133931</v>
      </c>
      <c r="T10" s="81" t="s">
        <v>1267</v>
      </c>
      <c r="U10" s="156">
        <f>SUMIF('TB - Expense Data'!$G$3:$G$757,T10,'TB - Expense Data'!$J$3:$J$757)</f>
        <v>-39967.4</v>
      </c>
      <c r="V10" s="14">
        <f t="shared" ref="V10:V29" si="9">U10/2</f>
        <v>-19983.7</v>
      </c>
      <c r="W10" s="26">
        <f>SUMIF('TB - Expense Data'!$G$3:$G$757,T10,'TB - Expense Data'!$N$3:$N$757)</f>
        <v>-5322.85</v>
      </c>
      <c r="X10" s="92">
        <f t="shared" ref="X10:X29" si="10">W10-V10</f>
        <v>14660.85</v>
      </c>
      <c r="Y10" s="186">
        <f t="shared" ref="Y10:Y29" si="11">IF(AND(V10&lt;&gt;0,X10&lt;&gt;0,ISNUMBER(V10),ISNUMBER(X10)),X10/V10,"-    ")</f>
        <v>-0.73364041693980597</v>
      </c>
      <c r="Z10" s="131" t="s">
        <v>979</v>
      </c>
      <c r="AA10" s="156">
        <f>SUMIF('TB - Expense Data'!$G$3:$G$757,Z10,'TB - Expense Data'!$J$3:$J$757)</f>
        <v>0</v>
      </c>
      <c r="AB10" s="14">
        <f t="shared" ref="AB10:AB29" si="12">AA10/2</f>
        <v>0</v>
      </c>
      <c r="AC10" s="26">
        <f>SUMIF('TB - Expense Data'!$G$3:$G$757,Z10,'TB - Expense Data'!$N$3:$N$757)</f>
        <v>0</v>
      </c>
      <c r="AD10" s="92">
        <f t="shared" ref="AD10:AD29" si="13">AC10-AB10</f>
        <v>0</v>
      </c>
      <c r="AE10" s="186" t="str">
        <f t="shared" ref="AE10:AE29" si="14">IF(AND(AB10&lt;&gt;0,AD10&lt;&gt;0,ISNUMBER(AB10),ISNUMBER(AD10)),AD10/AB10,"-    ")</f>
        <v xml:space="preserve">-    </v>
      </c>
      <c r="AF10" s="131" t="s">
        <v>979</v>
      </c>
      <c r="AG10" s="156">
        <f>SUMIF('TB - Expense Data'!$G$3:$G$757,AF10,'TB - Expense Data'!$J$3:$J$757)</f>
        <v>0</v>
      </c>
      <c r="AH10" s="14">
        <f t="shared" ref="AH10:AH29" si="15">AG10/2</f>
        <v>0</v>
      </c>
      <c r="AI10" s="26">
        <f>SUMIF('TB - Expense Data'!$G$3:$G$757,AF10,'TB - Expense Data'!$N$3:$N$757)</f>
        <v>0</v>
      </c>
      <c r="AJ10" s="92">
        <f t="shared" ref="AJ10:AJ29" si="16">AI10-AH10</f>
        <v>0</v>
      </c>
      <c r="AK10" s="186" t="str">
        <f t="shared" ref="AK10:AK29" si="17">IF(AND(AH10&lt;&gt;0,AJ10&lt;&gt;0,ISNUMBER(AH10),ISNUMBER(AJ10)),AJ10/AH10,"-    ")</f>
        <v xml:space="preserve">-    </v>
      </c>
      <c r="AL10" s="156">
        <f t="shared" ref="AL10:AL29" si="18">C10+I10+O10+U10+AA10+AG10</f>
        <v>-363340</v>
      </c>
      <c r="AM10" s="14">
        <f t="shared" ref="AM10:AM29" si="19">D10+J10+P10+V10+AB10+AH10</f>
        <v>-181670</v>
      </c>
      <c r="AN10" s="26">
        <f t="shared" ref="AN10:AN29" si="20">E10+K10+Q10+W10+AC10+AI10</f>
        <v>-38339.699999999997</v>
      </c>
      <c r="AO10" s="92">
        <f t="shared" ref="AO10:AO29" si="21">AN10-AM10</f>
        <v>143330.29999999999</v>
      </c>
      <c r="AP10" s="186">
        <f t="shared" ref="AP10:AP29" si="22">IF(AND(AM10&lt;&gt;0,AO10&lt;&gt;0,ISNUMBER(AM10),ISNUMBER(AO10)),AO10/AM10,"-    ")</f>
        <v>-0.7889596521164749</v>
      </c>
    </row>
    <row r="11" spans="1:42" s="29" customFormat="1" x14ac:dyDescent="0.25">
      <c r="A11" s="13" t="s">
        <v>37</v>
      </c>
      <c r="B11" s="131" t="s">
        <v>1268</v>
      </c>
      <c r="C11" s="156">
        <f>SUMIF('TB - Expense Data'!$G$3:$G$757,B11,'TB - Expense Data'!$J$3:$J$757)</f>
        <v>19715.080000000002</v>
      </c>
      <c r="D11" s="14">
        <f t="shared" si="0"/>
        <v>9857.5400000000009</v>
      </c>
      <c r="E11" s="26">
        <f>SUMIF('TB - Expense Data'!$G$3:$G$757,B11,'TB - Expense Data'!$N$3:$N$757)</f>
        <v>9044.7800000000007</v>
      </c>
      <c r="F11" s="92">
        <f t="shared" si="1"/>
        <v>-812.76000000000022</v>
      </c>
      <c r="G11" s="186">
        <f t="shared" si="2"/>
        <v>-8.2450591121111361E-2</v>
      </c>
      <c r="H11" s="131" t="s">
        <v>1269</v>
      </c>
      <c r="I11" s="156">
        <f>SUMIF('TB - Expense Data'!$G$3:$G$757,H11,'TB - Expense Data'!$J$3:$J$757)</f>
        <v>6883.36</v>
      </c>
      <c r="J11" s="14">
        <f t="shared" si="3"/>
        <v>3441.68</v>
      </c>
      <c r="K11" s="26">
        <f>SUMIF('TB - Expense Data'!$G$3:$G$757,H11,'TB - Expense Data'!$N$3:$N$757)</f>
        <v>1127.0900000000001</v>
      </c>
      <c r="L11" s="92">
        <f t="shared" si="4"/>
        <v>-2314.5899999999997</v>
      </c>
      <c r="M11" s="186">
        <f t="shared" si="5"/>
        <v>-0.67251749145766015</v>
      </c>
      <c r="N11" s="81" t="s">
        <v>1270</v>
      </c>
      <c r="O11" s="156">
        <f>SUMIF('TB - Expense Data'!$G$3:$G$757,N11,'TB - Expense Data'!$J$3:$J$757)</f>
        <v>28183.879999999997</v>
      </c>
      <c r="P11" s="14">
        <f t="shared" si="6"/>
        <v>14091.939999999999</v>
      </c>
      <c r="Q11" s="26">
        <f>SUMIF('TB - Expense Data'!$G$3:$G$757,N11,'TB - Expense Data'!$N$3:$N$757)</f>
        <v>11285.7</v>
      </c>
      <c r="R11" s="92">
        <f t="shared" si="7"/>
        <v>-2806.239999999998</v>
      </c>
      <c r="S11" s="186">
        <f t="shared" si="8"/>
        <v>-0.19913794693988182</v>
      </c>
      <c r="T11" s="81" t="s">
        <v>1271</v>
      </c>
      <c r="U11" s="156">
        <f>SUMIF('TB - Expense Data'!$G$3:$G$757,T11,'TB - Expense Data'!$J$3:$J$757)</f>
        <v>8266.68</v>
      </c>
      <c r="V11" s="14">
        <f t="shared" si="9"/>
        <v>4133.34</v>
      </c>
      <c r="W11" s="26">
        <f>SUMIF('TB - Expense Data'!$G$3:$G$757,T11,'TB - Expense Data'!$N$3:$N$757)</f>
        <v>2105.3199999999997</v>
      </c>
      <c r="X11" s="92">
        <f t="shared" si="10"/>
        <v>-2028.0200000000004</v>
      </c>
      <c r="Y11" s="186">
        <f t="shared" si="11"/>
        <v>-0.49064920863030875</v>
      </c>
      <c r="Z11" s="131" t="s">
        <v>979</v>
      </c>
      <c r="AA11" s="156">
        <f>SUMIF('TB - Expense Data'!$G$3:$G$757,Z11,'TB - Expense Data'!$J$3:$J$757)</f>
        <v>0</v>
      </c>
      <c r="AB11" s="14">
        <f t="shared" si="12"/>
        <v>0</v>
      </c>
      <c r="AC11" s="26">
        <f>SUMIF('TB - Expense Data'!$G$3:$G$757,Z11,'TB - Expense Data'!$N$3:$N$757)</f>
        <v>0</v>
      </c>
      <c r="AD11" s="92">
        <f t="shared" si="13"/>
        <v>0</v>
      </c>
      <c r="AE11" s="186" t="str">
        <f t="shared" si="14"/>
        <v xml:space="preserve">-    </v>
      </c>
      <c r="AF11" s="131" t="s">
        <v>979</v>
      </c>
      <c r="AG11" s="156">
        <f>SUMIF('TB - Expense Data'!$G$3:$G$757,AF11,'TB - Expense Data'!$J$3:$J$757)</f>
        <v>0</v>
      </c>
      <c r="AH11" s="14">
        <f t="shared" si="15"/>
        <v>0</v>
      </c>
      <c r="AI11" s="26">
        <f>SUMIF('TB - Expense Data'!$G$3:$G$757,AF11,'TB - Expense Data'!$N$3:$N$757)</f>
        <v>0</v>
      </c>
      <c r="AJ11" s="92">
        <f t="shared" si="16"/>
        <v>0</v>
      </c>
      <c r="AK11" s="186" t="str">
        <f t="shared" si="17"/>
        <v xml:space="preserve">-    </v>
      </c>
      <c r="AL11" s="156">
        <f t="shared" si="18"/>
        <v>63049</v>
      </c>
      <c r="AM11" s="14">
        <f t="shared" si="19"/>
        <v>31524.5</v>
      </c>
      <c r="AN11" s="26">
        <f t="shared" si="20"/>
        <v>23562.89</v>
      </c>
      <c r="AO11" s="92">
        <f t="shared" si="21"/>
        <v>-7961.6100000000006</v>
      </c>
      <c r="AP11" s="186">
        <f t="shared" si="22"/>
        <v>-0.25255309362559281</v>
      </c>
    </row>
    <row r="12" spans="1:42" x14ac:dyDescent="0.25">
      <c r="A12" s="44" t="s">
        <v>1076</v>
      </c>
      <c r="B12" s="131" t="s">
        <v>1272</v>
      </c>
      <c r="C12" s="156">
        <f>SUMIF('TB - Expense Data'!$G$3:$G$757,B12,'TB - Expense Data'!$J$3:$J$757)</f>
        <v>9318.4</v>
      </c>
      <c r="D12" s="14">
        <f t="shared" si="0"/>
        <v>4659.2</v>
      </c>
      <c r="E12" s="26">
        <f>SUMIF('TB - Expense Data'!$G$3:$G$757,B12,'TB - Expense Data'!$N$3:$N$757)</f>
        <v>3360</v>
      </c>
      <c r="F12" s="92">
        <f t="shared" si="1"/>
        <v>-1299.1999999999998</v>
      </c>
      <c r="G12" s="186">
        <f t="shared" si="2"/>
        <v>-0.2788461538461538</v>
      </c>
      <c r="H12" s="131" t="s">
        <v>1273</v>
      </c>
      <c r="I12" s="156">
        <f>SUMIF('TB - Expense Data'!$G$3:$G$757,H12,'TB - Expense Data'!$J$3:$J$757)</f>
        <v>4076.8</v>
      </c>
      <c r="J12" s="14">
        <f t="shared" si="3"/>
        <v>2038.4</v>
      </c>
      <c r="K12" s="26">
        <f>SUMIF('TB - Expense Data'!$G$3:$G$757,H12,'TB - Expense Data'!$N$3:$N$757)</f>
        <v>3360</v>
      </c>
      <c r="L12" s="92">
        <f t="shared" si="4"/>
        <v>1321.6</v>
      </c>
      <c r="M12" s="186">
        <f t="shared" si="5"/>
        <v>0.64835164835164827</v>
      </c>
      <c r="N12" s="81" t="s">
        <v>1274</v>
      </c>
      <c r="O12" s="156">
        <f>SUMIF('TB - Expense Data'!$G$3:$G$757,N12,'TB - Expense Data'!$J$3:$J$757)</f>
        <v>11065.6</v>
      </c>
      <c r="P12" s="14">
        <f t="shared" si="6"/>
        <v>5532.8</v>
      </c>
      <c r="Q12" s="26">
        <f>SUMIF('TB - Expense Data'!$G$3:$G$757,N12,'TB - Expense Data'!$N$3:$N$757)</f>
        <v>3360</v>
      </c>
      <c r="R12" s="92">
        <f t="shared" si="7"/>
        <v>-2172.8000000000002</v>
      </c>
      <c r="S12" s="186">
        <f t="shared" si="8"/>
        <v>-0.39271255060728749</v>
      </c>
      <c r="T12" s="81" t="s">
        <v>1275</v>
      </c>
      <c r="U12" s="156">
        <f>SUMIF('TB - Expense Data'!$G$3:$G$757,T12,'TB - Expense Data'!$J$3:$J$757)</f>
        <v>4659.2</v>
      </c>
      <c r="V12" s="14">
        <f t="shared" si="9"/>
        <v>2329.6</v>
      </c>
      <c r="W12" s="26">
        <f>SUMIF('TB - Expense Data'!$G$3:$G$757,T12,'TB - Expense Data'!$N$3:$N$757)</f>
        <v>3360</v>
      </c>
      <c r="X12" s="92">
        <f t="shared" si="10"/>
        <v>1030.4000000000001</v>
      </c>
      <c r="Y12" s="186">
        <f t="shared" si="11"/>
        <v>0.44230769230769235</v>
      </c>
      <c r="Z12" s="131" t="s">
        <v>979</v>
      </c>
      <c r="AA12" s="156">
        <f>SUMIF('TB - Expense Data'!$G$3:$G$757,Z12,'TB - Expense Data'!$J$3:$J$757)</f>
        <v>0</v>
      </c>
      <c r="AB12" s="14">
        <f t="shared" si="12"/>
        <v>0</v>
      </c>
      <c r="AC12" s="26">
        <f>SUMIF('TB - Expense Data'!$G$3:$G$757,Z12,'TB - Expense Data'!$N$3:$N$757)</f>
        <v>0</v>
      </c>
      <c r="AD12" s="92">
        <f t="shared" si="13"/>
        <v>0</v>
      </c>
      <c r="AE12" s="186" t="str">
        <f t="shared" si="14"/>
        <v xml:space="preserve">-    </v>
      </c>
      <c r="AF12" s="131" t="s">
        <v>979</v>
      </c>
      <c r="AG12" s="156">
        <f>SUMIF('TB - Expense Data'!$G$3:$G$757,AF12,'TB - Expense Data'!$J$3:$J$757)</f>
        <v>0</v>
      </c>
      <c r="AH12" s="14">
        <f t="shared" si="15"/>
        <v>0</v>
      </c>
      <c r="AI12" s="26">
        <f>SUMIF('TB - Expense Data'!$G$3:$G$757,AF12,'TB - Expense Data'!$N$3:$N$757)</f>
        <v>0</v>
      </c>
      <c r="AJ12" s="92">
        <f t="shared" si="16"/>
        <v>0</v>
      </c>
      <c r="AK12" s="186" t="str">
        <f t="shared" si="17"/>
        <v xml:space="preserve">-    </v>
      </c>
      <c r="AL12" s="156">
        <f t="shared" si="18"/>
        <v>29120.000000000004</v>
      </c>
      <c r="AM12" s="14">
        <f t="shared" si="19"/>
        <v>14560.000000000002</v>
      </c>
      <c r="AN12" s="26">
        <f t="shared" si="20"/>
        <v>13440</v>
      </c>
      <c r="AO12" s="92">
        <f t="shared" si="21"/>
        <v>-1120.0000000000018</v>
      </c>
      <c r="AP12" s="186">
        <f t="shared" si="22"/>
        <v>-7.6923076923077038E-2</v>
      </c>
    </row>
    <row r="13" spans="1:42" x14ac:dyDescent="0.25">
      <c r="A13" s="13" t="s">
        <v>153</v>
      </c>
      <c r="B13" s="131" t="s">
        <v>1276</v>
      </c>
      <c r="C13" s="156">
        <f>SUMIF('TB - Expense Data'!$G$3:$G$757,B13,'TB - Expense Data'!$J$3:$J$757)</f>
        <v>57482.6</v>
      </c>
      <c r="D13" s="14">
        <f t="shared" si="0"/>
        <v>28741.3</v>
      </c>
      <c r="E13" s="26">
        <f>SUMIF('TB - Expense Data'!$G$3:$G$757,B13,'TB - Expense Data'!$N$3:$N$757)</f>
        <v>21130.829999999998</v>
      </c>
      <c r="F13" s="92">
        <f t="shared" si="1"/>
        <v>-7610.4700000000012</v>
      </c>
      <c r="G13" s="186">
        <f t="shared" si="2"/>
        <v>-0.2647921284005943</v>
      </c>
      <c r="H13" s="131" t="s">
        <v>1277</v>
      </c>
      <c r="I13" s="156">
        <f>SUMIF('TB - Expense Data'!$G$3:$G$757,H13,'TB - Expense Data'!$J$3:$J$757)</f>
        <v>18406.940000000002</v>
      </c>
      <c r="J13" s="14">
        <f t="shared" si="3"/>
        <v>9203.4700000000012</v>
      </c>
      <c r="K13" s="26">
        <f>SUMIF('TB - Expense Data'!$G$3:$G$757,H13,'TB - Expense Data'!$N$3:$N$757)</f>
        <v>7164.69</v>
      </c>
      <c r="L13" s="92">
        <f t="shared" si="4"/>
        <v>-2038.7800000000016</v>
      </c>
      <c r="M13" s="186">
        <f t="shared" si="5"/>
        <v>-0.22152296905406343</v>
      </c>
      <c r="N13" s="81" t="s">
        <v>1278</v>
      </c>
      <c r="O13" s="156">
        <f>SUMIF('TB - Expense Data'!$G$3:$G$757,N13,'TB - Expense Data'!$J$3:$J$757)</f>
        <v>88096.37000000001</v>
      </c>
      <c r="P13" s="14">
        <f t="shared" si="6"/>
        <v>44048.185000000005</v>
      </c>
      <c r="Q13" s="26">
        <f>SUMIF('TB - Expense Data'!$G$3:$G$757,N13,'TB - Expense Data'!$N$3:$N$757)</f>
        <v>36112.33</v>
      </c>
      <c r="R13" s="92">
        <f t="shared" si="7"/>
        <v>-7935.8550000000032</v>
      </c>
      <c r="S13" s="186">
        <f t="shared" si="8"/>
        <v>-0.18016304190513191</v>
      </c>
      <c r="T13" s="81" t="s">
        <v>1279</v>
      </c>
      <c r="U13" s="156">
        <f>SUMIF('TB - Expense Data'!$G$3:$G$757,T13,'TB - Expense Data'!$J$3:$J$757)</f>
        <v>22810.36</v>
      </c>
      <c r="V13" s="14">
        <f t="shared" si="9"/>
        <v>11405.18</v>
      </c>
      <c r="W13" s="26">
        <f>SUMIF('TB - Expense Data'!$G$3:$G$757,T13,'TB - Expense Data'!$N$3:$N$757)</f>
        <v>9739.01</v>
      </c>
      <c r="X13" s="92">
        <f t="shared" si="10"/>
        <v>-1666.17</v>
      </c>
      <c r="Y13" s="186">
        <f t="shared" si="11"/>
        <v>-0.14608888242009332</v>
      </c>
      <c r="Z13" s="131" t="s">
        <v>979</v>
      </c>
      <c r="AA13" s="156">
        <f>SUMIF('TB - Expense Data'!$G$3:$G$757,Z13,'TB - Expense Data'!$J$3:$J$757)</f>
        <v>0</v>
      </c>
      <c r="AB13" s="14">
        <f t="shared" si="12"/>
        <v>0</v>
      </c>
      <c r="AC13" s="26">
        <f>SUMIF('TB - Expense Data'!$G$3:$G$757,Z13,'TB - Expense Data'!$N$3:$N$757)</f>
        <v>0</v>
      </c>
      <c r="AD13" s="92">
        <f t="shared" si="13"/>
        <v>0</v>
      </c>
      <c r="AE13" s="186" t="str">
        <f t="shared" si="14"/>
        <v xml:space="preserve">-    </v>
      </c>
      <c r="AF13" s="131" t="s">
        <v>979</v>
      </c>
      <c r="AG13" s="156">
        <f>SUMIF('TB - Expense Data'!$G$3:$G$757,AF13,'TB - Expense Data'!$J$3:$J$757)</f>
        <v>0</v>
      </c>
      <c r="AH13" s="14">
        <f t="shared" si="15"/>
        <v>0</v>
      </c>
      <c r="AI13" s="26">
        <f>SUMIF('TB - Expense Data'!$G$3:$G$757,AF13,'TB - Expense Data'!$N$3:$N$757)</f>
        <v>0</v>
      </c>
      <c r="AJ13" s="92">
        <f t="shared" si="16"/>
        <v>0</v>
      </c>
      <c r="AK13" s="186" t="str">
        <f t="shared" si="17"/>
        <v xml:space="preserve">-    </v>
      </c>
      <c r="AL13" s="156">
        <f t="shared" si="18"/>
        <v>186796.27000000002</v>
      </c>
      <c r="AM13" s="14">
        <f t="shared" si="19"/>
        <v>93398.135000000009</v>
      </c>
      <c r="AN13" s="26">
        <f t="shared" si="20"/>
        <v>74146.86</v>
      </c>
      <c r="AO13" s="92">
        <f t="shared" si="21"/>
        <v>-19251.275000000009</v>
      </c>
      <c r="AP13" s="186">
        <f t="shared" si="22"/>
        <v>-0.20612055047994274</v>
      </c>
    </row>
    <row r="14" spans="1:42" x14ac:dyDescent="0.25">
      <c r="A14" s="13" t="s">
        <v>154</v>
      </c>
      <c r="B14" s="131" t="s">
        <v>1280</v>
      </c>
      <c r="C14" s="156">
        <f>SUMIF('TB - Expense Data'!$G$3:$G$757,B14,'TB - Expense Data'!$J$3:$J$757)</f>
        <v>14046.88</v>
      </c>
      <c r="D14" s="14">
        <f t="shared" si="0"/>
        <v>7023.44</v>
      </c>
      <c r="E14" s="26">
        <f>SUMIF('TB - Expense Data'!$G$3:$G$757,B14,'TB - Expense Data'!$N$3:$N$757)</f>
        <v>5500.45</v>
      </c>
      <c r="F14" s="92">
        <f t="shared" si="1"/>
        <v>-1522.9899999999998</v>
      </c>
      <c r="G14" s="186">
        <f t="shared" si="2"/>
        <v>-0.21684388276969688</v>
      </c>
      <c r="H14" s="131" t="s">
        <v>1281</v>
      </c>
      <c r="I14" s="156">
        <f>SUMIF('TB - Expense Data'!$G$3:$G$757,H14,'TB - Expense Data'!$J$3:$J$757)</f>
        <v>4470.92</v>
      </c>
      <c r="J14" s="14">
        <f t="shared" si="3"/>
        <v>2235.46</v>
      </c>
      <c r="K14" s="26">
        <f>SUMIF('TB - Expense Data'!$G$3:$G$757,H14,'TB - Expense Data'!$N$3:$N$757)</f>
        <v>1832.1999999999998</v>
      </c>
      <c r="L14" s="92">
        <f t="shared" si="4"/>
        <v>-403.26000000000022</v>
      </c>
      <c r="M14" s="186">
        <f t="shared" si="5"/>
        <v>-0.18039240245855448</v>
      </c>
      <c r="N14" s="81" t="s">
        <v>1282</v>
      </c>
      <c r="O14" s="156">
        <f>SUMIF('TB - Expense Data'!$G$3:$G$757,N14,'TB - Expense Data'!$J$3:$J$757)</f>
        <v>21683.72</v>
      </c>
      <c r="P14" s="14">
        <f t="shared" si="6"/>
        <v>10841.86</v>
      </c>
      <c r="Q14" s="26">
        <f>SUMIF('TB - Expense Data'!$G$3:$G$757,N14,'TB - Expense Data'!$N$3:$N$757)</f>
        <v>9421.48</v>
      </c>
      <c r="R14" s="92">
        <f t="shared" si="7"/>
        <v>-1420.380000000001</v>
      </c>
      <c r="S14" s="186">
        <f t="shared" si="8"/>
        <v>-0.13100888592916723</v>
      </c>
      <c r="T14" s="81" t="s">
        <v>1283</v>
      </c>
      <c r="U14" s="156">
        <f>SUMIF('TB - Expense Data'!$G$3:$G$757,T14,'TB - Expense Data'!$J$3:$J$757)</f>
        <v>5563.48</v>
      </c>
      <c r="V14" s="14">
        <f t="shared" si="9"/>
        <v>2781.74</v>
      </c>
      <c r="W14" s="26">
        <f>SUMIF('TB - Expense Data'!$G$3:$G$757,T14,'TB - Expense Data'!$N$3:$N$757)</f>
        <v>2487.91</v>
      </c>
      <c r="X14" s="92">
        <f t="shared" si="10"/>
        <v>-293.82999999999993</v>
      </c>
      <c r="Y14" s="186">
        <f t="shared" si="11"/>
        <v>-0.10562813203246887</v>
      </c>
      <c r="Z14" s="131" t="s">
        <v>979</v>
      </c>
      <c r="AA14" s="156">
        <f>SUMIF('TB - Expense Data'!$G$3:$G$757,Z14,'TB - Expense Data'!$J$3:$J$757)</f>
        <v>0</v>
      </c>
      <c r="AB14" s="14">
        <f t="shared" si="12"/>
        <v>0</v>
      </c>
      <c r="AC14" s="26">
        <f>SUMIF('TB - Expense Data'!$G$3:$G$757,Z14,'TB - Expense Data'!$N$3:$N$757)</f>
        <v>0</v>
      </c>
      <c r="AD14" s="92">
        <f t="shared" si="13"/>
        <v>0</v>
      </c>
      <c r="AE14" s="186" t="str">
        <f t="shared" si="14"/>
        <v xml:space="preserve">-    </v>
      </c>
      <c r="AF14" s="131" t="s">
        <v>979</v>
      </c>
      <c r="AG14" s="156">
        <f>SUMIF('TB - Expense Data'!$G$3:$G$757,AF14,'TB - Expense Data'!$J$3:$J$757)</f>
        <v>0</v>
      </c>
      <c r="AH14" s="14">
        <f t="shared" si="15"/>
        <v>0</v>
      </c>
      <c r="AI14" s="26">
        <f>SUMIF('TB - Expense Data'!$G$3:$G$757,AF14,'TB - Expense Data'!$N$3:$N$757)</f>
        <v>0</v>
      </c>
      <c r="AJ14" s="92">
        <f t="shared" si="16"/>
        <v>0</v>
      </c>
      <c r="AK14" s="186" t="str">
        <f t="shared" si="17"/>
        <v xml:space="preserve">-    </v>
      </c>
      <c r="AL14" s="156">
        <f t="shared" si="18"/>
        <v>45765</v>
      </c>
      <c r="AM14" s="14">
        <f t="shared" si="19"/>
        <v>22882.5</v>
      </c>
      <c r="AN14" s="26">
        <f t="shared" si="20"/>
        <v>19242.039999999997</v>
      </c>
      <c r="AO14" s="92">
        <f t="shared" si="21"/>
        <v>-3640.4600000000028</v>
      </c>
      <c r="AP14" s="186">
        <f t="shared" si="22"/>
        <v>-0.15909363050366013</v>
      </c>
    </row>
    <row r="15" spans="1:42" x14ac:dyDescent="0.25">
      <c r="A15" s="13" t="s">
        <v>38</v>
      </c>
      <c r="B15" s="131" t="s">
        <v>1284</v>
      </c>
      <c r="C15" s="156">
        <f>SUMIF('TB - Expense Data'!$G$3:$G$757,B15,'TB - Expense Data'!$J$3:$J$757)</f>
        <v>210641.96</v>
      </c>
      <c r="D15" s="14">
        <f t="shared" si="0"/>
        <v>105320.98</v>
      </c>
      <c r="E15" s="26">
        <f>SUMIF('TB - Expense Data'!$G$3:$G$757,B15,'TB - Expense Data'!$N$3:$N$757)</f>
        <v>64217.919999999998</v>
      </c>
      <c r="F15" s="92">
        <f t="shared" si="1"/>
        <v>-41103.06</v>
      </c>
      <c r="G15" s="186">
        <f t="shared" si="2"/>
        <v>-0.39026469370110306</v>
      </c>
      <c r="H15" s="131" t="s">
        <v>1285</v>
      </c>
      <c r="I15" s="156">
        <f>SUMIF('TB - Expense Data'!$G$3:$G$757,H15,'TB - Expense Data'!$J$3:$J$757)</f>
        <v>73346.86</v>
      </c>
      <c r="J15" s="14">
        <f t="shared" si="3"/>
        <v>36673.43</v>
      </c>
      <c r="K15" s="26">
        <f>SUMIF('TB - Expense Data'!$G$3:$G$757,H15,'TB - Expense Data'!$N$3:$N$757)</f>
        <v>28613.960000000003</v>
      </c>
      <c r="L15" s="92">
        <f t="shared" si="4"/>
        <v>-8059.4699999999975</v>
      </c>
      <c r="M15" s="186">
        <f t="shared" si="5"/>
        <v>-0.2197631909532323</v>
      </c>
      <c r="N15" s="81" t="s">
        <v>1286</v>
      </c>
      <c r="O15" s="156">
        <f>SUMIF('TB - Expense Data'!$G$3:$G$757,N15,'TB - Expense Data'!$J$3:$J$757)</f>
        <v>311347.33999999997</v>
      </c>
      <c r="P15" s="14">
        <f t="shared" si="6"/>
        <v>155673.66999999998</v>
      </c>
      <c r="Q15" s="26">
        <f>SUMIF('TB - Expense Data'!$G$3:$G$757,N15,'TB - Expense Data'!$N$3:$N$757)</f>
        <v>141282.87</v>
      </c>
      <c r="R15" s="92">
        <f t="shared" si="7"/>
        <v>-14390.799999999988</v>
      </c>
      <c r="S15" s="186">
        <f t="shared" si="8"/>
        <v>-9.2442093772183764E-2</v>
      </c>
      <c r="T15" s="81" t="s">
        <v>1287</v>
      </c>
      <c r="U15" s="156">
        <f>SUMIF('TB - Expense Data'!$G$3:$G$757,T15,'TB - Expense Data'!$J$3:$J$757)</f>
        <v>89746.84</v>
      </c>
      <c r="V15" s="14">
        <f t="shared" si="9"/>
        <v>44873.42</v>
      </c>
      <c r="W15" s="26">
        <f>SUMIF('TB - Expense Data'!$G$3:$G$757,T15,'TB - Expense Data'!$N$3:$N$757)</f>
        <v>31804.73</v>
      </c>
      <c r="X15" s="92">
        <f t="shared" si="10"/>
        <v>-13068.689999999999</v>
      </c>
      <c r="Y15" s="186">
        <f t="shared" si="11"/>
        <v>-0.29123454374549562</v>
      </c>
      <c r="Z15" s="131" t="s">
        <v>979</v>
      </c>
      <c r="AA15" s="156">
        <f>SUMIF('TB - Expense Data'!$G$3:$G$757,Z15,'TB - Expense Data'!$J$3:$J$757)</f>
        <v>0</v>
      </c>
      <c r="AB15" s="14">
        <f t="shared" si="12"/>
        <v>0</v>
      </c>
      <c r="AC15" s="26">
        <f>SUMIF('TB - Expense Data'!$G$3:$G$757,Z15,'TB - Expense Data'!$N$3:$N$757)</f>
        <v>0</v>
      </c>
      <c r="AD15" s="92">
        <f t="shared" si="13"/>
        <v>0</v>
      </c>
      <c r="AE15" s="186" t="str">
        <f t="shared" si="14"/>
        <v xml:space="preserve">-    </v>
      </c>
      <c r="AF15" s="131" t="s">
        <v>979</v>
      </c>
      <c r="AG15" s="156">
        <f>SUMIF('TB - Expense Data'!$G$3:$G$757,AF15,'TB - Expense Data'!$J$3:$J$757)</f>
        <v>0</v>
      </c>
      <c r="AH15" s="14">
        <f t="shared" si="15"/>
        <v>0</v>
      </c>
      <c r="AI15" s="26">
        <f>SUMIF('TB - Expense Data'!$G$3:$G$757,AF15,'TB - Expense Data'!$N$3:$N$757)</f>
        <v>0</v>
      </c>
      <c r="AJ15" s="92">
        <f t="shared" si="16"/>
        <v>0</v>
      </c>
      <c r="AK15" s="186" t="str">
        <f t="shared" si="17"/>
        <v xml:space="preserve">-    </v>
      </c>
      <c r="AL15" s="156">
        <f t="shared" si="18"/>
        <v>685082.99999999988</v>
      </c>
      <c r="AM15" s="14">
        <f t="shared" si="19"/>
        <v>342541.49999999994</v>
      </c>
      <c r="AN15" s="26">
        <f t="shared" si="20"/>
        <v>265919.48</v>
      </c>
      <c r="AO15" s="92">
        <f t="shared" si="21"/>
        <v>-76622.01999999996</v>
      </c>
      <c r="AP15" s="186">
        <f t="shared" si="22"/>
        <v>-0.22368682334841172</v>
      </c>
    </row>
    <row r="16" spans="1:42" x14ac:dyDescent="0.25">
      <c r="A16" s="13" t="s">
        <v>77</v>
      </c>
      <c r="B16" s="131" t="s">
        <v>1288</v>
      </c>
      <c r="C16" s="156">
        <f>SUMIF('TB - Expense Data'!$G$3:$G$757,B16,'TB - Expense Data'!$J$3:$J$757)</f>
        <v>12374.160000000002</v>
      </c>
      <c r="D16" s="14">
        <f t="shared" si="0"/>
        <v>6187.0800000000008</v>
      </c>
      <c r="E16" s="26">
        <f>SUMIF('TB - Expense Data'!$G$3:$G$757,B16,'TB - Expense Data'!$N$3:$N$757)</f>
        <v>4438.41</v>
      </c>
      <c r="F16" s="92">
        <f t="shared" si="1"/>
        <v>-1748.670000000001</v>
      </c>
      <c r="G16" s="186">
        <f t="shared" si="2"/>
        <v>-0.28263251808607626</v>
      </c>
      <c r="H16" s="131" t="s">
        <v>1289</v>
      </c>
      <c r="I16" s="156">
        <f>SUMIF('TB - Expense Data'!$G$3:$G$757,H16,'TB - Expense Data'!$J$3:$J$757)</f>
        <v>4295.2</v>
      </c>
      <c r="J16" s="14">
        <f t="shared" si="3"/>
        <v>2147.6</v>
      </c>
      <c r="K16" s="26">
        <f>SUMIF('TB - Expense Data'!$G$3:$G$757,H16,'TB - Expense Data'!$N$3:$N$757)</f>
        <v>1595.86</v>
      </c>
      <c r="L16" s="92">
        <f t="shared" si="4"/>
        <v>-551.74</v>
      </c>
      <c r="M16" s="186">
        <f t="shared" si="5"/>
        <v>-0.25691003911342897</v>
      </c>
      <c r="N16" s="81" t="s">
        <v>1290</v>
      </c>
      <c r="O16" s="156">
        <f>SUMIF('TB - Expense Data'!$G$3:$G$757,N16,'TB - Expense Data'!$J$3:$J$757)</f>
        <v>18395.839999999997</v>
      </c>
      <c r="P16" s="14">
        <f t="shared" si="6"/>
        <v>9197.9199999999983</v>
      </c>
      <c r="Q16" s="26">
        <f>SUMIF('TB - Expense Data'!$G$3:$G$757,N16,'TB - Expense Data'!$N$3:$N$757)</f>
        <v>7853.42</v>
      </c>
      <c r="R16" s="92">
        <f t="shared" si="7"/>
        <v>-1344.4999999999982</v>
      </c>
      <c r="S16" s="186">
        <f t="shared" si="8"/>
        <v>-0.14617435246229565</v>
      </c>
      <c r="T16" s="81" t="s">
        <v>1291</v>
      </c>
      <c r="U16" s="156">
        <f>SUMIF('TB - Expense Data'!$G$3:$G$757,T16,'TB - Expense Data'!$J$3:$J$757)</f>
        <v>5271.05</v>
      </c>
      <c r="V16" s="14">
        <f t="shared" si="9"/>
        <v>2635.5250000000001</v>
      </c>
      <c r="W16" s="26">
        <f>SUMIF('TB - Expense Data'!$G$3:$G$757,T16,'TB - Expense Data'!$N$3:$N$757)</f>
        <v>1796.67</v>
      </c>
      <c r="X16" s="92">
        <f t="shared" si="10"/>
        <v>-838.85500000000002</v>
      </c>
      <c r="Y16" s="186">
        <f t="shared" si="11"/>
        <v>-0.31828762770226043</v>
      </c>
      <c r="Z16" s="131" t="s">
        <v>979</v>
      </c>
      <c r="AA16" s="156">
        <f>SUMIF('TB - Expense Data'!$G$3:$G$757,Z16,'TB - Expense Data'!$J$3:$J$757)</f>
        <v>0</v>
      </c>
      <c r="AB16" s="14">
        <f t="shared" si="12"/>
        <v>0</v>
      </c>
      <c r="AC16" s="26">
        <f>SUMIF('TB - Expense Data'!$G$3:$G$757,Z16,'TB - Expense Data'!$N$3:$N$757)</f>
        <v>0</v>
      </c>
      <c r="AD16" s="92">
        <f t="shared" si="13"/>
        <v>0</v>
      </c>
      <c r="AE16" s="186" t="str">
        <f t="shared" si="14"/>
        <v xml:space="preserve">-    </v>
      </c>
      <c r="AF16" s="131" t="s">
        <v>979</v>
      </c>
      <c r="AG16" s="156">
        <f>SUMIF('TB - Expense Data'!$G$3:$G$757,AF16,'TB - Expense Data'!$J$3:$J$757)</f>
        <v>0</v>
      </c>
      <c r="AH16" s="14">
        <f t="shared" si="15"/>
        <v>0</v>
      </c>
      <c r="AI16" s="26">
        <f>SUMIF('TB - Expense Data'!$G$3:$G$757,AF16,'TB - Expense Data'!$N$3:$N$757)</f>
        <v>0</v>
      </c>
      <c r="AJ16" s="92">
        <f t="shared" si="16"/>
        <v>0</v>
      </c>
      <c r="AK16" s="186" t="str">
        <f t="shared" si="17"/>
        <v xml:space="preserve">-    </v>
      </c>
      <c r="AL16" s="156">
        <f t="shared" si="18"/>
        <v>40336.25</v>
      </c>
      <c r="AM16" s="14">
        <f t="shared" si="19"/>
        <v>20168.125</v>
      </c>
      <c r="AN16" s="26">
        <f t="shared" si="20"/>
        <v>15684.359999999999</v>
      </c>
      <c r="AO16" s="92">
        <f t="shared" si="21"/>
        <v>-4483.7650000000012</v>
      </c>
      <c r="AP16" s="186">
        <f t="shared" si="22"/>
        <v>-0.22231937773094926</v>
      </c>
    </row>
    <row r="17" spans="1:42" x14ac:dyDescent="0.25">
      <c r="A17" s="13" t="s">
        <v>78</v>
      </c>
      <c r="B17" s="131" t="s">
        <v>1292</v>
      </c>
      <c r="C17" s="156">
        <f>SUMIF('TB - Expense Data'!$G$3:$G$757,B17,'TB - Expense Data'!$J$3:$J$757)</f>
        <v>2277.6800000000003</v>
      </c>
      <c r="D17" s="14">
        <f t="shared" si="0"/>
        <v>1138.8400000000001</v>
      </c>
      <c r="E17" s="26">
        <f>SUMIF('TB - Expense Data'!$G$3:$G$757,B17,'TB - Expense Data'!$N$3:$N$757)</f>
        <v>998.93</v>
      </c>
      <c r="F17" s="92">
        <f t="shared" si="1"/>
        <v>-139.9100000000002</v>
      </c>
      <c r="G17" s="186">
        <f t="shared" si="2"/>
        <v>-0.12285307857117785</v>
      </c>
      <c r="H17" s="131" t="s">
        <v>1293</v>
      </c>
      <c r="I17" s="156">
        <f>SUMIF('TB - Expense Data'!$G$3:$G$757,H17,'TB - Expense Data'!$J$3:$J$757)</f>
        <v>759.86</v>
      </c>
      <c r="J17" s="14">
        <f t="shared" si="3"/>
        <v>379.93</v>
      </c>
      <c r="K17" s="26">
        <f>SUMIF('TB - Expense Data'!$G$3:$G$757,H17,'TB - Expense Data'!$N$3:$N$757)</f>
        <v>346.49</v>
      </c>
      <c r="L17" s="92">
        <f t="shared" si="4"/>
        <v>-33.44</v>
      </c>
      <c r="M17" s="186">
        <f t="shared" si="5"/>
        <v>-8.8016213513015543E-2</v>
      </c>
      <c r="N17" s="81" t="s">
        <v>1294</v>
      </c>
      <c r="O17" s="156">
        <f>SUMIF('TB - Expense Data'!$G$3:$G$757,N17,'TB - Expense Data'!$J$3:$J$757)</f>
        <v>3412.62</v>
      </c>
      <c r="P17" s="14">
        <f t="shared" si="6"/>
        <v>1706.31</v>
      </c>
      <c r="Q17" s="26">
        <f>SUMIF('TB - Expense Data'!$G$3:$G$757,N17,'TB - Expense Data'!$N$3:$N$757)</f>
        <v>1758.5500000000004</v>
      </c>
      <c r="R17" s="92">
        <f t="shared" si="7"/>
        <v>52.240000000000464</v>
      </c>
      <c r="S17" s="186">
        <f t="shared" si="8"/>
        <v>3.0615773218231425E-2</v>
      </c>
      <c r="T17" s="81" t="s">
        <v>1295</v>
      </c>
      <c r="U17" s="156">
        <f>SUMIF('TB - Expense Data'!$G$3:$G$757,T17,'TB - Expense Data'!$J$3:$J$757)</f>
        <v>932.84</v>
      </c>
      <c r="V17" s="14">
        <f t="shared" si="9"/>
        <v>466.42</v>
      </c>
      <c r="W17" s="26">
        <f>SUMIF('TB - Expense Data'!$G$3:$G$757,T17,'TB - Expense Data'!$N$3:$N$757)</f>
        <v>389.65999999999997</v>
      </c>
      <c r="X17" s="92">
        <f t="shared" si="10"/>
        <v>-76.760000000000048</v>
      </c>
      <c r="Y17" s="186">
        <f t="shared" si="11"/>
        <v>-0.16457270271429195</v>
      </c>
      <c r="Z17" s="131" t="s">
        <v>979</v>
      </c>
      <c r="AA17" s="156">
        <f>SUMIF('TB - Expense Data'!$G$3:$G$757,Z17,'TB - Expense Data'!$J$3:$J$757)</f>
        <v>0</v>
      </c>
      <c r="AB17" s="14">
        <f t="shared" si="12"/>
        <v>0</v>
      </c>
      <c r="AC17" s="26">
        <f>SUMIF('TB - Expense Data'!$G$3:$G$757,Z17,'TB - Expense Data'!$N$3:$N$757)</f>
        <v>0</v>
      </c>
      <c r="AD17" s="92">
        <f t="shared" si="13"/>
        <v>0</v>
      </c>
      <c r="AE17" s="186" t="str">
        <f t="shared" si="14"/>
        <v xml:space="preserve">-    </v>
      </c>
      <c r="AF17" s="131" t="s">
        <v>979</v>
      </c>
      <c r="AG17" s="156">
        <f>SUMIF('TB - Expense Data'!$G$3:$G$757,AF17,'TB - Expense Data'!$J$3:$J$757)</f>
        <v>0</v>
      </c>
      <c r="AH17" s="14">
        <f t="shared" si="15"/>
        <v>0</v>
      </c>
      <c r="AI17" s="26">
        <f>SUMIF('TB - Expense Data'!$G$3:$G$757,AF17,'TB - Expense Data'!$N$3:$N$757)</f>
        <v>0</v>
      </c>
      <c r="AJ17" s="92">
        <f t="shared" si="16"/>
        <v>0</v>
      </c>
      <c r="AK17" s="186" t="str">
        <f t="shared" si="17"/>
        <v xml:space="preserve">-    </v>
      </c>
      <c r="AL17" s="156">
        <f t="shared" si="18"/>
        <v>7383</v>
      </c>
      <c r="AM17" s="14">
        <f t="shared" si="19"/>
        <v>3691.5</v>
      </c>
      <c r="AN17" s="26">
        <f t="shared" si="20"/>
        <v>3493.63</v>
      </c>
      <c r="AO17" s="92">
        <f t="shared" si="21"/>
        <v>-197.86999999999989</v>
      </c>
      <c r="AP17" s="186">
        <f t="shared" si="22"/>
        <v>-5.3601516998510061E-2</v>
      </c>
    </row>
    <row r="18" spans="1:42" x14ac:dyDescent="0.25">
      <c r="A18" s="13" t="s">
        <v>79</v>
      </c>
      <c r="B18" s="131" t="s">
        <v>1296</v>
      </c>
      <c r="C18" s="156">
        <f>SUMIF('TB - Expense Data'!$G$3:$G$757,B18,'TB - Expense Data'!$J$3:$J$757)</f>
        <v>22586.760000000002</v>
      </c>
      <c r="D18" s="14">
        <f t="shared" si="0"/>
        <v>11293.380000000001</v>
      </c>
      <c r="E18" s="26">
        <f>SUMIF('TB - Expense Data'!$G$3:$G$757,B18,'TB - Expense Data'!$N$3:$N$757)</f>
        <v>9133.7000000000007</v>
      </c>
      <c r="F18" s="92">
        <f t="shared" si="1"/>
        <v>-2159.6800000000003</v>
      </c>
      <c r="G18" s="186">
        <f t="shared" si="2"/>
        <v>-0.19123415664752272</v>
      </c>
      <c r="H18" s="131" t="s">
        <v>1297</v>
      </c>
      <c r="I18" s="156">
        <f>SUMIF('TB - Expense Data'!$G$3:$G$757,H18,'TB - Expense Data'!$J$3:$J$757)</f>
        <v>8072.8</v>
      </c>
      <c r="J18" s="14">
        <f t="shared" si="3"/>
        <v>4036.4</v>
      </c>
      <c r="K18" s="26">
        <f>SUMIF('TB - Expense Data'!$G$3:$G$757,H18,'TB - Expense Data'!$N$3:$N$757)</f>
        <v>3295.9799999999996</v>
      </c>
      <c r="L18" s="92">
        <f t="shared" si="4"/>
        <v>-740.42000000000053</v>
      </c>
      <c r="M18" s="186">
        <f t="shared" si="5"/>
        <v>-0.1834357348132</v>
      </c>
      <c r="N18" s="81" t="s">
        <v>1298</v>
      </c>
      <c r="O18" s="156">
        <f>SUMIF('TB - Expense Data'!$G$3:$G$757,N18,'TB - Expense Data'!$J$3:$J$757)</f>
        <v>31185.239999999998</v>
      </c>
      <c r="P18" s="14">
        <f t="shared" si="6"/>
        <v>15592.619999999999</v>
      </c>
      <c r="Q18" s="26">
        <f>SUMIF('TB - Expense Data'!$G$3:$G$757,N18,'TB - Expense Data'!$N$3:$N$757)</f>
        <v>15037.51</v>
      </c>
      <c r="R18" s="92">
        <f t="shared" si="7"/>
        <v>-555.10999999999876</v>
      </c>
      <c r="S18" s="186">
        <f t="shared" si="8"/>
        <v>-3.5600816283600754E-2</v>
      </c>
      <c r="T18" s="81" t="s">
        <v>1299</v>
      </c>
      <c r="U18" s="156">
        <f>SUMIF('TB - Expense Data'!$G$3:$G$757,T18,'TB - Expense Data'!$J$3:$J$757)</f>
        <v>9507.9900000000016</v>
      </c>
      <c r="V18" s="14">
        <f t="shared" si="9"/>
        <v>4753.9950000000008</v>
      </c>
      <c r="W18" s="26">
        <f>SUMIF('TB - Expense Data'!$G$3:$G$757,T18,'TB - Expense Data'!$N$3:$N$757)</f>
        <v>4432.25</v>
      </c>
      <c r="X18" s="92">
        <f t="shared" si="10"/>
        <v>-321.7450000000008</v>
      </c>
      <c r="Y18" s="186">
        <f t="shared" si="11"/>
        <v>-6.7678867983664417E-2</v>
      </c>
      <c r="Z18" s="131" t="s">
        <v>979</v>
      </c>
      <c r="AA18" s="156">
        <f>SUMIF('TB - Expense Data'!$G$3:$G$757,Z18,'TB - Expense Data'!$J$3:$J$757)</f>
        <v>0</v>
      </c>
      <c r="AB18" s="14">
        <f t="shared" si="12"/>
        <v>0</v>
      </c>
      <c r="AC18" s="26">
        <f>SUMIF('TB - Expense Data'!$G$3:$G$757,Z18,'TB - Expense Data'!$N$3:$N$757)</f>
        <v>0</v>
      </c>
      <c r="AD18" s="92">
        <f t="shared" si="13"/>
        <v>0</v>
      </c>
      <c r="AE18" s="186" t="str">
        <f t="shared" si="14"/>
        <v xml:space="preserve">-    </v>
      </c>
      <c r="AF18" s="131" t="s">
        <v>979</v>
      </c>
      <c r="AG18" s="156">
        <f>SUMIF('TB - Expense Data'!$G$3:$G$757,AF18,'TB - Expense Data'!$J$3:$J$757)</f>
        <v>0</v>
      </c>
      <c r="AH18" s="14">
        <f t="shared" si="15"/>
        <v>0</v>
      </c>
      <c r="AI18" s="26">
        <f>SUMIF('TB - Expense Data'!$G$3:$G$757,AF18,'TB - Expense Data'!$N$3:$N$757)</f>
        <v>0</v>
      </c>
      <c r="AJ18" s="92">
        <f t="shared" si="16"/>
        <v>0</v>
      </c>
      <c r="AK18" s="186" t="str">
        <f t="shared" si="17"/>
        <v xml:space="preserve">-    </v>
      </c>
      <c r="AL18" s="156">
        <f t="shared" si="18"/>
        <v>71352.790000000008</v>
      </c>
      <c r="AM18" s="14">
        <f t="shared" si="19"/>
        <v>35676.395000000004</v>
      </c>
      <c r="AN18" s="26">
        <f t="shared" si="20"/>
        <v>31899.440000000002</v>
      </c>
      <c r="AO18" s="92">
        <f t="shared" si="21"/>
        <v>-3776.9550000000017</v>
      </c>
      <c r="AP18" s="186">
        <f t="shared" si="22"/>
        <v>-0.10586705859714809</v>
      </c>
    </row>
    <row r="19" spans="1:42" x14ac:dyDescent="0.25">
      <c r="A19" s="13" t="s">
        <v>1248</v>
      </c>
      <c r="B19" s="131" t="s">
        <v>1300</v>
      </c>
      <c r="C19" s="156">
        <f>SUMIF('TB - Expense Data'!$G$3:$G$757,B19,'TB - Expense Data'!$J$3:$J$757)</f>
        <v>3569.6800000000003</v>
      </c>
      <c r="D19" s="14">
        <f t="shared" si="0"/>
        <v>1784.8400000000001</v>
      </c>
      <c r="E19" s="26">
        <f>SUMIF('TB - Expense Data'!$G$3:$G$757,B19,'TB - Expense Data'!$N$3:$N$757)</f>
        <v>1593.3300000000002</v>
      </c>
      <c r="F19" s="92">
        <f t="shared" si="1"/>
        <v>-191.51</v>
      </c>
      <c r="G19" s="186">
        <f t="shared" si="2"/>
        <v>-0.10729813316599805</v>
      </c>
      <c r="H19" s="131" t="s">
        <v>1301</v>
      </c>
      <c r="I19" s="156">
        <f>SUMIF('TB - Expense Data'!$G$3:$G$757,H19,'TB - Expense Data'!$J$3:$J$757)</f>
        <v>1145.8600000000001</v>
      </c>
      <c r="J19" s="14">
        <f t="shared" si="3"/>
        <v>572.93000000000006</v>
      </c>
      <c r="K19" s="26">
        <f>SUMIF('TB - Expense Data'!$G$3:$G$757,H19,'TB - Expense Data'!$N$3:$N$757)</f>
        <v>405.96999999999997</v>
      </c>
      <c r="L19" s="92">
        <f t="shared" si="4"/>
        <v>-166.96000000000009</v>
      </c>
      <c r="M19" s="186">
        <f t="shared" si="5"/>
        <v>-0.29141430890335657</v>
      </c>
      <c r="N19" s="81" t="s">
        <v>1302</v>
      </c>
      <c r="O19" s="156">
        <f>SUMIF('TB - Expense Data'!$G$3:$G$757,N19,'TB - Expense Data'!$J$3:$J$757)</f>
        <v>5495.62</v>
      </c>
      <c r="P19" s="14">
        <f t="shared" si="6"/>
        <v>2747.81</v>
      </c>
      <c r="Q19" s="26">
        <f>SUMIF('TB - Expense Data'!$G$3:$G$757,N19,'TB - Expense Data'!$N$3:$N$757)</f>
        <v>2855.12</v>
      </c>
      <c r="R19" s="92">
        <f t="shared" si="7"/>
        <v>107.30999999999995</v>
      </c>
      <c r="S19" s="186">
        <f t="shared" si="8"/>
        <v>3.9052918506010219E-2</v>
      </c>
      <c r="T19" s="81" t="s">
        <v>1303</v>
      </c>
      <c r="U19" s="156">
        <f>SUMIF('TB - Expense Data'!$G$3:$G$757,T19,'TB - Expense Data'!$J$3:$J$757)</f>
        <v>1423.8400000000001</v>
      </c>
      <c r="V19" s="14">
        <f t="shared" si="9"/>
        <v>711.92000000000007</v>
      </c>
      <c r="W19" s="26">
        <f>SUMIF('TB - Expense Data'!$G$3:$G$757,T19,'TB - Expense Data'!$N$3:$N$757)</f>
        <v>558.11</v>
      </c>
      <c r="X19" s="92">
        <f t="shared" si="10"/>
        <v>-153.81000000000006</v>
      </c>
      <c r="Y19" s="186">
        <f t="shared" si="11"/>
        <v>-0.21604955612990229</v>
      </c>
      <c r="Z19" s="131" t="s">
        <v>979</v>
      </c>
      <c r="AA19" s="156">
        <f>SUMIF('TB - Expense Data'!$G$3:$G$757,Z19,'TB - Expense Data'!$J$3:$J$757)</f>
        <v>0</v>
      </c>
      <c r="AB19" s="14">
        <f t="shared" si="12"/>
        <v>0</v>
      </c>
      <c r="AC19" s="26">
        <f>SUMIF('TB - Expense Data'!$G$3:$G$757,Z19,'TB - Expense Data'!$N$3:$N$757)</f>
        <v>0</v>
      </c>
      <c r="AD19" s="92">
        <f t="shared" si="13"/>
        <v>0</v>
      </c>
      <c r="AE19" s="186" t="str">
        <f t="shared" si="14"/>
        <v xml:space="preserve">-    </v>
      </c>
      <c r="AF19" s="131" t="s">
        <v>979</v>
      </c>
      <c r="AG19" s="156">
        <f>SUMIF('TB - Expense Data'!$G$3:$G$757,AF19,'TB - Expense Data'!$J$3:$J$757)</f>
        <v>0</v>
      </c>
      <c r="AH19" s="14">
        <f t="shared" si="15"/>
        <v>0</v>
      </c>
      <c r="AI19" s="26">
        <f>SUMIF('TB - Expense Data'!$G$3:$G$757,AF19,'TB - Expense Data'!$N$3:$N$757)</f>
        <v>0</v>
      </c>
      <c r="AJ19" s="92">
        <f t="shared" si="16"/>
        <v>0</v>
      </c>
      <c r="AK19" s="186" t="str">
        <f t="shared" si="17"/>
        <v xml:space="preserve">-    </v>
      </c>
      <c r="AL19" s="156">
        <f t="shared" si="18"/>
        <v>11635</v>
      </c>
      <c r="AM19" s="14">
        <f t="shared" si="19"/>
        <v>5817.5</v>
      </c>
      <c r="AN19" s="26">
        <f t="shared" si="20"/>
        <v>5412.53</v>
      </c>
      <c r="AO19" s="92">
        <f t="shared" si="21"/>
        <v>-404.97000000000025</v>
      </c>
      <c r="AP19" s="186">
        <f t="shared" si="22"/>
        <v>-6.9612376450365318E-2</v>
      </c>
    </row>
    <row r="20" spans="1:42" x14ac:dyDescent="0.25">
      <c r="A20" s="13" t="s">
        <v>64</v>
      </c>
      <c r="B20" s="131" t="s">
        <v>1304</v>
      </c>
      <c r="C20" s="156">
        <f>SUMIF('TB - Expense Data'!$G$3:$G$757,B20,'TB - Expense Data'!$J$3:$J$757)</f>
        <v>2320</v>
      </c>
      <c r="D20" s="14">
        <f t="shared" si="0"/>
        <v>1160</v>
      </c>
      <c r="E20" s="26">
        <f>SUMIF('TB - Expense Data'!$G$3:$G$757,B20,'TB - Expense Data'!$N$3:$N$757)</f>
        <v>1050.33</v>
      </c>
      <c r="F20" s="92">
        <f t="shared" si="1"/>
        <v>-109.67000000000007</v>
      </c>
      <c r="G20" s="186">
        <f t="shared" si="2"/>
        <v>-9.454310344827592E-2</v>
      </c>
      <c r="H20" s="131" t="s">
        <v>1305</v>
      </c>
      <c r="I20" s="156">
        <f>SUMIF('TB - Expense Data'!$G$3:$G$757,H20,'TB - Expense Data'!$J$3:$J$757)</f>
        <v>952</v>
      </c>
      <c r="J20" s="14">
        <f t="shared" si="3"/>
        <v>476</v>
      </c>
      <c r="K20" s="26">
        <f>SUMIF('TB - Expense Data'!$G$3:$G$757,H20,'TB - Expense Data'!$N$3:$N$757)</f>
        <v>263.43</v>
      </c>
      <c r="L20" s="92">
        <f t="shared" si="4"/>
        <v>-212.57</v>
      </c>
      <c r="M20" s="186">
        <f t="shared" si="5"/>
        <v>-0.44657563025210084</v>
      </c>
      <c r="N20" s="131" t="s">
        <v>1306</v>
      </c>
      <c r="O20" s="156">
        <f>SUMIF('TB - Expense Data'!$G$3:$G$757,N20,'TB - Expense Data'!$J$3:$J$757)</f>
        <v>2840</v>
      </c>
      <c r="P20" s="14">
        <f t="shared" si="6"/>
        <v>1420</v>
      </c>
      <c r="Q20" s="26">
        <f>SUMIF('TB - Expense Data'!$G$3:$G$757,N20,'TB - Expense Data'!$N$3:$N$757)</f>
        <v>1881.57</v>
      </c>
      <c r="R20" s="92">
        <f t="shared" si="7"/>
        <v>461.56999999999994</v>
      </c>
      <c r="S20" s="186">
        <f t="shared" si="8"/>
        <v>0.32504929577464786</v>
      </c>
      <c r="T20" s="131" t="s">
        <v>1307</v>
      </c>
      <c r="U20" s="156">
        <f>SUMIF('TB - Expense Data'!$G$3:$G$757,T20,'TB - Expense Data'!$J$3:$J$757)</f>
        <v>1088</v>
      </c>
      <c r="V20" s="14">
        <f t="shared" si="9"/>
        <v>544</v>
      </c>
      <c r="W20" s="26">
        <f>SUMIF('TB - Expense Data'!$G$3:$G$757,T20,'TB - Expense Data'!$N$3:$N$757)</f>
        <v>362.09</v>
      </c>
      <c r="X20" s="92">
        <f t="shared" si="10"/>
        <v>-181.91000000000003</v>
      </c>
      <c r="Y20" s="186">
        <f t="shared" si="11"/>
        <v>-0.33439338235294125</v>
      </c>
      <c r="Z20" s="131" t="s">
        <v>979</v>
      </c>
      <c r="AA20" s="156">
        <f>SUMIF('TB - Expense Data'!$G$3:$G$757,Z20,'TB - Expense Data'!$J$3:$J$757)</f>
        <v>0</v>
      </c>
      <c r="AB20" s="14">
        <f t="shared" si="12"/>
        <v>0</v>
      </c>
      <c r="AC20" s="26">
        <f>SUMIF('TB - Expense Data'!$G$3:$G$757,Z20,'TB - Expense Data'!$N$3:$N$757)</f>
        <v>0</v>
      </c>
      <c r="AD20" s="92">
        <f t="shared" si="13"/>
        <v>0</v>
      </c>
      <c r="AE20" s="186" t="str">
        <f t="shared" si="14"/>
        <v xml:space="preserve">-    </v>
      </c>
      <c r="AF20" s="131" t="s">
        <v>979</v>
      </c>
      <c r="AG20" s="156">
        <f>SUMIF('TB - Expense Data'!$G$3:$G$757,AF20,'TB - Expense Data'!$J$3:$J$757)</f>
        <v>0</v>
      </c>
      <c r="AH20" s="14">
        <f t="shared" si="15"/>
        <v>0</v>
      </c>
      <c r="AI20" s="26">
        <f>SUMIF('TB - Expense Data'!$G$3:$G$757,AF20,'TB - Expense Data'!$N$3:$N$757)</f>
        <v>0</v>
      </c>
      <c r="AJ20" s="92">
        <f t="shared" si="16"/>
        <v>0</v>
      </c>
      <c r="AK20" s="186" t="str">
        <f t="shared" si="17"/>
        <v xml:space="preserve">-    </v>
      </c>
      <c r="AL20" s="156">
        <f t="shared" si="18"/>
        <v>7200</v>
      </c>
      <c r="AM20" s="14">
        <f t="shared" si="19"/>
        <v>3600</v>
      </c>
      <c r="AN20" s="26">
        <f t="shared" si="20"/>
        <v>3557.42</v>
      </c>
      <c r="AO20" s="92">
        <f t="shared" si="21"/>
        <v>-42.579999999999927</v>
      </c>
      <c r="AP20" s="186">
        <f t="shared" si="22"/>
        <v>-1.1827777777777758E-2</v>
      </c>
    </row>
    <row r="21" spans="1:42" x14ac:dyDescent="0.25">
      <c r="A21" s="13" t="s">
        <v>65</v>
      </c>
      <c r="B21" s="131" t="s">
        <v>1308</v>
      </c>
      <c r="C21" s="156">
        <f>SUMIF('TB - Expense Data'!$G$3:$G$757,B21,'TB - Expense Data'!$J$3:$J$757)</f>
        <v>1392</v>
      </c>
      <c r="D21" s="14">
        <f t="shared" si="0"/>
        <v>696</v>
      </c>
      <c r="E21" s="26">
        <f>SUMIF('TB - Expense Data'!$G$3:$G$757,B21,'TB - Expense Data'!$N$3:$N$757)</f>
        <v>292.29000000000002</v>
      </c>
      <c r="F21" s="92">
        <f t="shared" si="1"/>
        <v>-403.71</v>
      </c>
      <c r="G21" s="186">
        <f t="shared" si="2"/>
        <v>-0.58004310344827581</v>
      </c>
      <c r="H21" s="131" t="s">
        <v>1309</v>
      </c>
      <c r="I21" s="156">
        <f>SUMIF('TB - Expense Data'!$G$3:$G$757,H21,'TB - Expense Data'!$J$3:$J$757)</f>
        <v>540</v>
      </c>
      <c r="J21" s="14">
        <f t="shared" si="3"/>
        <v>270</v>
      </c>
      <c r="K21" s="26">
        <f>SUMIF('TB - Expense Data'!$G$3:$G$757,H21,'TB - Expense Data'!$N$3:$N$757)</f>
        <v>80.640000000000015</v>
      </c>
      <c r="L21" s="92">
        <f t="shared" si="4"/>
        <v>-189.35999999999999</v>
      </c>
      <c r="M21" s="186">
        <f t="shared" si="5"/>
        <v>-0.70133333333333325</v>
      </c>
      <c r="N21" s="131" t="s">
        <v>1310</v>
      </c>
      <c r="O21" s="156">
        <f>SUMIF('TB - Expense Data'!$G$3:$G$757,N21,'TB - Expense Data'!$J$3:$J$757)</f>
        <v>1836</v>
      </c>
      <c r="P21" s="14">
        <f t="shared" si="6"/>
        <v>918</v>
      </c>
      <c r="Q21" s="26">
        <f>SUMIF('TB - Expense Data'!$G$3:$G$757,N21,'TB - Expense Data'!$N$3:$N$757)</f>
        <v>524.14</v>
      </c>
      <c r="R21" s="92">
        <f t="shared" si="7"/>
        <v>-393.86</v>
      </c>
      <c r="S21" s="186">
        <f t="shared" si="8"/>
        <v>-0.42904139433551197</v>
      </c>
      <c r="T21" s="131" t="s">
        <v>1311</v>
      </c>
      <c r="U21" s="156">
        <f>SUMIF('TB - Expense Data'!$G$3:$G$757,T21,'TB - Expense Data'!$J$3:$J$757)</f>
        <v>632</v>
      </c>
      <c r="V21" s="14">
        <f t="shared" si="9"/>
        <v>316</v>
      </c>
      <c r="W21" s="26">
        <f>SUMIF('TB - Expense Data'!$G$3:$G$757,T21,'TB - Expense Data'!$N$3:$N$757)</f>
        <v>110.89</v>
      </c>
      <c r="X21" s="92">
        <f t="shared" si="10"/>
        <v>-205.11</v>
      </c>
      <c r="Y21" s="186">
        <f t="shared" si="11"/>
        <v>-0.64908227848101274</v>
      </c>
      <c r="Z21" s="131" t="s">
        <v>979</v>
      </c>
      <c r="AA21" s="156">
        <f>SUMIF('TB - Expense Data'!$G$3:$G$757,Z21,'TB - Expense Data'!$J$3:$J$757)</f>
        <v>0</v>
      </c>
      <c r="AB21" s="14">
        <f t="shared" si="12"/>
        <v>0</v>
      </c>
      <c r="AC21" s="26">
        <f>SUMIF('TB - Expense Data'!$G$3:$G$757,Z21,'TB - Expense Data'!$N$3:$N$757)</f>
        <v>0</v>
      </c>
      <c r="AD21" s="92">
        <f t="shared" si="13"/>
        <v>0</v>
      </c>
      <c r="AE21" s="186" t="str">
        <f t="shared" si="14"/>
        <v xml:space="preserve">-    </v>
      </c>
      <c r="AF21" s="131" t="s">
        <v>979</v>
      </c>
      <c r="AG21" s="156">
        <f>SUMIF('TB - Expense Data'!$G$3:$G$757,AF21,'TB - Expense Data'!$J$3:$J$757)</f>
        <v>0</v>
      </c>
      <c r="AH21" s="14">
        <f t="shared" si="15"/>
        <v>0</v>
      </c>
      <c r="AI21" s="26">
        <f>SUMIF('TB - Expense Data'!$G$3:$G$757,AF21,'TB - Expense Data'!$N$3:$N$757)</f>
        <v>0</v>
      </c>
      <c r="AJ21" s="92">
        <f t="shared" si="16"/>
        <v>0</v>
      </c>
      <c r="AK21" s="186" t="str">
        <f t="shared" si="17"/>
        <v xml:space="preserve">-    </v>
      </c>
      <c r="AL21" s="156">
        <f t="shared" si="18"/>
        <v>4400</v>
      </c>
      <c r="AM21" s="14">
        <f t="shared" si="19"/>
        <v>2200</v>
      </c>
      <c r="AN21" s="26">
        <f t="shared" si="20"/>
        <v>1007.96</v>
      </c>
      <c r="AO21" s="92">
        <f t="shared" si="21"/>
        <v>-1192.04</v>
      </c>
      <c r="AP21" s="186">
        <f t="shared" si="22"/>
        <v>-0.54183636363636367</v>
      </c>
    </row>
    <row r="22" spans="1:42" x14ac:dyDescent="0.25">
      <c r="A22" s="13" t="s">
        <v>40</v>
      </c>
      <c r="B22" s="131" t="s">
        <v>1312</v>
      </c>
      <c r="C22" s="156">
        <f>SUMIF('TB - Expense Data'!$G$3:$G$757,B22,'TB - Expense Data'!$J$3:$J$757)</f>
        <v>3905.96</v>
      </c>
      <c r="D22" s="14">
        <f t="shared" si="0"/>
        <v>1952.98</v>
      </c>
      <c r="E22" s="26">
        <f>SUMIF('TB - Expense Data'!$G$3:$G$757,B22,'TB - Expense Data'!$N$3:$N$757)</f>
        <v>182.22</v>
      </c>
      <c r="F22" s="92">
        <f t="shared" si="1"/>
        <v>-1770.76</v>
      </c>
      <c r="G22" s="186">
        <f t="shared" si="2"/>
        <v>-0.90669643314319659</v>
      </c>
      <c r="H22" s="131" t="s">
        <v>1313</v>
      </c>
      <c r="I22" s="156">
        <f>SUMIF('TB - Expense Data'!$G$3:$G$757,H22,'TB - Expense Data'!$J$3:$J$757)</f>
        <v>1214.54</v>
      </c>
      <c r="J22" s="14">
        <f t="shared" si="3"/>
        <v>607.27</v>
      </c>
      <c r="K22" s="26">
        <f>SUMIF('TB - Expense Data'!$G$3:$G$757,H22,'TB - Expense Data'!$N$3:$N$757)</f>
        <v>34.629999999999995</v>
      </c>
      <c r="L22" s="92">
        <f t="shared" si="4"/>
        <v>-572.64</v>
      </c>
      <c r="M22" s="186">
        <f t="shared" si="5"/>
        <v>-0.94297429479473716</v>
      </c>
      <c r="N22" s="131" t="s">
        <v>1314</v>
      </c>
      <c r="O22" s="156">
        <f>SUMIF('TB - Expense Data'!$G$3:$G$757,N22,'TB - Expense Data'!$J$3:$J$757)</f>
        <v>5978.74</v>
      </c>
      <c r="P22" s="14">
        <f t="shared" si="6"/>
        <v>2989.37</v>
      </c>
      <c r="Q22" s="26">
        <f>SUMIF('TB - Expense Data'!$G$3:$G$757,N22,'TB - Expense Data'!$N$3:$N$757)</f>
        <v>325.41000000000003</v>
      </c>
      <c r="R22" s="92">
        <f t="shared" si="7"/>
        <v>-2663.96</v>
      </c>
      <c r="S22" s="186">
        <f t="shared" si="8"/>
        <v>-0.8911442879268876</v>
      </c>
      <c r="T22" s="131" t="s">
        <v>1315</v>
      </c>
      <c r="U22" s="156">
        <f>SUMIF('TB - Expense Data'!$G$3:$G$757,T22,'TB - Expense Data'!$J$3:$J$757)</f>
        <v>1500.76</v>
      </c>
      <c r="V22" s="14">
        <f t="shared" si="9"/>
        <v>750.38</v>
      </c>
      <c r="W22" s="26">
        <f>SUMIF('TB - Expense Data'!$G$3:$G$757,T22,'TB - Expense Data'!$N$3:$N$757)</f>
        <v>47.66</v>
      </c>
      <c r="X22" s="92">
        <f t="shared" si="10"/>
        <v>-702.72</v>
      </c>
      <c r="Y22" s="186">
        <f t="shared" si="11"/>
        <v>-0.93648551400623692</v>
      </c>
      <c r="Z22" s="131" t="s">
        <v>979</v>
      </c>
      <c r="AA22" s="156">
        <f>SUMIF('TB - Expense Data'!$G$3:$G$757,Z22,'TB - Expense Data'!$J$3:$J$757)</f>
        <v>0</v>
      </c>
      <c r="AB22" s="14">
        <f t="shared" si="12"/>
        <v>0</v>
      </c>
      <c r="AC22" s="26">
        <f>SUMIF('TB - Expense Data'!$G$3:$G$757,Z22,'TB - Expense Data'!$N$3:$N$757)</f>
        <v>0</v>
      </c>
      <c r="AD22" s="92">
        <f t="shared" si="13"/>
        <v>0</v>
      </c>
      <c r="AE22" s="186" t="str">
        <f t="shared" si="14"/>
        <v xml:space="preserve">-    </v>
      </c>
      <c r="AF22" s="131" t="s">
        <v>979</v>
      </c>
      <c r="AG22" s="156">
        <f>SUMIF('TB - Expense Data'!$G$3:$G$757,AF22,'TB - Expense Data'!$J$3:$J$757)</f>
        <v>0</v>
      </c>
      <c r="AH22" s="14">
        <f t="shared" si="15"/>
        <v>0</v>
      </c>
      <c r="AI22" s="26">
        <f>SUMIF('TB - Expense Data'!$G$3:$G$757,AF22,'TB - Expense Data'!$N$3:$N$757)</f>
        <v>0</v>
      </c>
      <c r="AJ22" s="92">
        <f t="shared" si="16"/>
        <v>0</v>
      </c>
      <c r="AK22" s="186" t="str">
        <f t="shared" si="17"/>
        <v xml:space="preserve">-    </v>
      </c>
      <c r="AL22" s="156">
        <f t="shared" si="18"/>
        <v>12600</v>
      </c>
      <c r="AM22" s="14">
        <f t="shared" si="19"/>
        <v>6300</v>
      </c>
      <c r="AN22" s="26">
        <f t="shared" si="20"/>
        <v>589.91999999999996</v>
      </c>
      <c r="AO22" s="92">
        <f t="shared" si="21"/>
        <v>-5710.08</v>
      </c>
      <c r="AP22" s="186">
        <f t="shared" si="22"/>
        <v>-0.9063619047619047</v>
      </c>
    </row>
    <row r="23" spans="1:42" x14ac:dyDescent="0.25">
      <c r="A23" s="13" t="s">
        <v>41</v>
      </c>
      <c r="B23" s="131" t="s">
        <v>1316</v>
      </c>
      <c r="C23" s="156">
        <f>SUMIF('TB - Expense Data'!$G$3:$G$757,B23,'TB - Expense Data'!$J$3:$J$757)</f>
        <v>86.240000000000009</v>
      </c>
      <c r="D23" s="14">
        <f t="shared" si="0"/>
        <v>43.120000000000005</v>
      </c>
      <c r="E23" s="26">
        <f>SUMIF('TB - Expense Data'!$G$3:$G$757,B23,'TB - Expense Data'!$N$3:$N$757)</f>
        <v>4.1400000000000006</v>
      </c>
      <c r="F23" s="92">
        <f t="shared" si="1"/>
        <v>-38.980000000000004</v>
      </c>
      <c r="G23" s="186">
        <f t="shared" si="2"/>
        <v>-0.90398886827458258</v>
      </c>
      <c r="H23" s="131" t="s">
        <v>1317</v>
      </c>
      <c r="I23" s="156">
        <f>SUMIF('TB - Expense Data'!$G$3:$G$757,H23,'TB - Expense Data'!$J$3:$J$757)</f>
        <v>27.66</v>
      </c>
      <c r="J23" s="14">
        <f t="shared" si="3"/>
        <v>13.83</v>
      </c>
      <c r="K23" s="26">
        <f>SUMIF('TB - Expense Data'!$G$3:$G$757,H23,'TB - Expense Data'!$N$3:$N$757)</f>
        <v>0.65</v>
      </c>
      <c r="L23" s="92">
        <f t="shared" si="4"/>
        <v>-13.18</v>
      </c>
      <c r="M23" s="186">
        <f t="shared" si="5"/>
        <v>-0.95300072306579897</v>
      </c>
      <c r="N23" s="131" t="s">
        <v>1318</v>
      </c>
      <c r="O23" s="156">
        <f>SUMIF('TB - Expense Data'!$G$3:$G$757,N23,'TB - Expense Data'!$J$3:$J$757)</f>
        <v>132.66</v>
      </c>
      <c r="P23" s="14">
        <f t="shared" si="6"/>
        <v>66.33</v>
      </c>
      <c r="Q23" s="26">
        <f>SUMIF('TB - Expense Data'!$G$3:$G$757,N23,'TB - Expense Data'!$N$3:$N$757)</f>
        <v>7.4500000000000011</v>
      </c>
      <c r="R23" s="92">
        <f t="shared" si="7"/>
        <v>-58.879999999999995</v>
      </c>
      <c r="S23" s="186">
        <f t="shared" si="8"/>
        <v>-0.88768279813055928</v>
      </c>
      <c r="T23" s="131" t="s">
        <v>1319</v>
      </c>
      <c r="U23" s="156">
        <f>SUMIF('TB - Expense Data'!$G$3:$G$757,T23,'TB - Expense Data'!$J$3:$J$757)</f>
        <v>33.11</v>
      </c>
      <c r="V23" s="14">
        <f t="shared" si="9"/>
        <v>16.555</v>
      </c>
      <c r="W23" s="26">
        <f>SUMIF('TB - Expense Data'!$G$3:$G$757,T23,'TB - Expense Data'!$N$3:$N$757)</f>
        <v>0.97</v>
      </c>
      <c r="X23" s="92">
        <f t="shared" si="10"/>
        <v>-15.584999999999999</v>
      </c>
      <c r="Y23" s="186">
        <f t="shared" si="11"/>
        <v>-0.94140742977952274</v>
      </c>
      <c r="Z23" s="131" t="s">
        <v>979</v>
      </c>
      <c r="AA23" s="156">
        <f>SUMIF('TB - Expense Data'!$G$3:$G$757,Z23,'TB - Expense Data'!$J$3:$J$757)</f>
        <v>0</v>
      </c>
      <c r="AB23" s="14">
        <f t="shared" si="12"/>
        <v>0</v>
      </c>
      <c r="AC23" s="26">
        <f>SUMIF('TB - Expense Data'!$G$3:$G$757,Z23,'TB - Expense Data'!$N$3:$N$757)</f>
        <v>0</v>
      </c>
      <c r="AD23" s="92">
        <f t="shared" si="13"/>
        <v>0</v>
      </c>
      <c r="AE23" s="186" t="str">
        <f t="shared" si="14"/>
        <v xml:space="preserve">-    </v>
      </c>
      <c r="AF23" s="131" t="s">
        <v>979</v>
      </c>
      <c r="AG23" s="156">
        <f>SUMIF('TB - Expense Data'!$G$3:$G$757,AF23,'TB - Expense Data'!$J$3:$J$757)</f>
        <v>0</v>
      </c>
      <c r="AH23" s="14">
        <f t="shared" si="15"/>
        <v>0</v>
      </c>
      <c r="AI23" s="26">
        <f>SUMIF('TB - Expense Data'!$G$3:$G$757,AF23,'TB - Expense Data'!$N$3:$N$757)</f>
        <v>0</v>
      </c>
      <c r="AJ23" s="92">
        <f t="shared" si="16"/>
        <v>0</v>
      </c>
      <c r="AK23" s="186" t="str">
        <f t="shared" si="17"/>
        <v xml:space="preserve">-    </v>
      </c>
      <c r="AL23" s="156">
        <f t="shared" si="18"/>
        <v>279.67</v>
      </c>
      <c r="AM23" s="14">
        <f t="shared" si="19"/>
        <v>139.83500000000001</v>
      </c>
      <c r="AN23" s="26">
        <f t="shared" si="20"/>
        <v>13.210000000000003</v>
      </c>
      <c r="AO23" s="92">
        <f t="shared" si="21"/>
        <v>-126.625</v>
      </c>
      <c r="AP23" s="186">
        <f t="shared" si="22"/>
        <v>-0.90553151929059239</v>
      </c>
    </row>
    <row r="24" spans="1:42" x14ac:dyDescent="0.25">
      <c r="A24" s="13" t="s">
        <v>155</v>
      </c>
      <c r="B24" s="131" t="s">
        <v>1320</v>
      </c>
      <c r="C24" s="156">
        <f>SUMIF('TB - Expense Data'!$G$3:$G$757,B24,'TB - Expense Data'!$J$3:$J$757)</f>
        <v>2088</v>
      </c>
      <c r="D24" s="14">
        <f t="shared" si="0"/>
        <v>1044</v>
      </c>
      <c r="E24" s="26">
        <f>SUMIF('TB - Expense Data'!$G$3:$G$757,B24,'TB - Expense Data'!$N$3:$N$757)</f>
        <v>725</v>
      </c>
      <c r="F24" s="92">
        <f t="shared" si="1"/>
        <v>-319</v>
      </c>
      <c r="G24" s="186">
        <f t="shared" si="2"/>
        <v>-0.30555555555555558</v>
      </c>
      <c r="H24" s="131" t="s">
        <v>1321</v>
      </c>
      <c r="I24" s="156">
        <f>SUMIF('TB - Expense Data'!$G$3:$G$757,H24,'TB - Expense Data'!$J$3:$J$757)</f>
        <v>576</v>
      </c>
      <c r="J24" s="14">
        <f t="shared" si="3"/>
        <v>288</v>
      </c>
      <c r="K24" s="26">
        <f>SUMIF('TB - Expense Data'!$G$3:$G$757,H24,'TB - Expense Data'!$N$3:$N$757)</f>
        <v>200</v>
      </c>
      <c r="L24" s="92">
        <f t="shared" si="4"/>
        <v>-88</v>
      </c>
      <c r="M24" s="186">
        <f t="shared" si="5"/>
        <v>-0.30555555555555558</v>
      </c>
      <c r="N24" s="131" t="s">
        <v>1322</v>
      </c>
      <c r="O24" s="156">
        <f>SUMIF('TB - Expense Data'!$G$3:$G$757,N24,'TB - Expense Data'!$J$3:$J$757)</f>
        <v>3744</v>
      </c>
      <c r="P24" s="14">
        <f t="shared" si="6"/>
        <v>1872</v>
      </c>
      <c r="Q24" s="26">
        <f>SUMIF('TB - Expense Data'!$G$3:$G$757,N24,'TB - Expense Data'!$N$3:$N$757)</f>
        <v>1300</v>
      </c>
      <c r="R24" s="92">
        <f t="shared" si="7"/>
        <v>-572</v>
      </c>
      <c r="S24" s="186">
        <f t="shared" si="8"/>
        <v>-0.30555555555555558</v>
      </c>
      <c r="T24" s="131" t="s">
        <v>1323</v>
      </c>
      <c r="U24" s="156">
        <f>SUMIF('TB - Expense Data'!$G$3:$G$757,T24,'TB - Expense Data'!$J$3:$J$757)</f>
        <v>792</v>
      </c>
      <c r="V24" s="14">
        <f t="shared" si="9"/>
        <v>396</v>
      </c>
      <c r="W24" s="26">
        <f>SUMIF('TB - Expense Data'!$G$3:$G$757,T24,'TB - Expense Data'!$N$3:$N$757)</f>
        <v>275</v>
      </c>
      <c r="X24" s="92">
        <f t="shared" si="10"/>
        <v>-121</v>
      </c>
      <c r="Y24" s="186">
        <f t="shared" si="11"/>
        <v>-0.30555555555555558</v>
      </c>
      <c r="Z24" s="131" t="s">
        <v>979</v>
      </c>
      <c r="AA24" s="156">
        <f>SUMIF('TB - Expense Data'!$G$3:$G$757,Z24,'TB - Expense Data'!$J$3:$J$757)</f>
        <v>0</v>
      </c>
      <c r="AB24" s="14">
        <f t="shared" si="12"/>
        <v>0</v>
      </c>
      <c r="AC24" s="26">
        <f>SUMIF('TB - Expense Data'!$G$3:$G$757,Z24,'TB - Expense Data'!$N$3:$N$757)</f>
        <v>0</v>
      </c>
      <c r="AD24" s="92">
        <f t="shared" si="13"/>
        <v>0</v>
      </c>
      <c r="AE24" s="186" t="str">
        <f t="shared" si="14"/>
        <v xml:space="preserve">-    </v>
      </c>
      <c r="AF24" s="131" t="s">
        <v>979</v>
      </c>
      <c r="AG24" s="156">
        <f>SUMIF('TB - Expense Data'!$G$3:$G$757,AF24,'TB - Expense Data'!$J$3:$J$757)</f>
        <v>0</v>
      </c>
      <c r="AH24" s="14">
        <f t="shared" si="15"/>
        <v>0</v>
      </c>
      <c r="AI24" s="26">
        <f>SUMIF('TB - Expense Data'!$G$3:$G$757,AF24,'TB - Expense Data'!$N$3:$N$757)</f>
        <v>0</v>
      </c>
      <c r="AJ24" s="92">
        <f t="shared" si="16"/>
        <v>0</v>
      </c>
      <c r="AK24" s="186" t="str">
        <f t="shared" si="17"/>
        <v xml:space="preserve">-    </v>
      </c>
      <c r="AL24" s="156">
        <f t="shared" si="18"/>
        <v>7200</v>
      </c>
      <c r="AM24" s="14">
        <f t="shared" si="19"/>
        <v>3600</v>
      </c>
      <c r="AN24" s="26">
        <f t="shared" si="20"/>
        <v>2500</v>
      </c>
      <c r="AO24" s="92">
        <f t="shared" si="21"/>
        <v>-1100</v>
      </c>
      <c r="AP24" s="186">
        <f t="shared" si="22"/>
        <v>-0.30555555555555558</v>
      </c>
    </row>
    <row r="25" spans="1:42" x14ac:dyDescent="0.25">
      <c r="A25" s="13" t="s">
        <v>42</v>
      </c>
      <c r="B25" s="131" t="s">
        <v>1324</v>
      </c>
      <c r="C25" s="156">
        <f>SUMIF('TB - Expense Data'!$G$3:$G$757,B25,'TB - Expense Data'!$J$3:$J$757)</f>
        <v>2860.3599999999997</v>
      </c>
      <c r="D25" s="14">
        <f t="shared" si="0"/>
        <v>1430.1799999999998</v>
      </c>
      <c r="E25" s="26">
        <f>SUMIF('TB - Expense Data'!$G$3:$G$757,B25,'TB - Expense Data'!$N$3:$N$757)</f>
        <v>1127.3</v>
      </c>
      <c r="F25" s="92">
        <f t="shared" si="1"/>
        <v>-302.87999999999988</v>
      </c>
      <c r="G25" s="186">
        <f t="shared" si="2"/>
        <v>-0.21177753849165834</v>
      </c>
      <c r="H25" s="131" t="s">
        <v>1325</v>
      </c>
      <c r="I25" s="156">
        <f>SUMIF('TB - Expense Data'!$G$3:$G$757,H25,'TB - Expense Data'!$J$3:$J$757)</f>
        <v>915.56</v>
      </c>
      <c r="J25" s="14">
        <f t="shared" si="3"/>
        <v>457.78</v>
      </c>
      <c r="K25" s="26">
        <f>SUMIF('TB - Expense Data'!$G$3:$G$757,H25,'TB - Expense Data'!$N$3:$N$757)</f>
        <v>287.45999999999998</v>
      </c>
      <c r="L25" s="92">
        <f t="shared" si="4"/>
        <v>-170.32</v>
      </c>
      <c r="M25" s="186">
        <f t="shared" si="5"/>
        <v>-0.37205644632793045</v>
      </c>
      <c r="N25" s="131" t="s">
        <v>1326</v>
      </c>
      <c r="O25" s="156">
        <f>SUMIF('TB - Expense Data'!$G$3:$G$757,N25,'TB - Expense Data'!$J$3:$J$757)</f>
        <v>4418.4399999999996</v>
      </c>
      <c r="P25" s="14">
        <f t="shared" si="6"/>
        <v>2209.2199999999998</v>
      </c>
      <c r="Q25" s="26">
        <f>SUMIF('TB - Expense Data'!$G$3:$G$757,N25,'TB - Expense Data'!$N$3:$N$757)</f>
        <v>2020.02</v>
      </c>
      <c r="R25" s="92">
        <f t="shared" si="7"/>
        <v>-189.19999999999982</v>
      </c>
      <c r="S25" s="186">
        <f t="shared" si="8"/>
        <v>-8.5641085994151711E-2</v>
      </c>
      <c r="T25" s="131" t="s">
        <v>1327</v>
      </c>
      <c r="U25" s="156">
        <f>SUMIF('TB - Expense Data'!$G$3:$G$757,T25,'TB - Expense Data'!$J$3:$J$757)</f>
        <v>1160.7</v>
      </c>
      <c r="V25" s="14">
        <f t="shared" si="9"/>
        <v>580.35</v>
      </c>
      <c r="W25" s="26">
        <f>SUMIF('TB - Expense Data'!$G$3:$G$757,T25,'TB - Expense Data'!$N$3:$N$757)</f>
        <v>395.23</v>
      </c>
      <c r="X25" s="92">
        <f t="shared" si="10"/>
        <v>-185.12</v>
      </c>
      <c r="Y25" s="186">
        <f t="shared" si="11"/>
        <v>-0.31897992590678037</v>
      </c>
      <c r="Z25" s="131" t="s">
        <v>979</v>
      </c>
      <c r="AA25" s="156">
        <f>SUMIF('TB - Expense Data'!$G$3:$G$757,Z25,'TB - Expense Data'!$J$3:$J$757)</f>
        <v>0</v>
      </c>
      <c r="AB25" s="14">
        <f t="shared" si="12"/>
        <v>0</v>
      </c>
      <c r="AC25" s="26">
        <f>SUMIF('TB - Expense Data'!$G$3:$G$757,Z25,'TB - Expense Data'!$N$3:$N$757)</f>
        <v>0</v>
      </c>
      <c r="AD25" s="92">
        <f t="shared" si="13"/>
        <v>0</v>
      </c>
      <c r="AE25" s="186" t="str">
        <f t="shared" si="14"/>
        <v xml:space="preserve">-    </v>
      </c>
      <c r="AF25" s="131" t="s">
        <v>979</v>
      </c>
      <c r="AG25" s="156">
        <f>SUMIF('TB - Expense Data'!$G$3:$G$757,AF25,'TB - Expense Data'!$J$3:$J$757)</f>
        <v>0</v>
      </c>
      <c r="AH25" s="14">
        <f t="shared" si="15"/>
        <v>0</v>
      </c>
      <c r="AI25" s="26">
        <f>SUMIF('TB - Expense Data'!$G$3:$G$757,AF25,'TB - Expense Data'!$N$3:$N$757)</f>
        <v>0</v>
      </c>
      <c r="AJ25" s="92">
        <f t="shared" si="16"/>
        <v>0</v>
      </c>
      <c r="AK25" s="186" t="str">
        <f t="shared" si="17"/>
        <v xml:space="preserve">-    </v>
      </c>
      <c r="AL25" s="156">
        <f t="shared" si="18"/>
        <v>9355.06</v>
      </c>
      <c r="AM25" s="14">
        <f t="shared" si="19"/>
        <v>4677.53</v>
      </c>
      <c r="AN25" s="26">
        <f t="shared" si="20"/>
        <v>3830.0099999999998</v>
      </c>
      <c r="AO25" s="92">
        <f t="shared" si="21"/>
        <v>-847.52</v>
      </c>
      <c r="AP25" s="186">
        <f t="shared" si="22"/>
        <v>-0.18118964496219159</v>
      </c>
    </row>
    <row r="26" spans="1:42" x14ac:dyDescent="0.25">
      <c r="A26" s="498" t="s">
        <v>2252</v>
      </c>
      <c r="B26" s="131" t="s">
        <v>3433</v>
      </c>
      <c r="C26" s="156">
        <f>SUMIF('TB - Expense Data'!$G$3:$G$757,B26,'TB - Expense Data'!$J$3:$J$757)</f>
        <v>83349.88</v>
      </c>
      <c r="D26" s="14">
        <f t="shared" si="0"/>
        <v>41674.94</v>
      </c>
      <c r="E26" s="26">
        <f>SUMIF('TB - Expense Data'!$G$3:$G$757,B26,'TB - Expense Data'!$N$3:$N$757)</f>
        <v>30700.850000000002</v>
      </c>
      <c r="F26" s="92">
        <f t="shared" si="1"/>
        <v>-10974.09</v>
      </c>
      <c r="G26" s="186">
        <f t="shared" si="2"/>
        <v>-0.26332587401445567</v>
      </c>
      <c r="H26" s="131" t="s">
        <v>3435</v>
      </c>
      <c r="I26" s="156">
        <f>SUMIF('TB - Expense Data'!$G$3:$G$757,H26,'TB - Expense Data'!$J$3:$J$757)</f>
        <v>26677.760000000002</v>
      </c>
      <c r="J26" s="14">
        <f t="shared" si="3"/>
        <v>13338.880000000001</v>
      </c>
      <c r="K26" s="26">
        <f>SUMIF('TB - Expense Data'!$G$3:$G$757,H26,'TB - Expense Data'!$N$3:$N$757)</f>
        <v>10434.909999999998</v>
      </c>
      <c r="L26" s="92">
        <f t="shared" si="4"/>
        <v>-2903.970000000003</v>
      </c>
      <c r="M26" s="186">
        <f t="shared" si="5"/>
        <v>-0.21770718381153462</v>
      </c>
      <c r="N26" s="131" t="s">
        <v>3437</v>
      </c>
      <c r="O26" s="156">
        <f>SUMIF('TB - Expense Data'!$G$3:$G$757,N26,'TB - Expense Data'!$J$3:$J$757)</f>
        <v>128726.92</v>
      </c>
      <c r="P26" s="14">
        <f t="shared" si="6"/>
        <v>64363.46</v>
      </c>
      <c r="Q26" s="26">
        <f>SUMIF('TB - Expense Data'!$G$3:$G$757,N26,'TB - Expense Data'!$N$3:$N$757)</f>
        <v>53312.640000000007</v>
      </c>
      <c r="R26" s="92">
        <f t="shared" si="7"/>
        <v>-11050.819999999992</v>
      </c>
      <c r="S26" s="186">
        <f t="shared" si="8"/>
        <v>-0.17169400153441086</v>
      </c>
      <c r="T26" s="131" t="s">
        <v>3439</v>
      </c>
      <c r="U26" s="156">
        <f>SUMIF('TB - Expense Data'!$G$3:$G$757,T26,'TB - Expense Data'!$J$3:$J$757)</f>
        <v>33223.440000000002</v>
      </c>
      <c r="V26" s="14">
        <f t="shared" si="9"/>
        <v>16611.72</v>
      </c>
      <c r="W26" s="26">
        <f>SUMIF('TB - Expense Data'!$G$3:$G$757,T26,'TB - Expense Data'!$N$3:$N$757)</f>
        <v>14289.92</v>
      </c>
      <c r="X26" s="92">
        <f t="shared" si="10"/>
        <v>-2321.8000000000011</v>
      </c>
      <c r="Y26" s="186">
        <f t="shared" si="11"/>
        <v>-0.13976878974603479</v>
      </c>
      <c r="Z26" s="131" t="s">
        <v>979</v>
      </c>
      <c r="AA26" s="156">
        <f>SUMIF('TB - Expense Data'!$G$3:$G$757,Z26,'TB - Expense Data'!$J$3:$J$757)</f>
        <v>0</v>
      </c>
      <c r="AB26" s="14">
        <f t="shared" si="12"/>
        <v>0</v>
      </c>
      <c r="AC26" s="26">
        <f>SUMIF('TB - Expense Data'!$G$3:$G$757,Z26,'TB - Expense Data'!$N$3:$N$757)</f>
        <v>0</v>
      </c>
      <c r="AD26" s="92">
        <f t="shared" si="13"/>
        <v>0</v>
      </c>
      <c r="AE26" s="186" t="str">
        <f t="shared" si="14"/>
        <v xml:space="preserve">-    </v>
      </c>
      <c r="AF26" s="131" t="s">
        <v>979</v>
      </c>
      <c r="AG26" s="156">
        <f>SUMIF('TB - Expense Data'!$G$3:$G$757,AF26,'TB - Expense Data'!$J$3:$J$757)</f>
        <v>0</v>
      </c>
      <c r="AH26" s="14">
        <f t="shared" si="15"/>
        <v>0</v>
      </c>
      <c r="AI26" s="26">
        <f>SUMIF('TB - Expense Data'!$G$3:$G$757,AF26,'TB - Expense Data'!$N$3:$N$757)</f>
        <v>0</v>
      </c>
      <c r="AJ26" s="92">
        <f t="shared" si="16"/>
        <v>0</v>
      </c>
      <c r="AK26" s="186" t="str">
        <f t="shared" si="17"/>
        <v xml:space="preserve">-    </v>
      </c>
      <c r="AL26" s="156">
        <f t="shared" si="18"/>
        <v>271978</v>
      </c>
      <c r="AM26" s="14">
        <f t="shared" si="19"/>
        <v>135989</v>
      </c>
      <c r="AN26" s="26">
        <f t="shared" si="20"/>
        <v>108738.32</v>
      </c>
      <c r="AO26" s="92">
        <f t="shared" si="21"/>
        <v>-27250.679999999993</v>
      </c>
      <c r="AP26" s="186">
        <f t="shared" si="22"/>
        <v>-0.20038885498091752</v>
      </c>
    </row>
    <row r="27" spans="1:42" x14ac:dyDescent="0.25">
      <c r="A27" s="13" t="s">
        <v>44</v>
      </c>
      <c r="B27" s="131" t="s">
        <v>3434</v>
      </c>
      <c r="C27" s="156">
        <f>SUMIF('TB - Expense Data'!$G$3:$G$757,B27,'TB - Expense Data'!$J$3:$J$757)</f>
        <v>68854.36</v>
      </c>
      <c r="D27" s="14">
        <f t="shared" si="0"/>
        <v>34427.18</v>
      </c>
      <c r="E27" s="26">
        <f>SUMIF('TB - Expense Data'!$G$3:$G$757,B27,'TB - Expense Data'!$N$3:$N$757)</f>
        <v>25793.65</v>
      </c>
      <c r="F27" s="92">
        <f t="shared" si="1"/>
        <v>-8633.5299999999988</v>
      </c>
      <c r="G27" s="186">
        <f t="shared" si="2"/>
        <v>-0.25077656665460252</v>
      </c>
      <c r="H27" s="131" t="s">
        <v>3436</v>
      </c>
      <c r="I27" s="156">
        <f>SUMIF('TB - Expense Data'!$G$3:$G$757,H27,'TB - Expense Data'!$J$3:$J$757)</f>
        <v>22038.36</v>
      </c>
      <c r="J27" s="14">
        <f t="shared" si="3"/>
        <v>11019.18</v>
      </c>
      <c r="K27" s="26">
        <f>SUMIF('TB - Expense Data'!$G$3:$G$757,H27,'TB - Expense Data'!$N$3:$N$757)</f>
        <v>8744.369999999999</v>
      </c>
      <c r="L27" s="92">
        <f t="shared" si="4"/>
        <v>-2274.8100000000013</v>
      </c>
      <c r="M27" s="186">
        <f t="shared" si="5"/>
        <v>-0.20644095114155511</v>
      </c>
      <c r="N27" s="131" t="s">
        <v>3438</v>
      </c>
      <c r="O27" s="156">
        <f>SUMIF('TB - Expense Data'!$G$3:$G$757,N27,'TB - Expense Data'!$J$3:$J$757)</f>
        <v>106340.44</v>
      </c>
      <c r="P27" s="14">
        <f t="shared" si="6"/>
        <v>53170.22</v>
      </c>
      <c r="Q27" s="26">
        <f>SUMIF('TB - Expense Data'!$G$3:$G$757,N27,'TB - Expense Data'!$N$3:$N$757)</f>
        <v>44771.5</v>
      </c>
      <c r="R27" s="92">
        <f t="shared" si="7"/>
        <v>-8398.7200000000012</v>
      </c>
      <c r="S27" s="186">
        <f t="shared" si="8"/>
        <v>-0.15795909815682541</v>
      </c>
      <c r="T27" s="131" t="s">
        <v>3440</v>
      </c>
      <c r="U27" s="156">
        <f>SUMIF('TB - Expense Data'!$G$3:$G$757,T27,'TB - Expense Data'!$J$3:$J$757)</f>
        <v>27445.84</v>
      </c>
      <c r="V27" s="14">
        <f t="shared" si="9"/>
        <v>13722.92</v>
      </c>
      <c r="W27" s="26">
        <f>SUMIF('TB - Expense Data'!$G$3:$G$757,T27,'TB - Expense Data'!$N$3:$N$757)</f>
        <v>11975.83</v>
      </c>
      <c r="X27" s="92">
        <f t="shared" si="10"/>
        <v>-1747.0900000000001</v>
      </c>
      <c r="Y27" s="186">
        <f t="shared" si="11"/>
        <v>-0.12731182576303005</v>
      </c>
      <c r="Z27" s="131" t="s">
        <v>979</v>
      </c>
      <c r="AA27" s="156">
        <f>SUMIF('TB - Expense Data'!$G$3:$G$757,Z27,'TB - Expense Data'!$J$3:$J$757)</f>
        <v>0</v>
      </c>
      <c r="AB27" s="14">
        <f t="shared" si="12"/>
        <v>0</v>
      </c>
      <c r="AC27" s="26">
        <f>SUMIF('TB - Expense Data'!$G$3:$G$757,Z27,'TB - Expense Data'!$N$3:$N$757)</f>
        <v>0</v>
      </c>
      <c r="AD27" s="92">
        <f t="shared" si="13"/>
        <v>0</v>
      </c>
      <c r="AE27" s="186" t="str">
        <f t="shared" si="14"/>
        <v xml:space="preserve">-    </v>
      </c>
      <c r="AF27" s="131" t="s">
        <v>979</v>
      </c>
      <c r="AG27" s="156">
        <f>SUMIF('TB - Expense Data'!$G$3:$G$757,AF27,'TB - Expense Data'!$J$3:$J$757)</f>
        <v>0</v>
      </c>
      <c r="AH27" s="14">
        <f t="shared" si="15"/>
        <v>0</v>
      </c>
      <c r="AI27" s="26">
        <f>SUMIF('TB - Expense Data'!$G$3:$G$757,AF27,'TB - Expense Data'!$N$3:$N$757)</f>
        <v>0</v>
      </c>
      <c r="AJ27" s="92">
        <f t="shared" si="16"/>
        <v>0</v>
      </c>
      <c r="AK27" s="186" t="str">
        <f t="shared" si="17"/>
        <v xml:space="preserve">-    </v>
      </c>
      <c r="AL27" s="156">
        <f t="shared" si="18"/>
        <v>224679</v>
      </c>
      <c r="AM27" s="14">
        <f t="shared" si="19"/>
        <v>112339.5</v>
      </c>
      <c r="AN27" s="26">
        <f t="shared" si="20"/>
        <v>91285.35</v>
      </c>
      <c r="AO27" s="92">
        <f t="shared" si="21"/>
        <v>-21054.149999999994</v>
      </c>
      <c r="AP27" s="186">
        <f t="shared" si="22"/>
        <v>-0.18741537927443147</v>
      </c>
    </row>
    <row r="28" spans="1:42" x14ac:dyDescent="0.25">
      <c r="A28" s="13" t="s">
        <v>1079</v>
      </c>
      <c r="B28" s="131" t="s">
        <v>1328</v>
      </c>
      <c r="C28" s="156">
        <f>SUMIF('TB - Expense Data'!$G$3:$G$757,B28,'TB - Expense Data'!$J$3:$J$757)</f>
        <v>38228.959999999999</v>
      </c>
      <c r="D28" s="14">
        <f t="shared" si="0"/>
        <v>19114.48</v>
      </c>
      <c r="E28" s="26">
        <f>SUMIF('TB - Expense Data'!$G$3:$G$757,B28,'TB - Expense Data'!$N$3:$N$757)</f>
        <v>37434.589999999997</v>
      </c>
      <c r="F28" s="92">
        <f t="shared" si="1"/>
        <v>18320.109999999997</v>
      </c>
      <c r="G28" s="186">
        <f t="shared" si="2"/>
        <v>0.95844145380884005</v>
      </c>
      <c r="H28" s="131" t="s">
        <v>1329</v>
      </c>
      <c r="I28" s="156">
        <f>SUMIF('TB - Expense Data'!$G$3:$G$757,H28,'TB - Expense Data'!$J$3:$J$757)</f>
        <v>10545.92</v>
      </c>
      <c r="J28" s="14">
        <f t="shared" si="3"/>
        <v>5272.96</v>
      </c>
      <c r="K28" s="26">
        <f>SUMIF('TB - Expense Data'!$G$3:$G$757,H28,'TB - Expense Data'!$N$3:$N$757)</f>
        <v>10326.780000000001</v>
      </c>
      <c r="L28" s="92">
        <f t="shared" si="4"/>
        <v>5053.8200000000006</v>
      </c>
      <c r="M28" s="186">
        <f t="shared" si="5"/>
        <v>0.95844079985435138</v>
      </c>
      <c r="N28" s="131" t="s">
        <v>1330</v>
      </c>
      <c r="O28" s="156">
        <f>SUMIF('TB - Expense Data'!$G$3:$G$757,N28,'TB - Expense Data'!$J$3:$J$757)</f>
        <v>68548.479999999996</v>
      </c>
      <c r="P28" s="14">
        <f t="shared" si="6"/>
        <v>34274.239999999998</v>
      </c>
      <c r="Q28" s="26">
        <f>SUMIF('TB - Expense Data'!$G$3:$G$757,N28,'TB - Expense Data'!$N$3:$N$757)</f>
        <v>67124.09</v>
      </c>
      <c r="R28" s="92">
        <f t="shared" si="7"/>
        <v>32849.85</v>
      </c>
      <c r="S28" s="186">
        <f t="shared" si="8"/>
        <v>0.95844138338297213</v>
      </c>
      <c r="T28" s="131" t="s">
        <v>1331</v>
      </c>
      <c r="U28" s="156">
        <f>SUMIF('TB - Expense Data'!$G$3:$G$757,T28,'TB - Expense Data'!$J$3:$J$757)</f>
        <v>14500.64</v>
      </c>
      <c r="V28" s="14">
        <f t="shared" si="9"/>
        <v>7250.32</v>
      </c>
      <c r="W28" s="26">
        <f>SUMIF('TB - Expense Data'!$G$3:$G$757,T28,'TB - Expense Data'!$N$3:$N$757)</f>
        <v>14199.33</v>
      </c>
      <c r="X28" s="92">
        <f t="shared" si="10"/>
        <v>6949.01</v>
      </c>
      <c r="Y28" s="186">
        <f t="shared" si="11"/>
        <v>0.95844183429145202</v>
      </c>
      <c r="Z28" s="131" t="s">
        <v>979</v>
      </c>
      <c r="AA28" s="156">
        <f>SUMIF('TB - Expense Data'!$G$3:$G$757,Z28,'TB - Expense Data'!$J$3:$J$757)</f>
        <v>0</v>
      </c>
      <c r="AB28" s="14">
        <f t="shared" si="12"/>
        <v>0</v>
      </c>
      <c r="AC28" s="26">
        <f>SUMIF('TB - Expense Data'!$G$3:$G$757,Z28,'TB - Expense Data'!$N$3:$N$757)</f>
        <v>0</v>
      </c>
      <c r="AD28" s="92">
        <f t="shared" si="13"/>
        <v>0</v>
      </c>
      <c r="AE28" s="186" t="str">
        <f t="shared" si="14"/>
        <v xml:space="preserve">-    </v>
      </c>
      <c r="AF28" s="131" t="s">
        <v>979</v>
      </c>
      <c r="AG28" s="156">
        <f>SUMIF('TB - Expense Data'!$G$3:$G$757,AF28,'TB - Expense Data'!$J$3:$J$757)</f>
        <v>0</v>
      </c>
      <c r="AH28" s="14">
        <f t="shared" si="15"/>
        <v>0</v>
      </c>
      <c r="AI28" s="26">
        <f>SUMIF('TB - Expense Data'!$G$3:$G$757,AF28,'TB - Expense Data'!$N$3:$N$757)</f>
        <v>0</v>
      </c>
      <c r="AJ28" s="92">
        <f t="shared" si="16"/>
        <v>0</v>
      </c>
      <c r="AK28" s="186" t="str">
        <f t="shared" si="17"/>
        <v xml:space="preserve">-    </v>
      </c>
      <c r="AL28" s="156">
        <f t="shared" si="18"/>
        <v>131824</v>
      </c>
      <c r="AM28" s="14">
        <f t="shared" si="19"/>
        <v>65912</v>
      </c>
      <c r="AN28" s="26">
        <f t="shared" si="20"/>
        <v>129084.79</v>
      </c>
      <c r="AO28" s="92">
        <f t="shared" si="21"/>
        <v>63172.789999999994</v>
      </c>
      <c r="AP28" s="186">
        <f t="shared" si="22"/>
        <v>0.95844140672411693</v>
      </c>
    </row>
    <row r="29" spans="1:42" x14ac:dyDescent="0.25">
      <c r="A29" s="13" t="s">
        <v>183</v>
      </c>
      <c r="B29" s="131" t="s">
        <v>1332</v>
      </c>
      <c r="C29" s="156">
        <f>SUMIF('TB - Expense Data'!$G$3:$G$757,B29,'TB - Expense Data'!$J$3:$J$757)</f>
        <v>41247</v>
      </c>
      <c r="D29" s="14">
        <f t="shared" si="0"/>
        <v>20623.5</v>
      </c>
      <c r="E29" s="26">
        <f>SUMIF('TB - Expense Data'!$G$3:$G$757,B29,'TB - Expense Data'!$N$3:$N$757)</f>
        <v>0</v>
      </c>
      <c r="F29" s="92">
        <f t="shared" si="1"/>
        <v>-20623.5</v>
      </c>
      <c r="G29" s="186">
        <f t="shared" si="2"/>
        <v>-1</v>
      </c>
      <c r="H29" s="131" t="s">
        <v>1333</v>
      </c>
      <c r="I29" s="156">
        <f>SUMIF('TB - Expense Data'!$G$3:$G$757,H29,'TB - Expense Data'!$J$3:$J$757)</f>
        <v>12708</v>
      </c>
      <c r="J29" s="14">
        <f t="shared" si="3"/>
        <v>6354</v>
      </c>
      <c r="K29" s="26">
        <f>SUMIF('TB - Expense Data'!$G$3:$G$757,H29,'TB - Expense Data'!$N$3:$N$757)</f>
        <v>0</v>
      </c>
      <c r="L29" s="92">
        <f t="shared" si="4"/>
        <v>-6354</v>
      </c>
      <c r="M29" s="186">
        <f t="shared" si="5"/>
        <v>-1</v>
      </c>
      <c r="N29" s="131" t="s">
        <v>1334</v>
      </c>
      <c r="O29" s="156">
        <f>SUMIF('TB - Expense Data'!$G$3:$G$757,N29,'TB - Expense Data'!$J$3:$J$757)</f>
        <v>65184</v>
      </c>
      <c r="P29" s="14">
        <f t="shared" si="6"/>
        <v>32592</v>
      </c>
      <c r="Q29" s="26">
        <f>SUMIF('TB - Expense Data'!$G$3:$G$757,N29,'TB - Expense Data'!$N$3:$N$757)</f>
        <v>0</v>
      </c>
      <c r="R29" s="92">
        <f t="shared" si="7"/>
        <v>-32592</v>
      </c>
      <c r="S29" s="186">
        <f t="shared" si="8"/>
        <v>-1</v>
      </c>
      <c r="T29" s="81" t="s">
        <v>1335</v>
      </c>
      <c r="U29" s="156">
        <f>SUMIF('TB - Expense Data'!$G$3:$G$757,T29,'TB - Expense Data'!$J$3:$J$757)</f>
        <v>16011</v>
      </c>
      <c r="V29" s="14">
        <f t="shared" si="9"/>
        <v>8005.5</v>
      </c>
      <c r="W29" s="26">
        <f>SUMIF('TB - Expense Data'!$G$3:$G$757,T29,'TB - Expense Data'!$N$3:$N$757)</f>
        <v>0</v>
      </c>
      <c r="X29" s="92">
        <f t="shared" si="10"/>
        <v>-8005.5</v>
      </c>
      <c r="Y29" s="186">
        <f t="shared" si="11"/>
        <v>-1</v>
      </c>
      <c r="Z29" s="131" t="s">
        <v>979</v>
      </c>
      <c r="AA29" s="156">
        <f>SUMIF('TB - Expense Data'!$G$3:$G$757,Z29,'TB - Expense Data'!$J$3:$J$757)</f>
        <v>0</v>
      </c>
      <c r="AB29" s="14">
        <f t="shared" si="12"/>
        <v>0</v>
      </c>
      <c r="AC29" s="26">
        <f>SUMIF('TB - Expense Data'!$G$3:$G$757,Z29,'TB - Expense Data'!$N$3:$N$757)</f>
        <v>0</v>
      </c>
      <c r="AD29" s="92">
        <f t="shared" si="13"/>
        <v>0</v>
      </c>
      <c r="AE29" s="186" t="str">
        <f t="shared" si="14"/>
        <v xml:space="preserve">-    </v>
      </c>
      <c r="AF29" s="131" t="s">
        <v>979</v>
      </c>
      <c r="AG29" s="156">
        <f>SUMIF('TB - Expense Data'!$G$3:$G$757,AF29,'TB - Expense Data'!$J$3:$J$757)</f>
        <v>0</v>
      </c>
      <c r="AH29" s="14">
        <f t="shared" si="15"/>
        <v>0</v>
      </c>
      <c r="AI29" s="26">
        <f>SUMIF('TB - Expense Data'!$G$3:$G$757,AF29,'TB - Expense Data'!$N$3:$N$757)</f>
        <v>0</v>
      </c>
      <c r="AJ29" s="92">
        <f t="shared" si="16"/>
        <v>0</v>
      </c>
      <c r="AK29" s="186" t="str">
        <f t="shared" si="17"/>
        <v xml:space="preserve">-    </v>
      </c>
      <c r="AL29" s="156">
        <f t="shared" si="18"/>
        <v>135150</v>
      </c>
      <c r="AM29" s="14">
        <f t="shared" si="19"/>
        <v>67575</v>
      </c>
      <c r="AN29" s="26">
        <f t="shared" si="20"/>
        <v>0</v>
      </c>
      <c r="AO29" s="92">
        <f t="shared" si="21"/>
        <v>-67575</v>
      </c>
      <c r="AP29" s="186">
        <f t="shared" si="22"/>
        <v>-1</v>
      </c>
    </row>
    <row r="30" spans="1:42" x14ac:dyDescent="0.25">
      <c r="A30" s="13"/>
      <c r="B30" s="131"/>
      <c r="C30" s="156"/>
      <c r="D30" s="14"/>
      <c r="E30" s="14"/>
      <c r="F30" s="183"/>
      <c r="G30" s="186"/>
      <c r="H30" s="131"/>
      <c r="I30" s="156"/>
      <c r="J30" s="14"/>
      <c r="K30" s="14"/>
      <c r="L30" s="183"/>
      <c r="M30" s="186"/>
      <c r="N30" s="229"/>
      <c r="O30" s="156"/>
      <c r="P30" s="14"/>
      <c r="Q30" s="14"/>
      <c r="R30" s="183"/>
      <c r="S30" s="186"/>
      <c r="T30" s="127"/>
      <c r="U30" s="175"/>
      <c r="V30" s="172"/>
      <c r="W30" s="172"/>
      <c r="X30" s="183"/>
      <c r="Y30" s="186"/>
      <c r="Z30" s="131"/>
      <c r="AA30" s="156"/>
      <c r="AB30" s="14"/>
      <c r="AC30" s="14"/>
      <c r="AD30" s="183"/>
      <c r="AE30" s="186"/>
      <c r="AF30" s="131"/>
      <c r="AG30" s="156"/>
      <c r="AH30" s="14"/>
      <c r="AI30" s="14"/>
      <c r="AJ30" s="183"/>
      <c r="AK30" s="186"/>
      <c r="AL30" s="156"/>
      <c r="AM30" s="14"/>
      <c r="AN30" s="14"/>
      <c r="AO30" s="92"/>
      <c r="AP30" s="186"/>
    </row>
    <row r="31" spans="1:42" s="46" customFormat="1" x14ac:dyDescent="0.25">
      <c r="A31" s="30" t="s">
        <v>45</v>
      </c>
      <c r="B31" s="222"/>
      <c r="C31" s="157">
        <f>SUM(C8:C30)</f>
        <v>1423414.28</v>
      </c>
      <c r="D31" s="23">
        <f>SUM(D8:D30)</f>
        <v>711707.14</v>
      </c>
      <c r="E31" s="23">
        <f>SUM(E8:E30)</f>
        <v>577977.82999999996</v>
      </c>
      <c r="F31" s="90">
        <f>E31-D31</f>
        <v>-133729.31000000006</v>
      </c>
      <c r="G31" s="187">
        <f>IF(AND(D31&lt;&gt;0,F31&lt;&gt;0,ISNUMBER(D31),ISNUMBER(F31)),F31/D31,"-    ")</f>
        <v>-0.18789935141018826</v>
      </c>
      <c r="H31" s="131"/>
      <c r="I31" s="157">
        <f>SUM(I8:I30)</f>
        <v>469616.6399999999</v>
      </c>
      <c r="J31" s="23">
        <f>SUM(J8:J30)</f>
        <v>234808.31999999995</v>
      </c>
      <c r="K31" s="23">
        <f>SUM(K8:K30)</f>
        <v>198831.18</v>
      </c>
      <c r="L31" s="90">
        <f>K31-J31</f>
        <v>-35977.139999999956</v>
      </c>
      <c r="M31" s="187">
        <f>IF(AND(J31&lt;&gt;0,L31&lt;&gt;0,ISNUMBER(J31),ISNUMBER(L31)),L31/J31,"-    ")</f>
        <v>-0.15321918746320387</v>
      </c>
      <c r="N31" s="230"/>
      <c r="O31" s="157">
        <f>SUM(O8:O30)</f>
        <v>2177555.9899999998</v>
      </c>
      <c r="P31" s="23">
        <f>SUM(P8:P30)</f>
        <v>1088777.9949999999</v>
      </c>
      <c r="Q31" s="23">
        <f>SUM(Q8:Q30)</f>
        <v>1024227.7299999999</v>
      </c>
      <c r="R31" s="90">
        <f>Q31-P31</f>
        <v>-64550.265000000014</v>
      </c>
      <c r="S31" s="187">
        <f>IF(AND(P31&lt;&gt;0,R31&lt;&gt;0,ISNUMBER(P31),ISNUMBER(R31)),R31/P31,"-    ")</f>
        <v>-5.928689346812159E-2</v>
      </c>
      <c r="T31" s="126"/>
      <c r="U31" s="185">
        <f>SUM(U8:U30)</f>
        <v>575371.13</v>
      </c>
      <c r="V31" s="182">
        <f>SUM(V8:V30)</f>
        <v>287685.565</v>
      </c>
      <c r="W31" s="182">
        <f>SUM(W8:W30)</f>
        <v>261818.56000000006</v>
      </c>
      <c r="X31" s="90">
        <f>W31-V31</f>
        <v>-25867.004999999946</v>
      </c>
      <c r="Y31" s="187">
        <f>IF(AND(V31&lt;&gt;0,X31&lt;&gt;0,ISNUMBER(V31),ISNUMBER(X31)),X31/V31,"-    ")</f>
        <v>-8.9914156798238887E-2</v>
      </c>
      <c r="Z31" s="131"/>
      <c r="AA31" s="157">
        <f>SUM(AA8:AA30)</f>
        <v>0</v>
      </c>
      <c r="AB31" s="23">
        <f>SUM(AB8:AB30)</f>
        <v>0</v>
      </c>
      <c r="AC31" s="23">
        <f>SUM(AC8:AC30)</f>
        <v>0</v>
      </c>
      <c r="AD31" s="90">
        <f>AC31-AB31</f>
        <v>0</v>
      </c>
      <c r="AE31" s="187" t="str">
        <f>IF(AND(AB31&lt;&gt;0,AD31&lt;&gt;0,ISNUMBER(AB31),ISNUMBER(AD31)),AD31/AB31,"-    ")</f>
        <v xml:space="preserve">-    </v>
      </c>
      <c r="AF31" s="131"/>
      <c r="AG31" s="157">
        <f>SUM(AG8:AG30)</f>
        <v>0</v>
      </c>
      <c r="AH31" s="23">
        <f>SUM(AH8:AH30)</f>
        <v>0</v>
      </c>
      <c r="AI31" s="23">
        <f>SUM(AI8:AI30)</f>
        <v>0</v>
      </c>
      <c r="AJ31" s="90">
        <f>AI31-AH31</f>
        <v>0</v>
      </c>
      <c r="AK31" s="187" t="str">
        <f>IF(AND(AH31&lt;&gt;0,AJ31&lt;&gt;0,ISNUMBER(AH31),ISNUMBER(AJ31)),AJ31/AH31,"-    ")</f>
        <v xml:space="preserve">-    </v>
      </c>
      <c r="AL31" s="157">
        <f>SUM(AL8:AL30)</f>
        <v>4645958.04</v>
      </c>
      <c r="AM31" s="23">
        <f>SUM(AM8:AM30)</f>
        <v>2322979.02</v>
      </c>
      <c r="AN31" s="23">
        <f>SUM(AN8:AN30)</f>
        <v>2062855.3</v>
      </c>
      <c r="AO31" s="90">
        <f>AN31-AM31</f>
        <v>-260123.71999999997</v>
      </c>
      <c r="AP31" s="187">
        <f>IF(AND(AM31&lt;&gt;0,AO31&lt;&gt;0,ISNUMBER(AM31),ISNUMBER(AO31)),AO31/AM31,"-    ")</f>
        <v>-0.11197850594449191</v>
      </c>
    </row>
    <row r="32" spans="1:42" x14ac:dyDescent="0.25">
      <c r="A32" s="13"/>
      <c r="B32" s="131"/>
      <c r="C32" s="156"/>
      <c r="D32" s="14"/>
      <c r="E32" s="14"/>
      <c r="F32" s="183"/>
      <c r="G32" s="186"/>
      <c r="H32" s="131"/>
      <c r="I32" s="156"/>
      <c r="J32" s="14"/>
      <c r="K32" s="14"/>
      <c r="L32" s="183"/>
      <c r="M32" s="186"/>
      <c r="N32" s="229"/>
      <c r="O32" s="156"/>
      <c r="P32" s="14"/>
      <c r="Q32" s="14"/>
      <c r="R32" s="183"/>
      <c r="S32" s="186"/>
      <c r="T32" s="127"/>
      <c r="U32" s="175"/>
      <c r="V32" s="172"/>
      <c r="W32" s="172"/>
      <c r="X32" s="183"/>
      <c r="Y32" s="186"/>
      <c r="Z32" s="131"/>
      <c r="AA32" s="156"/>
      <c r="AB32" s="14"/>
      <c r="AC32" s="14"/>
      <c r="AD32" s="183"/>
      <c r="AE32" s="186"/>
      <c r="AF32" s="131"/>
      <c r="AG32" s="156"/>
      <c r="AH32" s="14"/>
      <c r="AI32" s="14"/>
      <c r="AJ32" s="183"/>
      <c r="AK32" s="186"/>
      <c r="AL32" s="156"/>
      <c r="AM32" s="14"/>
      <c r="AN32" s="14"/>
      <c r="AO32" s="92"/>
      <c r="AP32" s="186"/>
    </row>
    <row r="33" spans="1:42" x14ac:dyDescent="0.25">
      <c r="A33" s="13" t="s">
        <v>1450</v>
      </c>
      <c r="B33" s="131" t="s">
        <v>1437</v>
      </c>
      <c r="C33" s="156">
        <f>SUMIF('TB - Expense Data'!$G$3:$G$757,B33,'TB - Expense Data'!$J$3:$J$757)</f>
        <v>36540</v>
      </c>
      <c r="D33" s="14">
        <f>C33/2</f>
        <v>18270</v>
      </c>
      <c r="E33" s="26">
        <f>SUMIF('TB - Expense Data'!$G$3:$G$757,B33,'TB - Expense Data'!$N$3:$N$757)</f>
        <v>18277.97</v>
      </c>
      <c r="F33" s="92">
        <f>E33-D33</f>
        <v>7.9700000000011642</v>
      </c>
      <c r="G33" s="186">
        <f>IF(AND(D33&lt;&gt;0,F33&lt;&gt;0,ISNUMBER(D33),ISNUMBER(F33)),F33/D33,"-    ")</f>
        <v>4.3623426382053445E-4</v>
      </c>
      <c r="H33" s="131" t="s">
        <v>1438</v>
      </c>
      <c r="I33" s="156">
        <f>SUMIF('TB - Expense Data'!$G$3:$G$757,H33,'TB - Expense Data'!$J$3:$J$757)</f>
        <v>10080</v>
      </c>
      <c r="J33" s="14">
        <f>I33/2</f>
        <v>5040</v>
      </c>
      <c r="K33" s="26">
        <f>SUMIF('TB - Expense Data'!$G$3:$G$757,H33,'TB - Expense Data'!$N$3:$N$757)</f>
        <v>4361.0999999999995</v>
      </c>
      <c r="L33" s="92">
        <f>K33-J33</f>
        <v>-678.90000000000055</v>
      </c>
      <c r="M33" s="186">
        <f>IF(AND(J33&lt;&gt;0,L33&lt;&gt;0,ISNUMBER(J33),ISNUMBER(L33)),L33/J33,"-    ")</f>
        <v>-0.13470238095238107</v>
      </c>
      <c r="N33" s="131" t="s">
        <v>1439</v>
      </c>
      <c r="O33" s="156">
        <f>SUMIF('TB - Expense Data'!$G$3:$G$757,N33,'TB - Expense Data'!$J$3:$J$757)</f>
        <v>65520</v>
      </c>
      <c r="P33" s="14">
        <f>O33/2</f>
        <v>32760</v>
      </c>
      <c r="Q33" s="26">
        <f>SUMIF('TB - Expense Data'!$G$3:$G$757,N33,'TB - Expense Data'!$N$3:$N$757)</f>
        <v>35089.26</v>
      </c>
      <c r="R33" s="92">
        <f>Q33-P33</f>
        <v>2329.260000000002</v>
      </c>
      <c r="S33" s="186">
        <f>IF(AND(P33&lt;&gt;0,R33&lt;&gt;0,ISNUMBER(P33),ISNUMBER(R33)),R33/P33,"-    ")</f>
        <v>7.1100732600732658E-2</v>
      </c>
      <c r="T33" s="131" t="s">
        <v>1440</v>
      </c>
      <c r="U33" s="156">
        <f>SUMIF('TB - Expense Data'!$G$3:$G$757,T33,'TB - Expense Data'!$J$3:$J$757)</f>
        <v>13860</v>
      </c>
      <c r="V33" s="14">
        <f>U33/2</f>
        <v>6930</v>
      </c>
      <c r="W33" s="26">
        <f>SUMIF('TB - Expense Data'!$G$3:$G$757,T33,'TB - Expense Data'!$N$3:$N$757)</f>
        <v>7273.1999999999989</v>
      </c>
      <c r="X33" s="92">
        <f>W33-V33</f>
        <v>343.19999999999891</v>
      </c>
      <c r="Y33" s="186">
        <f>IF(AND(V33&lt;&gt;0,X33&lt;&gt;0,ISNUMBER(V33),ISNUMBER(X33)),X33/V33,"-    ")</f>
        <v>4.9523809523809366E-2</v>
      </c>
      <c r="Z33" s="131" t="s">
        <v>979</v>
      </c>
      <c r="AA33" s="156">
        <f>SUMIF('TB - Expense Data'!$G$3:$G$757,Z33,'TB - Expense Data'!$J$3:$J$757)</f>
        <v>0</v>
      </c>
      <c r="AB33" s="14">
        <f>AA33/2</f>
        <v>0</v>
      </c>
      <c r="AC33" s="26">
        <f>SUMIF('TB - Expense Data'!$G$3:$G$757,Z33,'TB - Expense Data'!$N$3:$N$757)</f>
        <v>0</v>
      </c>
      <c r="AD33" s="92">
        <f>AC33-AB33</f>
        <v>0</v>
      </c>
      <c r="AE33" s="186" t="str">
        <f>IF(AND(AB33&lt;&gt;0,AD33&lt;&gt;0,ISNUMBER(AB33),ISNUMBER(AD33)),AD33/AB33,"-    ")</f>
        <v xml:space="preserve">-    </v>
      </c>
      <c r="AF33" s="131" t="s">
        <v>979</v>
      </c>
      <c r="AG33" s="156">
        <f>SUMIF('TB - Expense Data'!$G$3:$G$757,AF33,'TB - Expense Data'!$J$3:$J$757)</f>
        <v>0</v>
      </c>
      <c r="AH33" s="14">
        <f>AG33/2</f>
        <v>0</v>
      </c>
      <c r="AI33" s="26">
        <f>SUMIF('TB - Expense Data'!$G$3:$G$757,AF33,'TB - Expense Data'!$N$3:$N$757)</f>
        <v>0</v>
      </c>
      <c r="AJ33" s="92">
        <f>AI33-AH33</f>
        <v>0</v>
      </c>
      <c r="AK33" s="186" t="str">
        <f>IF(AND(AH33&lt;&gt;0,AJ33&lt;&gt;0,ISNUMBER(AH33),ISNUMBER(AJ33)),AJ33/AH33,"-    ")</f>
        <v xml:space="preserve">-    </v>
      </c>
      <c r="AL33" s="156">
        <f>C33+I33+O33+U33+AA33+AG33</f>
        <v>126000</v>
      </c>
      <c r="AM33" s="14">
        <f>D33+J33+P33+V33+AB33+AH33</f>
        <v>63000</v>
      </c>
      <c r="AN33" s="26">
        <f>E33+K33+Q33+W33+AC33+AI33</f>
        <v>65001.53</v>
      </c>
      <c r="AO33" s="92">
        <f>AN33-AM33</f>
        <v>2001.5299999999988</v>
      </c>
      <c r="AP33" s="186">
        <f>IF(AND(AM33&lt;&gt;0,AO33&lt;&gt;0,ISNUMBER(AM33),ISNUMBER(AO33)),AO33/AM33,"-    ")</f>
        <v>3.1770317460317443E-2</v>
      </c>
    </row>
    <row r="34" spans="1:42" ht="15.75" hidden="1" customHeight="1" outlineLevel="1" x14ac:dyDescent="0.25">
      <c r="A34" s="13" t="s">
        <v>846</v>
      </c>
      <c r="B34" s="131" t="s">
        <v>979</v>
      </c>
      <c r="C34" s="156">
        <f>SUMIF('TB - Expense Data'!$G$3:$G$757,B34,'TB - Expense Data'!$J$3:$J$757)</f>
        <v>0</v>
      </c>
      <c r="D34" s="14">
        <f t="shared" ref="D34:D70" si="23">C34/2</f>
        <v>0</v>
      </c>
      <c r="E34" s="26">
        <f>SUMIF('TB - Expense Data'!$G$3:$G$757,B34,'TB - Expense Data'!$N$3:$N$757)</f>
        <v>0</v>
      </c>
      <c r="F34" s="92">
        <f t="shared" ref="F34:F70" si="24">E34-D34</f>
        <v>0</v>
      </c>
      <c r="G34" s="186" t="str">
        <f t="shared" ref="G34:G70" si="25">IF(AND(D34&lt;&gt;0,F34&lt;&gt;0,ISNUMBER(D34),ISNUMBER(F34)),F34/D34,"-    ")</f>
        <v xml:space="preserve">-    </v>
      </c>
      <c r="H34" s="131" t="s">
        <v>979</v>
      </c>
      <c r="I34" s="156">
        <f>SUMIF('TB - Expense Data'!$G$3:$G$757,H34,'TB - Expense Data'!$J$3:$J$757)</f>
        <v>0</v>
      </c>
      <c r="J34" s="14">
        <f t="shared" ref="J34:J70" si="26">I34/2</f>
        <v>0</v>
      </c>
      <c r="K34" s="26">
        <f>SUMIF('TB - Expense Data'!$G$3:$G$757,H34,'TB - Expense Data'!$N$3:$N$757)</f>
        <v>0</v>
      </c>
      <c r="L34" s="92">
        <f t="shared" ref="L34:L70" si="27">K34-J34</f>
        <v>0</v>
      </c>
      <c r="M34" s="186" t="str">
        <f t="shared" ref="M34:M70" si="28">IF(AND(J34&lt;&gt;0,L34&lt;&gt;0,ISNUMBER(J34),ISNUMBER(L34)),L34/J34,"-    ")</f>
        <v xml:space="preserve">-    </v>
      </c>
      <c r="N34" s="131" t="s">
        <v>1336</v>
      </c>
      <c r="O34" s="156">
        <f>SUMIF('TB - Expense Data'!$G$3:$G$757,N34,'TB - Expense Data'!$J$3:$J$757)</f>
        <v>0</v>
      </c>
      <c r="P34" s="14">
        <f t="shared" ref="P34:P70" si="29">O34/2</f>
        <v>0</v>
      </c>
      <c r="Q34" s="26">
        <f>SUMIF('TB - Expense Data'!$G$3:$G$757,N34,'TB - Expense Data'!$N$3:$N$757)</f>
        <v>0</v>
      </c>
      <c r="R34" s="92">
        <f t="shared" ref="R34:R70" si="30">Q34-P34</f>
        <v>0</v>
      </c>
      <c r="S34" s="186" t="str">
        <f t="shared" ref="S34:S70" si="31">IF(AND(P34&lt;&gt;0,R34&lt;&gt;0,ISNUMBER(P34),ISNUMBER(R34)),R34/P34,"-    ")</f>
        <v xml:space="preserve">-    </v>
      </c>
      <c r="T34" s="131" t="s">
        <v>1337</v>
      </c>
      <c r="U34" s="156">
        <f>SUMIF('TB - Expense Data'!$G$3:$G$757,T34,'TB - Expense Data'!$J$3:$J$757)</f>
        <v>0</v>
      </c>
      <c r="V34" s="14">
        <f t="shared" ref="V34:V70" si="32">U34/2</f>
        <v>0</v>
      </c>
      <c r="W34" s="26">
        <f>SUMIF('TB - Expense Data'!$G$3:$G$757,T34,'TB - Expense Data'!$N$3:$N$757)</f>
        <v>0</v>
      </c>
      <c r="X34" s="92">
        <f t="shared" ref="X34:X70" si="33">W34-V34</f>
        <v>0</v>
      </c>
      <c r="Y34" s="186" t="str">
        <f t="shared" ref="Y34:Y70" si="34">IF(AND(V34&lt;&gt;0,X34&lt;&gt;0,ISNUMBER(V34),ISNUMBER(X34)),X34/V34,"-    ")</f>
        <v xml:space="preserve">-    </v>
      </c>
      <c r="Z34" s="131" t="s">
        <v>979</v>
      </c>
      <c r="AA34" s="156">
        <f>SUMIF('TB - Expense Data'!$G$3:$G$757,Z34,'TB - Expense Data'!$J$3:$J$757)</f>
        <v>0</v>
      </c>
      <c r="AB34" s="14">
        <f t="shared" ref="AB34:AB70" si="35">AA34/2</f>
        <v>0</v>
      </c>
      <c r="AC34" s="26">
        <f>SUMIF('TB - Expense Data'!$G$3:$G$757,Z34,'TB - Expense Data'!$N$3:$N$757)</f>
        <v>0</v>
      </c>
      <c r="AD34" s="92">
        <f t="shared" ref="AD34:AD70" si="36">AC34-AB34</f>
        <v>0</v>
      </c>
      <c r="AE34" s="186" t="str">
        <f t="shared" ref="AE34:AE70" si="37">IF(AND(AB34&lt;&gt;0,AD34&lt;&gt;0,ISNUMBER(AB34),ISNUMBER(AD34)),AD34/AB34,"-    ")</f>
        <v xml:space="preserve">-    </v>
      </c>
      <c r="AF34" s="131" t="s">
        <v>979</v>
      </c>
      <c r="AG34" s="156">
        <f>SUMIF('TB - Expense Data'!$G$3:$G$757,AF34,'TB - Expense Data'!$J$3:$J$757)</f>
        <v>0</v>
      </c>
      <c r="AH34" s="14">
        <f t="shared" ref="AH34:AH70" si="38">AG34/2</f>
        <v>0</v>
      </c>
      <c r="AI34" s="26">
        <f>SUMIF('TB - Expense Data'!$G$3:$G$757,AF34,'TB - Expense Data'!$N$3:$N$757)</f>
        <v>0</v>
      </c>
      <c r="AJ34" s="92">
        <f t="shared" ref="AJ34:AJ70" si="39">AI34-AH34</f>
        <v>0</v>
      </c>
      <c r="AK34" s="186" t="str">
        <f t="shared" ref="AK34:AK70" si="40">IF(AND(AH34&lt;&gt;0,AJ34&lt;&gt;0,ISNUMBER(AH34),ISNUMBER(AJ34)),AJ34/AH34,"-    ")</f>
        <v xml:space="preserve">-    </v>
      </c>
      <c r="AL34" s="156">
        <f t="shared" ref="AL34:AL70" si="41">C34+I34+O34+U34+AA34+AG34</f>
        <v>0</v>
      </c>
      <c r="AM34" s="14">
        <f t="shared" ref="AM34:AM70" si="42">D34+J34+P34+V34+AB34+AH34</f>
        <v>0</v>
      </c>
      <c r="AN34" s="26">
        <f t="shared" ref="AN34:AN70" si="43">E34+K34+Q34+W34+AC34+AI34</f>
        <v>0</v>
      </c>
      <c r="AO34" s="92">
        <f t="shared" ref="AO34:AO70" si="44">AN34-AM34</f>
        <v>0</v>
      </c>
      <c r="AP34" s="186" t="str">
        <f t="shared" ref="AP34:AP70" si="45">IF(AND(AM34&lt;&gt;0,AO34&lt;&gt;0,ISNUMBER(AM34),ISNUMBER(AO34)),AO34/AM34,"-    ")</f>
        <v xml:space="preserve">-    </v>
      </c>
    </row>
    <row r="35" spans="1:42" ht="15.75" hidden="1" customHeight="1" outlineLevel="1" x14ac:dyDescent="0.25">
      <c r="A35" s="13" t="s">
        <v>1073</v>
      </c>
      <c r="B35" s="131" t="s">
        <v>1338</v>
      </c>
      <c r="C35" s="156">
        <f>SUMIF('TB - Expense Data'!$G$3:$G$757,B35,'TB - Expense Data'!$J$3:$J$757)</f>
        <v>0</v>
      </c>
      <c r="D35" s="14">
        <f t="shared" si="23"/>
        <v>0</v>
      </c>
      <c r="E35" s="26">
        <f>SUMIF('TB - Expense Data'!$G$3:$G$757,B35,'TB - Expense Data'!$N$3:$N$757)</f>
        <v>0</v>
      </c>
      <c r="F35" s="92">
        <f t="shared" si="24"/>
        <v>0</v>
      </c>
      <c r="G35" s="186" t="str">
        <f t="shared" si="25"/>
        <v xml:space="preserve">-    </v>
      </c>
      <c r="H35" s="131" t="s">
        <v>1339</v>
      </c>
      <c r="I35" s="156">
        <f>SUMIF('TB - Expense Data'!$G$3:$G$757,H35,'TB - Expense Data'!$J$3:$J$757)</f>
        <v>0</v>
      </c>
      <c r="J35" s="14">
        <f t="shared" si="26"/>
        <v>0</v>
      </c>
      <c r="K35" s="26">
        <f>SUMIF('TB - Expense Data'!$G$3:$G$757,H35,'TB - Expense Data'!$N$3:$N$757)</f>
        <v>0</v>
      </c>
      <c r="L35" s="92">
        <f t="shared" si="27"/>
        <v>0</v>
      </c>
      <c r="M35" s="186" t="str">
        <f t="shared" si="28"/>
        <v xml:space="preserve">-    </v>
      </c>
      <c r="N35" s="131" t="s">
        <v>1340</v>
      </c>
      <c r="O35" s="156">
        <f>SUMIF('TB - Expense Data'!$G$3:$G$757,N35,'TB - Expense Data'!$J$3:$J$757)</f>
        <v>0</v>
      </c>
      <c r="P35" s="14">
        <f t="shared" si="29"/>
        <v>0</v>
      </c>
      <c r="Q35" s="26">
        <f>SUMIF('TB - Expense Data'!$G$3:$G$757,N35,'TB - Expense Data'!$N$3:$N$757)</f>
        <v>0</v>
      </c>
      <c r="R35" s="92">
        <f t="shared" si="30"/>
        <v>0</v>
      </c>
      <c r="S35" s="186" t="str">
        <f t="shared" si="31"/>
        <v xml:space="preserve">-    </v>
      </c>
      <c r="T35" s="131" t="s">
        <v>1341</v>
      </c>
      <c r="U35" s="156">
        <f>SUMIF('TB - Expense Data'!$G$3:$G$757,T35,'TB - Expense Data'!$J$3:$J$757)</f>
        <v>0</v>
      </c>
      <c r="V35" s="14">
        <f t="shared" si="32"/>
        <v>0</v>
      </c>
      <c r="W35" s="26">
        <f>SUMIF('TB - Expense Data'!$G$3:$G$757,T35,'TB - Expense Data'!$N$3:$N$757)</f>
        <v>0</v>
      </c>
      <c r="X35" s="92">
        <f t="shared" si="33"/>
        <v>0</v>
      </c>
      <c r="Y35" s="186" t="str">
        <f t="shared" si="34"/>
        <v xml:space="preserve">-    </v>
      </c>
      <c r="Z35" s="131" t="s">
        <v>979</v>
      </c>
      <c r="AA35" s="156">
        <f>SUMIF('TB - Expense Data'!$G$3:$G$757,Z35,'TB - Expense Data'!$J$3:$J$757)</f>
        <v>0</v>
      </c>
      <c r="AB35" s="14">
        <f t="shared" si="35"/>
        <v>0</v>
      </c>
      <c r="AC35" s="26">
        <f>SUMIF('TB - Expense Data'!$G$3:$G$757,Z35,'TB - Expense Data'!$N$3:$N$757)</f>
        <v>0</v>
      </c>
      <c r="AD35" s="92">
        <f t="shared" si="36"/>
        <v>0</v>
      </c>
      <c r="AE35" s="186" t="str">
        <f t="shared" si="37"/>
        <v xml:space="preserve">-    </v>
      </c>
      <c r="AF35" s="131" t="s">
        <v>979</v>
      </c>
      <c r="AG35" s="156">
        <f>SUMIF('TB - Expense Data'!$G$3:$G$757,AF35,'TB - Expense Data'!$J$3:$J$757)</f>
        <v>0</v>
      </c>
      <c r="AH35" s="14">
        <f t="shared" si="38"/>
        <v>0</v>
      </c>
      <c r="AI35" s="26">
        <f>SUMIF('TB - Expense Data'!$G$3:$G$757,AF35,'TB - Expense Data'!$N$3:$N$757)</f>
        <v>0</v>
      </c>
      <c r="AJ35" s="92">
        <f t="shared" si="39"/>
        <v>0</v>
      </c>
      <c r="AK35" s="186" t="str">
        <f t="shared" si="40"/>
        <v xml:space="preserve">-    </v>
      </c>
      <c r="AL35" s="156">
        <f t="shared" si="41"/>
        <v>0</v>
      </c>
      <c r="AM35" s="14">
        <f t="shared" si="42"/>
        <v>0</v>
      </c>
      <c r="AN35" s="26">
        <f t="shared" si="43"/>
        <v>0</v>
      </c>
      <c r="AO35" s="92">
        <f t="shared" si="44"/>
        <v>0</v>
      </c>
      <c r="AP35" s="186" t="str">
        <f t="shared" si="45"/>
        <v xml:space="preserve">-    </v>
      </c>
    </row>
    <row r="36" spans="1:42" collapsed="1" x14ac:dyDescent="0.25">
      <c r="A36" s="13" t="s">
        <v>1436</v>
      </c>
      <c r="B36" s="131" t="s">
        <v>1252</v>
      </c>
      <c r="C36" s="156">
        <f>SUMIF('TB - Expense Data'!$G$3:$G$757,B36,'TB - Expense Data'!$J$3:$J$757)</f>
        <v>187930.56000000003</v>
      </c>
      <c r="D36" s="14">
        <f t="shared" si="23"/>
        <v>93965.280000000013</v>
      </c>
      <c r="E36" s="26">
        <f>SUMIF('TB - Expense Data'!$G$3:$G$757,B36,'TB - Expense Data'!$N$3:$N$757)</f>
        <v>57856.18</v>
      </c>
      <c r="F36" s="92">
        <f t="shared" si="24"/>
        <v>-36109.100000000013</v>
      </c>
      <c r="G36" s="186">
        <f t="shared" si="25"/>
        <v>-0.3842813004973753</v>
      </c>
      <c r="H36" s="131" t="s">
        <v>1254</v>
      </c>
      <c r="I36" s="156">
        <f>SUMIF('TB - Expense Data'!$G$3:$G$757,H36,'TB - Expense Data'!$J$3:$J$757)</f>
        <v>42820</v>
      </c>
      <c r="J36" s="14">
        <f t="shared" si="26"/>
        <v>21410</v>
      </c>
      <c r="K36" s="26">
        <f>SUMIF('TB - Expense Data'!$G$3:$G$757,H36,'TB - Expense Data'!$N$3:$N$757)</f>
        <v>8590.8000000000011</v>
      </c>
      <c r="L36" s="92">
        <f t="shared" si="27"/>
        <v>-12819.199999999999</v>
      </c>
      <c r="M36" s="186">
        <f t="shared" si="28"/>
        <v>-0.59874824848201769</v>
      </c>
      <c r="N36" s="131" t="s">
        <v>1256</v>
      </c>
      <c r="O36" s="156">
        <f>SUMIF('TB - Expense Data'!$G$3:$G$757,N36,'TB - Expense Data'!$J$3:$J$757)</f>
        <v>312555.44</v>
      </c>
      <c r="P36" s="14">
        <f t="shared" si="29"/>
        <v>156277.72</v>
      </c>
      <c r="Q36" s="26">
        <f>SUMIF('TB - Expense Data'!$G$3:$G$757,N36,'TB - Expense Data'!$N$3:$N$757)</f>
        <v>115384.79</v>
      </c>
      <c r="R36" s="92">
        <f t="shared" si="30"/>
        <v>-40892.930000000008</v>
      </c>
      <c r="S36" s="186">
        <f t="shared" si="31"/>
        <v>-0.26166832994492117</v>
      </c>
      <c r="T36" s="131" t="s">
        <v>1258</v>
      </c>
      <c r="U36" s="156">
        <f>SUMIF('TB - Expense Data'!$G$3:$G$757,T36,'TB - Expense Data'!$J$3:$J$757)</f>
        <v>97315</v>
      </c>
      <c r="V36" s="14">
        <f t="shared" si="32"/>
        <v>48657.5</v>
      </c>
      <c r="W36" s="26">
        <f>SUMIF('TB - Expense Data'!$G$3:$G$757,T36,'TB - Expense Data'!$N$3:$N$757)</f>
        <v>32177.74</v>
      </c>
      <c r="X36" s="92">
        <f t="shared" si="33"/>
        <v>-16479.759999999998</v>
      </c>
      <c r="Y36" s="186">
        <f t="shared" si="34"/>
        <v>-0.33868899964034316</v>
      </c>
      <c r="Z36" s="131" t="s">
        <v>979</v>
      </c>
      <c r="AA36" s="156">
        <f>SUMIF('TB - Expense Data'!$G$3:$G$757,Z36,'TB - Expense Data'!$J$3:$J$757)</f>
        <v>0</v>
      </c>
      <c r="AB36" s="14">
        <f t="shared" si="35"/>
        <v>0</v>
      </c>
      <c r="AC36" s="26">
        <f>SUMIF('TB - Expense Data'!$G$3:$G$757,Z36,'TB - Expense Data'!$N$3:$N$757)</f>
        <v>0</v>
      </c>
      <c r="AD36" s="92">
        <f t="shared" si="36"/>
        <v>0</v>
      </c>
      <c r="AE36" s="186" t="str">
        <f t="shared" si="37"/>
        <v xml:space="preserve">-    </v>
      </c>
      <c r="AF36" s="131" t="s">
        <v>979</v>
      </c>
      <c r="AG36" s="156">
        <f>SUMIF('TB - Expense Data'!$G$3:$G$757,AF36,'TB - Expense Data'!$J$3:$J$757)</f>
        <v>0</v>
      </c>
      <c r="AH36" s="14">
        <f t="shared" si="38"/>
        <v>0</v>
      </c>
      <c r="AI36" s="26">
        <f>SUMIF('TB - Expense Data'!$G$3:$G$757,AF36,'TB - Expense Data'!$N$3:$N$757)</f>
        <v>0</v>
      </c>
      <c r="AJ36" s="92">
        <f t="shared" si="39"/>
        <v>0</v>
      </c>
      <c r="AK36" s="186" t="str">
        <f t="shared" si="40"/>
        <v xml:space="preserve">-    </v>
      </c>
      <c r="AL36" s="156">
        <f t="shared" si="41"/>
        <v>640621</v>
      </c>
      <c r="AM36" s="14">
        <f t="shared" si="42"/>
        <v>320310.5</v>
      </c>
      <c r="AN36" s="26">
        <f t="shared" si="43"/>
        <v>214009.50999999998</v>
      </c>
      <c r="AO36" s="92">
        <f t="shared" si="44"/>
        <v>-106300.99000000002</v>
      </c>
      <c r="AP36" s="186">
        <f t="shared" si="45"/>
        <v>-0.33186857752087434</v>
      </c>
    </row>
    <row r="37" spans="1:42" x14ac:dyDescent="0.25">
      <c r="A37" s="13" t="s">
        <v>1342</v>
      </c>
      <c r="B37" s="131" t="s">
        <v>1251</v>
      </c>
      <c r="C37" s="156">
        <f>SUMIF('TB - Expense Data'!$G$3:$G$757,B37,'TB - Expense Data'!$J$3:$J$757)</f>
        <v>226293.5</v>
      </c>
      <c r="D37" s="14">
        <f t="shared" si="23"/>
        <v>113146.75</v>
      </c>
      <c r="E37" s="26">
        <f>SUMIF('TB - Expense Data'!$G$3:$G$757,B37,'TB - Expense Data'!$N$3:$N$757)</f>
        <v>117282.09999999999</v>
      </c>
      <c r="F37" s="92">
        <f t="shared" si="24"/>
        <v>4135.3499999999913</v>
      </c>
      <c r="G37" s="186">
        <f t="shared" si="25"/>
        <v>3.6548553095868783E-2</v>
      </c>
      <c r="H37" s="131" t="s">
        <v>1253</v>
      </c>
      <c r="I37" s="156">
        <f>SUMIF('TB - Expense Data'!$G$3:$G$757,H37,'TB - Expense Data'!$J$3:$J$757)</f>
        <v>11862</v>
      </c>
      <c r="J37" s="14">
        <f t="shared" si="26"/>
        <v>5931</v>
      </c>
      <c r="K37" s="26">
        <f>SUMIF('TB - Expense Data'!$G$3:$G$757,H37,'TB - Expense Data'!$N$3:$N$757)</f>
        <v>5756.11</v>
      </c>
      <c r="L37" s="92">
        <f t="shared" si="27"/>
        <v>-174.89000000000033</v>
      </c>
      <c r="M37" s="186">
        <f t="shared" si="28"/>
        <v>-2.9487438880458662E-2</v>
      </c>
      <c r="N37" s="131" t="s">
        <v>1255</v>
      </c>
      <c r="O37" s="156">
        <f>SUMIF('TB - Expense Data'!$G$3:$G$757,N37,'TB - Expense Data'!$J$3:$J$757)</f>
        <v>748378</v>
      </c>
      <c r="P37" s="14">
        <f t="shared" si="29"/>
        <v>374189</v>
      </c>
      <c r="Q37" s="26">
        <f>SUMIF('TB - Expense Data'!$G$3:$G$757,N37,'TB - Expense Data'!$N$3:$N$757)</f>
        <v>252809.3</v>
      </c>
      <c r="R37" s="92">
        <f t="shared" si="30"/>
        <v>-121379.70000000001</v>
      </c>
      <c r="S37" s="186">
        <f t="shared" si="31"/>
        <v>-0.32438072738642776</v>
      </c>
      <c r="T37" s="131" t="s">
        <v>1257</v>
      </c>
      <c r="U37" s="156">
        <f>SUMIF('TB - Expense Data'!$G$3:$G$757,T37,'TB - Expense Data'!$J$3:$J$757)</f>
        <v>55741.5</v>
      </c>
      <c r="V37" s="14">
        <f t="shared" si="32"/>
        <v>27870.75</v>
      </c>
      <c r="W37" s="26">
        <f>SUMIF('TB - Expense Data'!$G$3:$G$757,T37,'TB - Expense Data'!$N$3:$N$757)</f>
        <v>25710.930000000004</v>
      </c>
      <c r="X37" s="92">
        <f t="shared" si="33"/>
        <v>-2159.8199999999961</v>
      </c>
      <c r="Y37" s="186">
        <f t="shared" si="34"/>
        <v>-7.7494147089690657E-2</v>
      </c>
      <c r="Z37" s="131" t="s">
        <v>979</v>
      </c>
      <c r="AA37" s="156">
        <f>SUMIF('TB - Expense Data'!$G$3:$G$757,Z37,'TB - Expense Data'!$J$3:$J$757)</f>
        <v>0</v>
      </c>
      <c r="AB37" s="14">
        <f t="shared" si="35"/>
        <v>0</v>
      </c>
      <c r="AC37" s="26">
        <f>SUMIF('TB - Expense Data'!$G$3:$G$757,Z37,'TB - Expense Data'!$N$3:$N$757)</f>
        <v>0</v>
      </c>
      <c r="AD37" s="92">
        <f t="shared" si="36"/>
        <v>0</v>
      </c>
      <c r="AE37" s="186" t="str">
        <f t="shared" si="37"/>
        <v xml:space="preserve">-    </v>
      </c>
      <c r="AF37" s="131" t="s">
        <v>979</v>
      </c>
      <c r="AG37" s="156">
        <f>SUMIF('TB - Expense Data'!$G$3:$G$757,AF37,'TB - Expense Data'!$J$3:$J$757)</f>
        <v>0</v>
      </c>
      <c r="AH37" s="14">
        <f t="shared" si="38"/>
        <v>0</v>
      </c>
      <c r="AI37" s="26">
        <f>SUMIF('TB - Expense Data'!$G$3:$G$757,AF37,'TB - Expense Data'!$N$3:$N$757)</f>
        <v>0</v>
      </c>
      <c r="AJ37" s="92">
        <f t="shared" si="39"/>
        <v>0</v>
      </c>
      <c r="AK37" s="186" t="str">
        <f t="shared" si="40"/>
        <v xml:space="preserve">-    </v>
      </c>
      <c r="AL37" s="156">
        <f t="shared" si="41"/>
        <v>1042275</v>
      </c>
      <c r="AM37" s="14">
        <f t="shared" si="42"/>
        <v>521137.5</v>
      </c>
      <c r="AN37" s="26">
        <f t="shared" si="43"/>
        <v>401558.44</v>
      </c>
      <c r="AO37" s="92">
        <f t="shared" si="44"/>
        <v>-119579.06</v>
      </c>
      <c r="AP37" s="186">
        <f t="shared" si="45"/>
        <v>-0.22945779184955986</v>
      </c>
    </row>
    <row r="38" spans="1:42" x14ac:dyDescent="0.25">
      <c r="A38" s="13" t="s">
        <v>1451</v>
      </c>
      <c r="B38" s="131" t="s">
        <v>1446</v>
      </c>
      <c r="C38" s="156">
        <f>SUMIF('TB - Expense Data'!$G$3:$G$757,B38,'TB - Expense Data'!$J$3:$J$757)</f>
        <v>3161</v>
      </c>
      <c r="D38" s="14">
        <f t="shared" si="23"/>
        <v>1580.5</v>
      </c>
      <c r="E38" s="26">
        <f>SUMIF('TB - Expense Data'!$G$3:$G$757,B38,'TB - Expense Data'!$N$3:$N$757)</f>
        <v>5620.07</v>
      </c>
      <c r="F38" s="92">
        <f t="shared" si="24"/>
        <v>4039.5699999999997</v>
      </c>
      <c r="G38" s="186">
        <f t="shared" si="25"/>
        <v>2.5558810503005378</v>
      </c>
      <c r="H38" s="131" t="s">
        <v>1447</v>
      </c>
      <c r="I38" s="156">
        <f>SUMIF('TB - Expense Data'!$G$3:$G$757,H38,'TB - Expense Data'!$J$3:$J$757)</f>
        <v>872</v>
      </c>
      <c r="J38" s="14">
        <f t="shared" si="26"/>
        <v>436</v>
      </c>
      <c r="K38" s="26">
        <f>SUMIF('TB - Expense Data'!$G$3:$G$757,H38,'TB - Expense Data'!$N$3:$N$757)</f>
        <v>1554.19</v>
      </c>
      <c r="L38" s="92">
        <f t="shared" si="27"/>
        <v>1118.19</v>
      </c>
      <c r="M38" s="186">
        <f t="shared" si="28"/>
        <v>2.5646559633027524</v>
      </c>
      <c r="N38" s="131" t="s">
        <v>1448</v>
      </c>
      <c r="O38" s="156">
        <f>SUMIF('TB - Expense Data'!$G$3:$G$757,N38,'TB - Expense Data'!$J$3:$J$757)</f>
        <v>5668</v>
      </c>
      <c r="P38" s="14">
        <f t="shared" si="29"/>
        <v>2834</v>
      </c>
      <c r="Q38" s="26">
        <f>SUMIF('TB - Expense Data'!$G$3:$G$757,N38,'TB - Expense Data'!$N$3:$N$757)</f>
        <v>10057.26</v>
      </c>
      <c r="R38" s="92">
        <f t="shared" si="30"/>
        <v>7223.26</v>
      </c>
      <c r="S38" s="186">
        <f t="shared" si="31"/>
        <v>2.54878616796048</v>
      </c>
      <c r="T38" s="131" t="s">
        <v>1449</v>
      </c>
      <c r="U38" s="156">
        <f>SUMIF('TB - Expense Data'!$G$3:$G$757,T38,'TB - Expense Data'!$J$3:$J$757)</f>
        <v>1199</v>
      </c>
      <c r="V38" s="14">
        <f t="shared" si="32"/>
        <v>599.5</v>
      </c>
      <c r="W38" s="26">
        <f>SUMIF('TB - Expense Data'!$G$3:$G$757,T38,'TB - Expense Data'!$N$3:$N$757)</f>
        <v>2129.77</v>
      </c>
      <c r="X38" s="92">
        <f t="shared" si="33"/>
        <v>1530.27</v>
      </c>
      <c r="Y38" s="186">
        <f t="shared" si="34"/>
        <v>2.552577147623019</v>
      </c>
      <c r="Z38" s="131" t="s">
        <v>979</v>
      </c>
      <c r="AA38" s="156">
        <f>SUMIF('TB - Expense Data'!$G$3:$G$757,Z38,'TB - Expense Data'!$J$3:$J$757)</f>
        <v>0</v>
      </c>
      <c r="AB38" s="14">
        <f t="shared" si="35"/>
        <v>0</v>
      </c>
      <c r="AC38" s="26">
        <f>SUMIF('TB - Expense Data'!$G$3:$G$757,Z38,'TB - Expense Data'!$N$3:$N$757)</f>
        <v>0</v>
      </c>
      <c r="AD38" s="92">
        <f t="shared" si="36"/>
        <v>0</v>
      </c>
      <c r="AE38" s="186" t="str">
        <f t="shared" si="37"/>
        <v xml:space="preserve">-    </v>
      </c>
      <c r="AF38" s="131" t="s">
        <v>979</v>
      </c>
      <c r="AG38" s="156">
        <f>SUMIF('TB - Expense Data'!$G$3:$G$757,AF38,'TB - Expense Data'!$J$3:$J$757)</f>
        <v>0</v>
      </c>
      <c r="AH38" s="14">
        <f t="shared" si="38"/>
        <v>0</v>
      </c>
      <c r="AI38" s="26">
        <f>SUMIF('TB - Expense Data'!$G$3:$G$757,AF38,'TB - Expense Data'!$N$3:$N$757)</f>
        <v>0</v>
      </c>
      <c r="AJ38" s="92">
        <f t="shared" si="39"/>
        <v>0</v>
      </c>
      <c r="AK38" s="186" t="str">
        <f t="shared" si="40"/>
        <v xml:space="preserve">-    </v>
      </c>
      <c r="AL38" s="156">
        <f t="shared" si="41"/>
        <v>10900</v>
      </c>
      <c r="AM38" s="14">
        <f t="shared" si="42"/>
        <v>5450</v>
      </c>
      <c r="AN38" s="26">
        <f t="shared" si="43"/>
        <v>19361.29</v>
      </c>
      <c r="AO38" s="92">
        <f t="shared" si="44"/>
        <v>13911.29</v>
      </c>
      <c r="AP38" s="186">
        <f t="shared" si="45"/>
        <v>2.5525302752293579</v>
      </c>
    </row>
    <row r="39" spans="1:42" x14ac:dyDescent="0.25">
      <c r="A39" s="13" t="s">
        <v>1441</v>
      </c>
      <c r="B39" s="131" t="s">
        <v>1442</v>
      </c>
      <c r="C39" s="156">
        <f>SUMIF('TB - Expense Data'!$G$3:$G$757,B39,'TB - Expense Data'!$J$3:$J$757)</f>
        <v>14790</v>
      </c>
      <c r="D39" s="14">
        <f t="shared" si="23"/>
        <v>7395</v>
      </c>
      <c r="E39" s="26">
        <f>SUMIF('TB - Expense Data'!$G$3:$G$757,B39,'TB - Expense Data'!$N$3:$N$757)</f>
        <v>7076.96</v>
      </c>
      <c r="F39" s="92">
        <f t="shared" si="24"/>
        <v>-318.03999999999996</v>
      </c>
      <c r="G39" s="186">
        <f t="shared" si="25"/>
        <v>-4.3007437457741715E-2</v>
      </c>
      <c r="H39" s="131" t="s">
        <v>1443</v>
      </c>
      <c r="I39" s="156">
        <f>SUMIF('TB - Expense Data'!$G$3:$G$757,H39,'TB - Expense Data'!$J$3:$J$757)</f>
        <v>4080</v>
      </c>
      <c r="J39" s="14">
        <f t="shared" si="26"/>
        <v>2040</v>
      </c>
      <c r="K39" s="26">
        <f>SUMIF('TB - Expense Data'!$G$3:$G$757,H39,'TB - Expense Data'!$N$3:$N$757)</f>
        <v>1682.8000000000002</v>
      </c>
      <c r="L39" s="92">
        <f t="shared" si="27"/>
        <v>-357.19999999999982</v>
      </c>
      <c r="M39" s="186">
        <f t="shared" si="28"/>
        <v>-0.17509803921568617</v>
      </c>
      <c r="N39" s="131" t="s">
        <v>1444</v>
      </c>
      <c r="O39" s="156">
        <f>SUMIF('TB - Expense Data'!$G$3:$G$757,N39,'TB - Expense Data'!$J$3:$J$757)</f>
        <v>26520</v>
      </c>
      <c r="P39" s="14">
        <f t="shared" si="29"/>
        <v>13260</v>
      </c>
      <c r="Q39" s="26">
        <f>SUMIF('TB - Expense Data'!$G$3:$G$757,N39,'TB - Expense Data'!$N$3:$N$757)</f>
        <v>11721.590000000002</v>
      </c>
      <c r="R39" s="92">
        <f t="shared" si="30"/>
        <v>-1538.409999999998</v>
      </c>
      <c r="S39" s="186">
        <f t="shared" si="31"/>
        <v>-0.11601885369532414</v>
      </c>
      <c r="T39" s="131" t="s">
        <v>1445</v>
      </c>
      <c r="U39" s="156">
        <f>SUMIF('TB - Expense Data'!$G$3:$G$757,T39,'TB - Expense Data'!$J$3:$J$757)</f>
        <v>5610</v>
      </c>
      <c r="V39" s="14">
        <f t="shared" si="32"/>
        <v>2805</v>
      </c>
      <c r="W39" s="26">
        <f>SUMIF('TB - Expense Data'!$G$3:$G$757,T39,'TB - Expense Data'!$N$3:$N$757)</f>
        <v>2313.8200000000002</v>
      </c>
      <c r="X39" s="92">
        <f t="shared" si="33"/>
        <v>-491.17999999999984</v>
      </c>
      <c r="Y39" s="186">
        <f t="shared" si="34"/>
        <v>-0.17510873440285199</v>
      </c>
      <c r="Z39" s="131" t="s">
        <v>979</v>
      </c>
      <c r="AA39" s="156">
        <f>SUMIF('TB - Expense Data'!$G$3:$G$757,Z39,'TB - Expense Data'!$J$3:$J$757)</f>
        <v>0</v>
      </c>
      <c r="AB39" s="14">
        <f t="shared" si="35"/>
        <v>0</v>
      </c>
      <c r="AC39" s="26">
        <f>SUMIF('TB - Expense Data'!$G$3:$G$757,Z39,'TB - Expense Data'!$N$3:$N$757)</f>
        <v>0</v>
      </c>
      <c r="AD39" s="92">
        <f t="shared" si="36"/>
        <v>0</v>
      </c>
      <c r="AE39" s="186" t="str">
        <f t="shared" si="37"/>
        <v xml:space="preserve">-    </v>
      </c>
      <c r="AF39" s="131" t="s">
        <v>979</v>
      </c>
      <c r="AG39" s="156">
        <f>SUMIF('TB - Expense Data'!$G$3:$G$757,AF39,'TB - Expense Data'!$J$3:$J$757)</f>
        <v>0</v>
      </c>
      <c r="AH39" s="14">
        <f t="shared" si="38"/>
        <v>0</v>
      </c>
      <c r="AI39" s="26">
        <f>SUMIF('TB - Expense Data'!$G$3:$G$757,AF39,'TB - Expense Data'!$N$3:$N$757)</f>
        <v>0</v>
      </c>
      <c r="AJ39" s="92">
        <f t="shared" si="39"/>
        <v>0</v>
      </c>
      <c r="AK39" s="186" t="str">
        <f t="shared" si="40"/>
        <v xml:space="preserve">-    </v>
      </c>
      <c r="AL39" s="156">
        <f t="shared" si="41"/>
        <v>51000</v>
      </c>
      <c r="AM39" s="14">
        <f t="shared" si="42"/>
        <v>25500</v>
      </c>
      <c r="AN39" s="26">
        <f t="shared" si="43"/>
        <v>22795.170000000002</v>
      </c>
      <c r="AO39" s="92">
        <f t="shared" si="44"/>
        <v>-2704.8299999999981</v>
      </c>
      <c r="AP39" s="186">
        <f t="shared" si="45"/>
        <v>-0.10607176470588228</v>
      </c>
    </row>
    <row r="40" spans="1:42" x14ac:dyDescent="0.25">
      <c r="A40" s="13" t="s">
        <v>163</v>
      </c>
      <c r="B40" s="131" t="s">
        <v>1343</v>
      </c>
      <c r="C40" s="156">
        <f>SUMIF('TB - Expense Data'!$G$3:$G$757,B40,'TB - Expense Data'!$J$3:$J$757)</f>
        <v>7540</v>
      </c>
      <c r="D40" s="14">
        <f t="shared" si="23"/>
        <v>3770</v>
      </c>
      <c r="E40" s="26">
        <f>SUMIF('TB - Expense Data'!$G$3:$G$757,B40,'TB - Expense Data'!$N$3:$N$757)</f>
        <v>3909.83</v>
      </c>
      <c r="F40" s="92">
        <f t="shared" si="24"/>
        <v>139.82999999999993</v>
      </c>
      <c r="G40" s="186">
        <f t="shared" si="25"/>
        <v>3.7090185676392551E-2</v>
      </c>
      <c r="H40" s="131" t="s">
        <v>1344</v>
      </c>
      <c r="I40" s="156">
        <f>SUMIF('TB - Expense Data'!$G$3:$G$757,H40,'TB - Expense Data'!$J$3:$J$757)</f>
        <v>2080</v>
      </c>
      <c r="J40" s="14">
        <f t="shared" si="26"/>
        <v>1040</v>
      </c>
      <c r="K40" s="26">
        <f>SUMIF('TB - Expense Data'!$G$3:$G$757,H40,'TB - Expense Data'!$N$3:$N$757)</f>
        <v>1078.6400000000001</v>
      </c>
      <c r="L40" s="92">
        <f t="shared" si="27"/>
        <v>38.6400000000001</v>
      </c>
      <c r="M40" s="186">
        <f t="shared" si="28"/>
        <v>3.7153846153846252E-2</v>
      </c>
      <c r="N40" s="131" t="s">
        <v>1345</v>
      </c>
      <c r="O40" s="156">
        <f>SUMIF('TB - Expense Data'!$G$3:$G$757,N40,'TB - Expense Data'!$J$3:$J$757)</f>
        <v>13520</v>
      </c>
      <c r="P40" s="14">
        <f t="shared" si="29"/>
        <v>6760</v>
      </c>
      <c r="Q40" s="26">
        <f>SUMIF('TB - Expense Data'!$G$3:$G$757,N40,'TB - Expense Data'!$N$3:$N$757)</f>
        <v>7010.68</v>
      </c>
      <c r="R40" s="92">
        <f t="shared" si="30"/>
        <v>250.68000000000029</v>
      </c>
      <c r="S40" s="186">
        <f t="shared" si="31"/>
        <v>3.7082840236686433E-2</v>
      </c>
      <c r="T40" s="131" t="s">
        <v>1346</v>
      </c>
      <c r="U40" s="156">
        <f>SUMIF('TB - Expense Data'!$G$3:$G$757,T40,'TB - Expense Data'!$J$3:$J$757)</f>
        <v>2860</v>
      </c>
      <c r="V40" s="14">
        <f t="shared" si="32"/>
        <v>1430</v>
      </c>
      <c r="W40" s="26">
        <f>SUMIF('TB - Expense Data'!$G$3:$G$757,T40,'TB - Expense Data'!$N$3:$N$757)</f>
        <v>1482.95</v>
      </c>
      <c r="X40" s="92">
        <f t="shared" si="33"/>
        <v>52.950000000000045</v>
      </c>
      <c r="Y40" s="186">
        <f t="shared" si="34"/>
        <v>3.7027972027972061E-2</v>
      </c>
      <c r="Z40" s="131" t="s">
        <v>979</v>
      </c>
      <c r="AA40" s="156">
        <f>SUMIF('TB - Expense Data'!$G$3:$G$757,Z40,'TB - Expense Data'!$J$3:$J$757)</f>
        <v>0</v>
      </c>
      <c r="AB40" s="14">
        <f t="shared" si="35"/>
        <v>0</v>
      </c>
      <c r="AC40" s="26">
        <f>SUMIF('TB - Expense Data'!$G$3:$G$757,Z40,'TB - Expense Data'!$N$3:$N$757)</f>
        <v>0</v>
      </c>
      <c r="AD40" s="92">
        <f t="shared" si="36"/>
        <v>0</v>
      </c>
      <c r="AE40" s="186" t="str">
        <f t="shared" si="37"/>
        <v xml:space="preserve">-    </v>
      </c>
      <c r="AF40" s="131" t="s">
        <v>979</v>
      </c>
      <c r="AG40" s="156">
        <f>SUMIF('TB - Expense Data'!$G$3:$G$757,AF40,'TB - Expense Data'!$J$3:$J$757)</f>
        <v>0</v>
      </c>
      <c r="AH40" s="14">
        <f t="shared" si="38"/>
        <v>0</v>
      </c>
      <c r="AI40" s="26">
        <f>SUMIF('TB - Expense Data'!$G$3:$G$757,AF40,'TB - Expense Data'!$N$3:$N$757)</f>
        <v>0</v>
      </c>
      <c r="AJ40" s="92">
        <f t="shared" si="39"/>
        <v>0</v>
      </c>
      <c r="AK40" s="186" t="str">
        <f t="shared" si="40"/>
        <v xml:space="preserve">-    </v>
      </c>
      <c r="AL40" s="156">
        <f t="shared" si="41"/>
        <v>26000</v>
      </c>
      <c r="AM40" s="14">
        <f t="shared" si="42"/>
        <v>13000</v>
      </c>
      <c r="AN40" s="26">
        <f t="shared" si="43"/>
        <v>13482.100000000002</v>
      </c>
      <c r="AO40" s="92">
        <f t="shared" si="44"/>
        <v>482.10000000000218</v>
      </c>
      <c r="AP40" s="186">
        <f t="shared" si="45"/>
        <v>3.7084615384615549E-2</v>
      </c>
    </row>
    <row r="41" spans="1:42" x14ac:dyDescent="0.25">
      <c r="A41" s="13" t="s">
        <v>1423</v>
      </c>
      <c r="B41" s="131" t="s">
        <v>1424</v>
      </c>
      <c r="C41" s="156">
        <f>SUMIF('TB - Expense Data'!$G$3:$G$757,B41,'TB - Expense Data'!$J$3:$J$757)</f>
        <v>26371.8</v>
      </c>
      <c r="D41" s="14">
        <f t="shared" si="23"/>
        <v>13185.9</v>
      </c>
      <c r="E41" s="26">
        <f>SUMIF('TB - Expense Data'!$G$3:$G$757,B41,'TB - Expense Data'!$N$3:$N$757)</f>
        <v>10066.970000000001</v>
      </c>
      <c r="F41" s="92">
        <f t="shared" si="24"/>
        <v>-3118.9299999999985</v>
      </c>
      <c r="G41" s="186">
        <f t="shared" si="25"/>
        <v>-0.23653523839859233</v>
      </c>
      <c r="H41" s="131" t="s">
        <v>979</v>
      </c>
      <c r="I41" s="156">
        <f>SUMIF('TB - Expense Data'!$G$3:$G$757,H41,'TB - Expense Data'!$J$3:$J$757)</f>
        <v>0</v>
      </c>
      <c r="J41" s="14">
        <f t="shared" si="26"/>
        <v>0</v>
      </c>
      <c r="K41" s="26">
        <f>SUMIF('TB - Expense Data'!$G$3:$G$757,H41,'TB - Expense Data'!$N$3:$N$757)</f>
        <v>0</v>
      </c>
      <c r="L41" s="92">
        <f t="shared" si="27"/>
        <v>0</v>
      </c>
      <c r="M41" s="186" t="str">
        <f t="shared" si="28"/>
        <v xml:space="preserve">-    </v>
      </c>
      <c r="N41" s="131" t="s">
        <v>1425</v>
      </c>
      <c r="O41" s="156">
        <f>SUMIF('TB - Expense Data'!$G$3:$G$757,N41,'TB - Expense Data'!$J$3:$J$757)</f>
        <v>46883.200000000004</v>
      </c>
      <c r="P41" s="14">
        <f t="shared" si="29"/>
        <v>23441.600000000002</v>
      </c>
      <c r="Q41" s="26">
        <f>SUMIF('TB - Expense Data'!$G$3:$G$757,N41,'TB - Expense Data'!$N$3:$N$757)</f>
        <v>11401.519999999999</v>
      </c>
      <c r="R41" s="92">
        <f t="shared" si="30"/>
        <v>-12040.080000000004</v>
      </c>
      <c r="S41" s="186">
        <f t="shared" si="31"/>
        <v>-0.51362023070097618</v>
      </c>
      <c r="T41" s="131" t="s">
        <v>979</v>
      </c>
      <c r="U41" s="156">
        <f>SUMIF('TB - Expense Data'!$G$3:$G$757,T41,'TB - Expense Data'!$J$3:$J$757)</f>
        <v>0</v>
      </c>
      <c r="V41" s="14">
        <f t="shared" si="32"/>
        <v>0</v>
      </c>
      <c r="W41" s="26">
        <f>SUMIF('TB - Expense Data'!$G$3:$G$757,T41,'TB - Expense Data'!$N$3:$N$757)</f>
        <v>0</v>
      </c>
      <c r="X41" s="92">
        <f t="shared" si="33"/>
        <v>0</v>
      </c>
      <c r="Y41" s="186" t="str">
        <f t="shared" si="34"/>
        <v xml:space="preserve">-    </v>
      </c>
      <c r="Z41" s="131" t="s">
        <v>979</v>
      </c>
      <c r="AA41" s="156">
        <f>SUMIF('TB - Expense Data'!$G$3:$G$757,Z41,'TB - Expense Data'!$J$3:$J$757)</f>
        <v>0</v>
      </c>
      <c r="AB41" s="14">
        <f t="shared" si="35"/>
        <v>0</v>
      </c>
      <c r="AC41" s="26">
        <f>SUMIF('TB - Expense Data'!$G$3:$G$757,Z41,'TB - Expense Data'!$N$3:$N$757)</f>
        <v>0</v>
      </c>
      <c r="AD41" s="92">
        <f t="shared" si="36"/>
        <v>0</v>
      </c>
      <c r="AE41" s="186" t="str">
        <f t="shared" si="37"/>
        <v xml:space="preserve">-    </v>
      </c>
      <c r="AF41" s="131" t="s">
        <v>979</v>
      </c>
      <c r="AG41" s="156">
        <f>SUMIF('TB - Expense Data'!$G$3:$G$757,AF41,'TB - Expense Data'!$J$3:$J$757)</f>
        <v>0</v>
      </c>
      <c r="AH41" s="14">
        <f t="shared" si="38"/>
        <v>0</v>
      </c>
      <c r="AI41" s="26">
        <f>SUMIF('TB - Expense Data'!$G$3:$G$757,AF41,'TB - Expense Data'!$N$3:$N$757)</f>
        <v>0</v>
      </c>
      <c r="AJ41" s="92">
        <f t="shared" si="39"/>
        <v>0</v>
      </c>
      <c r="AK41" s="186" t="str">
        <f t="shared" si="40"/>
        <v xml:space="preserve">-    </v>
      </c>
      <c r="AL41" s="156">
        <f t="shared" si="41"/>
        <v>73255</v>
      </c>
      <c r="AM41" s="14">
        <f t="shared" si="42"/>
        <v>36627.5</v>
      </c>
      <c r="AN41" s="26">
        <f t="shared" si="43"/>
        <v>21468.489999999998</v>
      </c>
      <c r="AO41" s="92">
        <f t="shared" si="44"/>
        <v>-15159.010000000002</v>
      </c>
      <c r="AP41" s="186">
        <f t="shared" si="45"/>
        <v>-0.41386963347211803</v>
      </c>
    </row>
    <row r="42" spans="1:42" x14ac:dyDescent="0.25">
      <c r="A42" s="13" t="s">
        <v>1161</v>
      </c>
      <c r="B42" s="500" t="s">
        <v>3445</v>
      </c>
      <c r="C42" s="156">
        <f>SUMIF('TB - Expense Data'!$G$3:$G$757,B42,'TB - Expense Data'!$J$3:$J$757)</f>
        <v>124</v>
      </c>
      <c r="D42" s="14">
        <f t="shared" si="23"/>
        <v>62</v>
      </c>
      <c r="E42" s="26">
        <f>SUMIF('TB - Expense Data'!$G$3:$G$757,B42,'TB - Expense Data'!$N$3:$N$757)</f>
        <v>0</v>
      </c>
      <c r="F42" s="92">
        <f t="shared" si="24"/>
        <v>-62</v>
      </c>
      <c r="G42" s="186">
        <f t="shared" si="25"/>
        <v>-1</v>
      </c>
      <c r="H42" s="500" t="s">
        <v>3448</v>
      </c>
      <c r="I42" s="156">
        <f>SUMIF('TB - Expense Data'!$G$3:$G$757,H42,'TB - Expense Data'!$J$3:$J$757)</f>
        <v>28</v>
      </c>
      <c r="J42" s="14">
        <f t="shared" si="26"/>
        <v>14</v>
      </c>
      <c r="K42" s="26">
        <f>SUMIF('TB - Expense Data'!$G$3:$G$757,H42,'TB - Expense Data'!$N$3:$N$757)</f>
        <v>0</v>
      </c>
      <c r="L42" s="92">
        <f t="shared" si="27"/>
        <v>-14</v>
      </c>
      <c r="M42" s="186">
        <f t="shared" si="28"/>
        <v>-1</v>
      </c>
      <c r="N42" s="500" t="s">
        <v>3447</v>
      </c>
      <c r="O42" s="156">
        <f>SUMIF('TB - Expense Data'!$G$3:$G$757,N42,'TB - Expense Data'!$J$3:$J$757)</f>
        <v>204</v>
      </c>
      <c r="P42" s="14">
        <f t="shared" si="29"/>
        <v>102</v>
      </c>
      <c r="Q42" s="26">
        <f>SUMIF('TB - Expense Data'!$G$3:$G$757,N42,'TB - Expense Data'!$N$3:$N$757)</f>
        <v>0</v>
      </c>
      <c r="R42" s="92">
        <f t="shared" si="30"/>
        <v>-102</v>
      </c>
      <c r="S42" s="186">
        <f t="shared" si="31"/>
        <v>-1</v>
      </c>
      <c r="T42" s="500" t="s">
        <v>3446</v>
      </c>
      <c r="U42" s="156">
        <f>SUMIF('TB - Expense Data'!$G$3:$G$757,T42,'TB - Expense Data'!$J$3:$J$757)</f>
        <v>44</v>
      </c>
      <c r="V42" s="14">
        <f t="shared" si="32"/>
        <v>22</v>
      </c>
      <c r="W42" s="26">
        <f>SUMIF('TB - Expense Data'!$G$3:$G$757,T42,'TB - Expense Data'!$N$3:$N$757)</f>
        <v>0</v>
      </c>
      <c r="X42" s="92">
        <f t="shared" si="33"/>
        <v>-22</v>
      </c>
      <c r="Y42" s="186">
        <f t="shared" si="34"/>
        <v>-1</v>
      </c>
      <c r="Z42" s="131" t="s">
        <v>979</v>
      </c>
      <c r="AA42" s="156">
        <f>SUMIF('TB - Expense Data'!$G$3:$G$757,Z42,'TB - Expense Data'!$J$3:$J$757)</f>
        <v>0</v>
      </c>
      <c r="AB42" s="14">
        <f t="shared" si="35"/>
        <v>0</v>
      </c>
      <c r="AC42" s="26">
        <f>SUMIF('TB - Expense Data'!$G$3:$G$757,Z42,'TB - Expense Data'!$N$3:$N$757)</f>
        <v>0</v>
      </c>
      <c r="AD42" s="92">
        <f t="shared" si="36"/>
        <v>0</v>
      </c>
      <c r="AE42" s="186" t="str">
        <f t="shared" si="37"/>
        <v xml:space="preserve">-    </v>
      </c>
      <c r="AF42" s="131" t="s">
        <v>979</v>
      </c>
      <c r="AG42" s="156">
        <f>SUMIF('TB - Expense Data'!$G$3:$G$757,AF42,'TB - Expense Data'!$J$3:$J$757)</f>
        <v>0</v>
      </c>
      <c r="AH42" s="14">
        <f t="shared" si="38"/>
        <v>0</v>
      </c>
      <c r="AI42" s="26">
        <f>SUMIF('TB - Expense Data'!$G$3:$G$757,AF42,'TB - Expense Data'!$N$3:$N$757)</f>
        <v>0</v>
      </c>
      <c r="AJ42" s="92">
        <f t="shared" si="39"/>
        <v>0</v>
      </c>
      <c r="AK42" s="186" t="str">
        <f t="shared" si="40"/>
        <v xml:space="preserve">-    </v>
      </c>
      <c r="AL42" s="156">
        <f t="shared" si="41"/>
        <v>400</v>
      </c>
      <c r="AM42" s="14">
        <f t="shared" si="42"/>
        <v>200</v>
      </c>
      <c r="AN42" s="26">
        <f t="shared" si="43"/>
        <v>0</v>
      </c>
      <c r="AO42" s="92">
        <f t="shared" si="44"/>
        <v>-200</v>
      </c>
      <c r="AP42" s="186">
        <f t="shared" si="45"/>
        <v>-1</v>
      </c>
    </row>
    <row r="43" spans="1:42" x14ac:dyDescent="0.25">
      <c r="A43" s="13" t="s">
        <v>70</v>
      </c>
      <c r="B43" s="131" t="s">
        <v>1347</v>
      </c>
      <c r="C43" s="156">
        <f>SUMIF('TB - Expense Data'!$G$3:$G$757,B43,'TB - Expense Data'!$J$3:$J$757)</f>
        <v>17181.8</v>
      </c>
      <c r="D43" s="14">
        <f t="shared" si="23"/>
        <v>8590.9</v>
      </c>
      <c r="E43" s="26">
        <f>SUMIF('TB - Expense Data'!$G$3:$G$757,B43,'TB - Expense Data'!$N$3:$N$757)</f>
        <v>7027.79</v>
      </c>
      <c r="F43" s="92">
        <f t="shared" si="24"/>
        <v>-1563.1099999999997</v>
      </c>
      <c r="G43" s="186">
        <f t="shared" si="25"/>
        <v>-0.18194950470847057</v>
      </c>
      <c r="H43" s="131" t="s">
        <v>1348</v>
      </c>
      <c r="I43" s="156">
        <f>SUMIF('TB - Expense Data'!$G$3:$G$757,H43,'TB - Expense Data'!$J$3:$J$757)</f>
        <v>4640</v>
      </c>
      <c r="J43" s="14">
        <f t="shared" si="26"/>
        <v>2320</v>
      </c>
      <c r="K43" s="26">
        <f>SUMIF('TB - Expense Data'!$G$3:$G$757,H43,'TB - Expense Data'!$N$3:$N$757)</f>
        <v>7143.33</v>
      </c>
      <c r="L43" s="92">
        <f t="shared" si="27"/>
        <v>4823.33</v>
      </c>
      <c r="M43" s="186">
        <f t="shared" si="28"/>
        <v>2.0790215517241379</v>
      </c>
      <c r="N43" s="131" t="s">
        <v>1349</v>
      </c>
      <c r="O43" s="156">
        <f>SUMIF('TB - Expense Data'!$G$3:$G$757,N43,'TB - Expense Data'!$J$3:$J$757)</f>
        <v>30803.200000000001</v>
      </c>
      <c r="P43" s="14">
        <f t="shared" si="29"/>
        <v>15401.6</v>
      </c>
      <c r="Q43" s="26">
        <f>SUMIF('TB - Expense Data'!$G$3:$G$757,N43,'TB - Expense Data'!$N$3:$N$757)</f>
        <v>5511.35</v>
      </c>
      <c r="R43" s="92">
        <f t="shared" si="30"/>
        <v>-9890.25</v>
      </c>
      <c r="S43" s="186">
        <f t="shared" si="31"/>
        <v>-0.64215730833160189</v>
      </c>
      <c r="T43" s="131" t="s">
        <v>1350</v>
      </c>
      <c r="U43" s="156">
        <f>SUMIF('TB - Expense Data'!$G$3:$G$757,T43,'TB - Expense Data'!$J$3:$J$757)</f>
        <v>6380</v>
      </c>
      <c r="V43" s="14">
        <f t="shared" si="32"/>
        <v>3190</v>
      </c>
      <c r="W43" s="26">
        <f>SUMIF('TB - Expense Data'!$G$3:$G$757,T43,'TB - Expense Data'!$N$3:$N$757)</f>
        <v>4907.7299999999996</v>
      </c>
      <c r="X43" s="92">
        <f t="shared" si="33"/>
        <v>1717.7299999999996</v>
      </c>
      <c r="Y43" s="186">
        <f t="shared" si="34"/>
        <v>0.53847335423197473</v>
      </c>
      <c r="Z43" s="131" t="s">
        <v>979</v>
      </c>
      <c r="AA43" s="156">
        <f>SUMIF('TB - Expense Data'!$G$3:$G$757,Z43,'TB - Expense Data'!$J$3:$J$757)</f>
        <v>0</v>
      </c>
      <c r="AB43" s="14">
        <f t="shared" si="35"/>
        <v>0</v>
      </c>
      <c r="AC43" s="26">
        <f>SUMIF('TB - Expense Data'!$G$3:$G$757,Z43,'TB - Expense Data'!$N$3:$N$757)</f>
        <v>0</v>
      </c>
      <c r="AD43" s="92">
        <f t="shared" si="36"/>
        <v>0</v>
      </c>
      <c r="AE43" s="186" t="str">
        <f t="shared" si="37"/>
        <v xml:space="preserve">-    </v>
      </c>
      <c r="AF43" s="131" t="s">
        <v>979</v>
      </c>
      <c r="AG43" s="156">
        <f>SUMIF('TB - Expense Data'!$G$3:$G$757,AF43,'TB - Expense Data'!$J$3:$J$757)</f>
        <v>0</v>
      </c>
      <c r="AH43" s="14">
        <f t="shared" si="38"/>
        <v>0</v>
      </c>
      <c r="AI43" s="26">
        <f>SUMIF('TB - Expense Data'!$G$3:$G$757,AF43,'TB - Expense Data'!$N$3:$N$757)</f>
        <v>0</v>
      </c>
      <c r="AJ43" s="92">
        <f t="shared" si="39"/>
        <v>0</v>
      </c>
      <c r="AK43" s="186" t="str">
        <f t="shared" si="40"/>
        <v xml:space="preserve">-    </v>
      </c>
      <c r="AL43" s="156">
        <f t="shared" si="41"/>
        <v>59005</v>
      </c>
      <c r="AM43" s="14">
        <f t="shared" si="42"/>
        <v>29502.5</v>
      </c>
      <c r="AN43" s="26">
        <f t="shared" si="43"/>
        <v>24590.2</v>
      </c>
      <c r="AO43" s="92">
        <f t="shared" si="44"/>
        <v>-4912.2999999999993</v>
      </c>
      <c r="AP43" s="186">
        <f t="shared" si="45"/>
        <v>-0.16650453351410896</v>
      </c>
    </row>
    <row r="44" spans="1:42" x14ac:dyDescent="0.25">
      <c r="A44" s="13" t="s">
        <v>47</v>
      </c>
      <c r="B44" s="131" t="s">
        <v>1351</v>
      </c>
      <c r="C44" s="156">
        <f>SUMIF('TB - Expense Data'!$G$3:$G$757,B44,'TB - Expense Data'!$J$3:$J$757)</f>
        <v>7847.92</v>
      </c>
      <c r="D44" s="14">
        <f t="shared" si="23"/>
        <v>3923.96</v>
      </c>
      <c r="E44" s="26">
        <f>SUMIF('TB - Expense Data'!$G$3:$G$757,B44,'TB - Expense Data'!$N$3:$N$757)</f>
        <v>2993.84</v>
      </c>
      <c r="F44" s="92">
        <f t="shared" si="24"/>
        <v>-930.11999999999989</v>
      </c>
      <c r="G44" s="186">
        <f t="shared" si="25"/>
        <v>-0.23703605541340889</v>
      </c>
      <c r="H44" s="131" t="s">
        <v>1352</v>
      </c>
      <c r="I44" s="156">
        <f>SUMIF('TB - Expense Data'!$G$3:$G$757,H44,'TB - Expense Data'!$J$3:$J$757)</f>
        <v>400</v>
      </c>
      <c r="J44" s="14">
        <f t="shared" si="26"/>
        <v>200</v>
      </c>
      <c r="K44" s="26">
        <f>SUMIF('TB - Expense Data'!$G$3:$G$757,H44,'TB - Expense Data'!$N$3:$N$757)</f>
        <v>773.41</v>
      </c>
      <c r="L44" s="92">
        <f t="shared" si="27"/>
        <v>573.41</v>
      </c>
      <c r="M44" s="186">
        <f t="shared" si="28"/>
        <v>2.8670499999999999</v>
      </c>
      <c r="N44" s="131" t="s">
        <v>1353</v>
      </c>
      <c r="O44" s="156">
        <f>SUMIF('TB - Expense Data'!$G$3:$G$757,N44,'TB - Expense Data'!$J$3:$J$757)</f>
        <v>10259.08</v>
      </c>
      <c r="P44" s="14">
        <f t="shared" si="29"/>
        <v>5129.54</v>
      </c>
      <c r="Q44" s="26">
        <f>SUMIF('TB - Expense Data'!$G$3:$G$757,N44,'TB - Expense Data'!$N$3:$N$757)</f>
        <v>3629.76</v>
      </c>
      <c r="R44" s="92">
        <f t="shared" si="30"/>
        <v>-1499.7799999999997</v>
      </c>
      <c r="S44" s="186">
        <f t="shared" si="31"/>
        <v>-0.29238099322746286</v>
      </c>
      <c r="T44" s="131" t="s">
        <v>1354</v>
      </c>
      <c r="U44" s="156">
        <f>SUMIF('TB - Expense Data'!$G$3:$G$757,T44,'TB - Expense Data'!$J$3:$J$757)</f>
        <v>550</v>
      </c>
      <c r="V44" s="14">
        <f t="shared" si="32"/>
        <v>275</v>
      </c>
      <c r="W44" s="26">
        <f>SUMIF('TB - Expense Data'!$G$3:$G$757,T44,'TB - Expense Data'!$N$3:$N$757)</f>
        <v>606</v>
      </c>
      <c r="X44" s="92">
        <f t="shared" si="33"/>
        <v>331</v>
      </c>
      <c r="Y44" s="186">
        <f t="shared" si="34"/>
        <v>1.2036363636363636</v>
      </c>
      <c r="Z44" s="131" t="s">
        <v>979</v>
      </c>
      <c r="AA44" s="156">
        <f>SUMIF('TB - Expense Data'!$G$3:$G$757,Z44,'TB - Expense Data'!$J$3:$J$757)</f>
        <v>0</v>
      </c>
      <c r="AB44" s="14">
        <f t="shared" si="35"/>
        <v>0</v>
      </c>
      <c r="AC44" s="26">
        <f>SUMIF('TB - Expense Data'!$G$3:$G$757,Z44,'TB - Expense Data'!$N$3:$N$757)</f>
        <v>0</v>
      </c>
      <c r="AD44" s="92">
        <f t="shared" si="36"/>
        <v>0</v>
      </c>
      <c r="AE44" s="186" t="str">
        <f t="shared" si="37"/>
        <v xml:space="preserve">-    </v>
      </c>
      <c r="AF44" s="131" t="s">
        <v>979</v>
      </c>
      <c r="AG44" s="156">
        <f>SUMIF('TB - Expense Data'!$G$3:$G$757,AF44,'TB - Expense Data'!$J$3:$J$757)</f>
        <v>0</v>
      </c>
      <c r="AH44" s="14">
        <f t="shared" si="38"/>
        <v>0</v>
      </c>
      <c r="AI44" s="26">
        <f>SUMIF('TB - Expense Data'!$G$3:$G$757,AF44,'TB - Expense Data'!$N$3:$N$757)</f>
        <v>0</v>
      </c>
      <c r="AJ44" s="92">
        <f t="shared" si="39"/>
        <v>0</v>
      </c>
      <c r="AK44" s="186" t="str">
        <f t="shared" si="40"/>
        <v xml:space="preserve">-    </v>
      </c>
      <c r="AL44" s="156">
        <f t="shared" si="41"/>
        <v>19057</v>
      </c>
      <c r="AM44" s="14">
        <f t="shared" si="42"/>
        <v>9528.5</v>
      </c>
      <c r="AN44" s="26">
        <f t="shared" si="43"/>
        <v>8003.01</v>
      </c>
      <c r="AO44" s="92">
        <f t="shared" si="44"/>
        <v>-1525.4899999999998</v>
      </c>
      <c r="AP44" s="186">
        <f t="shared" si="45"/>
        <v>-0.16009760193104894</v>
      </c>
    </row>
    <row r="45" spans="1:42" x14ac:dyDescent="0.25">
      <c r="A45" s="13" t="s">
        <v>1452</v>
      </c>
      <c r="B45" s="131" t="s">
        <v>1453</v>
      </c>
      <c r="C45" s="156">
        <f>SUMIF('TB - Expense Data'!$G$3:$G$757,B45,'TB - Expense Data'!$J$3:$J$757)</f>
        <v>13109.679999999998</v>
      </c>
      <c r="D45" s="14">
        <f t="shared" si="23"/>
        <v>6554.8399999999992</v>
      </c>
      <c r="E45" s="26">
        <f>SUMIF('TB - Expense Data'!$G$3:$G$757,B45,'TB - Expense Data'!$N$3:$N$757)</f>
        <v>2486.9299999999998</v>
      </c>
      <c r="F45" s="92">
        <f t="shared" si="24"/>
        <v>-4067.9099999999994</v>
      </c>
      <c r="G45" s="186">
        <f t="shared" si="25"/>
        <v>-0.62059638374086934</v>
      </c>
      <c r="H45" s="131" t="s">
        <v>1454</v>
      </c>
      <c r="I45" s="156">
        <f>SUMIF('TB - Expense Data'!$G$3:$G$757,H45,'TB - Expense Data'!$J$3:$J$757)</f>
        <v>2416</v>
      </c>
      <c r="J45" s="14">
        <f t="shared" si="26"/>
        <v>1208</v>
      </c>
      <c r="K45" s="26">
        <f>SUMIF('TB - Expense Data'!$G$3:$G$757,H45,'TB - Expense Data'!$N$3:$N$757)</f>
        <v>538.12</v>
      </c>
      <c r="L45" s="92">
        <f t="shared" si="27"/>
        <v>-669.88</v>
      </c>
      <c r="M45" s="186">
        <f t="shared" si="28"/>
        <v>-0.55453642384105961</v>
      </c>
      <c r="N45" s="131" t="s">
        <v>1455</v>
      </c>
      <c r="O45" s="156">
        <f>SUMIF('TB - Expense Data'!$G$3:$G$757,N45,'TB - Expense Data'!$J$3:$J$757)</f>
        <v>23050.32</v>
      </c>
      <c r="P45" s="14">
        <f t="shared" si="29"/>
        <v>11525.16</v>
      </c>
      <c r="Q45" s="26">
        <f>SUMIF('TB - Expense Data'!$G$3:$G$757,N45,'TB - Expense Data'!$N$3:$N$757)</f>
        <v>4923.38</v>
      </c>
      <c r="R45" s="92">
        <f t="shared" si="30"/>
        <v>-6601.78</v>
      </c>
      <c r="S45" s="186">
        <f t="shared" si="31"/>
        <v>-0.57281460734601519</v>
      </c>
      <c r="T45" s="131" t="s">
        <v>1456</v>
      </c>
      <c r="U45" s="156">
        <f>SUMIF('TB - Expense Data'!$G$3:$G$757,T45,'TB - Expense Data'!$J$3:$J$757)</f>
        <v>3322</v>
      </c>
      <c r="V45" s="14">
        <f t="shared" si="32"/>
        <v>1661</v>
      </c>
      <c r="W45" s="26">
        <f>SUMIF('TB - Expense Data'!$G$3:$G$757,T45,'TB - Expense Data'!$N$3:$N$757)</f>
        <v>668.66</v>
      </c>
      <c r="X45" s="92">
        <f t="shared" si="33"/>
        <v>-992.34</v>
      </c>
      <c r="Y45" s="186">
        <f t="shared" si="34"/>
        <v>-0.59743527995183632</v>
      </c>
      <c r="Z45" s="131" t="s">
        <v>979</v>
      </c>
      <c r="AA45" s="156">
        <f>SUMIF('TB - Expense Data'!$G$3:$G$757,Z45,'TB - Expense Data'!$J$3:$J$757)</f>
        <v>0</v>
      </c>
      <c r="AB45" s="14">
        <f t="shared" si="35"/>
        <v>0</v>
      </c>
      <c r="AC45" s="26">
        <f>SUMIF('TB - Expense Data'!$G$3:$G$757,Z45,'TB - Expense Data'!$N$3:$N$757)</f>
        <v>0</v>
      </c>
      <c r="AD45" s="92">
        <f t="shared" si="36"/>
        <v>0</v>
      </c>
      <c r="AE45" s="186" t="str">
        <f t="shared" si="37"/>
        <v xml:space="preserve">-    </v>
      </c>
      <c r="AF45" s="131" t="s">
        <v>979</v>
      </c>
      <c r="AG45" s="156">
        <f>SUMIF('TB - Expense Data'!$G$3:$G$757,AF45,'TB - Expense Data'!$J$3:$J$757)</f>
        <v>0</v>
      </c>
      <c r="AH45" s="14">
        <f t="shared" si="38"/>
        <v>0</v>
      </c>
      <c r="AI45" s="26">
        <f>SUMIF('TB - Expense Data'!$G$3:$G$757,AF45,'TB - Expense Data'!$N$3:$N$757)</f>
        <v>0</v>
      </c>
      <c r="AJ45" s="92">
        <f t="shared" si="39"/>
        <v>0</v>
      </c>
      <c r="AK45" s="186" t="str">
        <f t="shared" si="40"/>
        <v xml:space="preserve">-    </v>
      </c>
      <c r="AL45" s="156">
        <f t="shared" si="41"/>
        <v>41898</v>
      </c>
      <c r="AM45" s="14">
        <f t="shared" si="42"/>
        <v>20949</v>
      </c>
      <c r="AN45" s="26">
        <f t="shared" si="43"/>
        <v>8617.09</v>
      </c>
      <c r="AO45" s="92">
        <f t="shared" si="44"/>
        <v>-12331.91</v>
      </c>
      <c r="AP45" s="186">
        <f t="shared" si="45"/>
        <v>-0.58866342068833832</v>
      </c>
    </row>
    <row r="46" spans="1:42" x14ac:dyDescent="0.25">
      <c r="A46" s="13" t="s">
        <v>1457</v>
      </c>
      <c r="B46" s="131" t="s">
        <v>1458</v>
      </c>
      <c r="C46" s="156">
        <f>SUMIF('TB - Expense Data'!$G$3:$G$757,B46,'TB - Expense Data'!$J$3:$J$757)</f>
        <v>17000</v>
      </c>
      <c r="D46" s="14">
        <f t="shared" si="23"/>
        <v>8500</v>
      </c>
      <c r="E46" s="26">
        <f>SUMIF('TB - Expense Data'!$G$3:$G$757,B46,'TB - Expense Data'!$N$3:$N$757)</f>
        <v>6841.19</v>
      </c>
      <c r="F46" s="92">
        <f t="shared" si="24"/>
        <v>-1658.8100000000004</v>
      </c>
      <c r="G46" s="186">
        <f t="shared" si="25"/>
        <v>-0.19515411764705887</v>
      </c>
      <c r="H46" s="131" t="s">
        <v>1459</v>
      </c>
      <c r="I46" s="156">
        <f>SUMIF('TB - Expense Data'!$G$3:$G$757,H46,'TB - Expense Data'!$J$3:$J$757)</f>
        <v>4640</v>
      </c>
      <c r="J46" s="14">
        <f t="shared" si="26"/>
        <v>2320</v>
      </c>
      <c r="K46" s="26">
        <f>SUMIF('TB - Expense Data'!$G$3:$G$757,H46,'TB - Expense Data'!$N$3:$N$757)</f>
        <v>2653.84</v>
      </c>
      <c r="L46" s="92">
        <f t="shared" si="27"/>
        <v>333.84000000000015</v>
      </c>
      <c r="M46" s="186">
        <f t="shared" si="28"/>
        <v>0.14389655172413798</v>
      </c>
      <c r="N46" s="131" t="s">
        <v>1460</v>
      </c>
      <c r="O46" s="156">
        <f>SUMIF('TB - Expense Data'!$G$3:$G$757,N46,'TB - Expense Data'!$J$3:$J$757)</f>
        <v>30480</v>
      </c>
      <c r="P46" s="14">
        <f t="shared" si="29"/>
        <v>15240</v>
      </c>
      <c r="Q46" s="26">
        <f>SUMIF('TB - Expense Data'!$G$3:$G$757,N46,'TB - Expense Data'!$N$3:$N$757)</f>
        <v>13532.330000000002</v>
      </c>
      <c r="R46" s="92">
        <f t="shared" si="30"/>
        <v>-1707.6699999999983</v>
      </c>
      <c r="S46" s="186">
        <f t="shared" si="31"/>
        <v>-0.1120518372703411</v>
      </c>
      <c r="T46" s="131" t="s">
        <v>1461</v>
      </c>
      <c r="U46" s="156">
        <f>SUMIF('TB - Expense Data'!$G$3:$G$757,T46,'TB - Expense Data'!$J$3:$J$757)</f>
        <v>6380</v>
      </c>
      <c r="V46" s="14">
        <f t="shared" si="32"/>
        <v>3190</v>
      </c>
      <c r="W46" s="26">
        <f>SUMIF('TB - Expense Data'!$G$3:$G$757,T46,'TB - Expense Data'!$N$3:$N$757)</f>
        <v>4821.1499999999996</v>
      </c>
      <c r="X46" s="92">
        <f t="shared" si="33"/>
        <v>1631.1499999999996</v>
      </c>
      <c r="Y46" s="186">
        <f t="shared" si="34"/>
        <v>0.51133228840125378</v>
      </c>
      <c r="Z46" s="131" t="s">
        <v>979</v>
      </c>
      <c r="AA46" s="156">
        <f>SUMIF('TB - Expense Data'!$G$3:$G$757,Z46,'TB - Expense Data'!$J$3:$J$757)</f>
        <v>0</v>
      </c>
      <c r="AB46" s="14">
        <f t="shared" si="35"/>
        <v>0</v>
      </c>
      <c r="AC46" s="26">
        <f>SUMIF('TB - Expense Data'!$G$3:$G$757,Z46,'TB - Expense Data'!$N$3:$N$757)</f>
        <v>0</v>
      </c>
      <c r="AD46" s="92">
        <f t="shared" si="36"/>
        <v>0</v>
      </c>
      <c r="AE46" s="186" t="str">
        <f t="shared" si="37"/>
        <v xml:space="preserve">-    </v>
      </c>
      <c r="AF46" s="131" t="s">
        <v>979</v>
      </c>
      <c r="AG46" s="156">
        <f>SUMIF('TB - Expense Data'!$G$3:$G$757,AF46,'TB - Expense Data'!$J$3:$J$757)</f>
        <v>0</v>
      </c>
      <c r="AH46" s="14">
        <f t="shared" si="38"/>
        <v>0</v>
      </c>
      <c r="AI46" s="26">
        <f>SUMIF('TB - Expense Data'!$G$3:$G$757,AF46,'TB - Expense Data'!$N$3:$N$757)</f>
        <v>0</v>
      </c>
      <c r="AJ46" s="92">
        <f t="shared" si="39"/>
        <v>0</v>
      </c>
      <c r="AK46" s="186" t="str">
        <f t="shared" si="40"/>
        <v xml:space="preserve">-    </v>
      </c>
      <c r="AL46" s="156">
        <f t="shared" si="41"/>
        <v>58500</v>
      </c>
      <c r="AM46" s="14">
        <f t="shared" si="42"/>
        <v>29250</v>
      </c>
      <c r="AN46" s="26">
        <f t="shared" si="43"/>
        <v>27848.510000000002</v>
      </c>
      <c r="AO46" s="92">
        <f t="shared" si="44"/>
        <v>-1401.489999999998</v>
      </c>
      <c r="AP46" s="186">
        <f t="shared" si="45"/>
        <v>-4.7914188034187961E-2</v>
      </c>
    </row>
    <row r="47" spans="1:42" x14ac:dyDescent="0.25">
      <c r="A47" s="13" t="s">
        <v>51</v>
      </c>
      <c r="B47" s="131" t="s">
        <v>1355</v>
      </c>
      <c r="C47" s="156">
        <f>SUMIF('TB - Expense Data'!$G$3:$G$757,B47,'TB - Expense Data'!$J$3:$J$757)</f>
        <v>5280</v>
      </c>
      <c r="D47" s="14">
        <f t="shared" si="23"/>
        <v>2640</v>
      </c>
      <c r="E47" s="26">
        <f>SUMIF('TB - Expense Data'!$G$3:$G$757,B47,'TB - Expense Data'!$N$3:$N$757)</f>
        <v>1095.3</v>
      </c>
      <c r="F47" s="92">
        <f t="shared" si="24"/>
        <v>-1544.7</v>
      </c>
      <c r="G47" s="186">
        <f t="shared" si="25"/>
        <v>-0.58511363636363634</v>
      </c>
      <c r="H47" s="131" t="s">
        <v>1356</v>
      </c>
      <c r="I47" s="156">
        <f>SUMIF('TB - Expense Data'!$G$3:$G$757,H47,'TB - Expense Data'!$J$3:$J$757)</f>
        <v>960</v>
      </c>
      <c r="J47" s="14">
        <f t="shared" si="26"/>
        <v>480</v>
      </c>
      <c r="K47" s="26">
        <f>SUMIF('TB - Expense Data'!$G$3:$G$757,H47,'TB - Expense Data'!$N$3:$N$757)</f>
        <v>302.14999999999998</v>
      </c>
      <c r="L47" s="92">
        <f t="shared" si="27"/>
        <v>-177.85000000000002</v>
      </c>
      <c r="M47" s="186">
        <f t="shared" si="28"/>
        <v>-0.37052083333333335</v>
      </c>
      <c r="N47" s="131" t="s">
        <v>1357</v>
      </c>
      <c r="O47" s="156">
        <f>SUMIF('TB - Expense Data'!$G$3:$G$757,N47,'TB - Expense Data'!$J$3:$J$757)</f>
        <v>6740</v>
      </c>
      <c r="P47" s="14">
        <f t="shared" si="29"/>
        <v>3370</v>
      </c>
      <c r="Q47" s="26">
        <f>SUMIF('TB - Expense Data'!$G$3:$G$757,N47,'TB - Expense Data'!$N$3:$N$757)</f>
        <v>1963.97</v>
      </c>
      <c r="R47" s="92">
        <f t="shared" si="30"/>
        <v>-1406.03</v>
      </c>
      <c r="S47" s="186">
        <f t="shared" si="31"/>
        <v>-0.4172195845697329</v>
      </c>
      <c r="T47" s="131" t="s">
        <v>1358</v>
      </c>
      <c r="U47" s="156">
        <f>SUMIF('TB - Expense Data'!$G$3:$G$757,T47,'TB - Expense Data'!$J$3:$J$757)</f>
        <v>1320</v>
      </c>
      <c r="V47" s="14">
        <f t="shared" si="32"/>
        <v>660</v>
      </c>
      <c r="W47" s="26">
        <f>SUMIF('TB - Expense Data'!$G$3:$G$757,T47,'TB - Expense Data'!$N$3:$N$757)</f>
        <v>415.46</v>
      </c>
      <c r="X47" s="92">
        <f t="shared" si="33"/>
        <v>-244.54000000000002</v>
      </c>
      <c r="Y47" s="186">
        <f t="shared" si="34"/>
        <v>-0.37051515151515152</v>
      </c>
      <c r="Z47" s="131" t="s">
        <v>979</v>
      </c>
      <c r="AA47" s="156">
        <f>SUMIF('TB - Expense Data'!$G$3:$G$757,Z47,'TB - Expense Data'!$J$3:$J$757)</f>
        <v>0</v>
      </c>
      <c r="AB47" s="14">
        <f t="shared" si="35"/>
        <v>0</v>
      </c>
      <c r="AC47" s="26">
        <f>SUMIF('TB - Expense Data'!$G$3:$G$757,Z47,'TB - Expense Data'!$N$3:$N$757)</f>
        <v>0</v>
      </c>
      <c r="AD47" s="92">
        <f t="shared" si="36"/>
        <v>0</v>
      </c>
      <c r="AE47" s="186" t="str">
        <f t="shared" si="37"/>
        <v xml:space="preserve">-    </v>
      </c>
      <c r="AF47" s="131" t="s">
        <v>979</v>
      </c>
      <c r="AG47" s="156">
        <f>SUMIF('TB - Expense Data'!$G$3:$G$757,AF47,'TB - Expense Data'!$J$3:$J$757)</f>
        <v>0</v>
      </c>
      <c r="AH47" s="14">
        <f t="shared" si="38"/>
        <v>0</v>
      </c>
      <c r="AI47" s="26">
        <f>SUMIF('TB - Expense Data'!$G$3:$G$757,AF47,'TB - Expense Data'!$N$3:$N$757)</f>
        <v>0</v>
      </c>
      <c r="AJ47" s="92">
        <f t="shared" si="39"/>
        <v>0</v>
      </c>
      <c r="AK47" s="186" t="str">
        <f t="shared" si="40"/>
        <v xml:space="preserve">-    </v>
      </c>
      <c r="AL47" s="156">
        <f t="shared" si="41"/>
        <v>14300</v>
      </c>
      <c r="AM47" s="14">
        <f t="shared" si="42"/>
        <v>7150</v>
      </c>
      <c r="AN47" s="26">
        <f t="shared" si="43"/>
        <v>3776.88</v>
      </c>
      <c r="AO47" s="92">
        <f t="shared" si="44"/>
        <v>-3373.12</v>
      </c>
      <c r="AP47" s="186">
        <f t="shared" si="45"/>
        <v>-0.47176503496503497</v>
      </c>
    </row>
    <row r="48" spans="1:42" x14ac:dyDescent="0.25">
      <c r="A48" s="13" t="s">
        <v>164</v>
      </c>
      <c r="B48" s="131" t="s">
        <v>1359</v>
      </c>
      <c r="C48" s="156">
        <f>SUMIF('TB - Expense Data'!$G$3:$G$757,B48,'TB - Expense Data'!$J$3:$J$757)</f>
        <v>17400</v>
      </c>
      <c r="D48" s="14">
        <f t="shared" si="23"/>
        <v>8700</v>
      </c>
      <c r="E48" s="26">
        <f>SUMIF('TB - Expense Data'!$G$3:$G$757,B48,'TB - Expense Data'!$N$3:$N$757)</f>
        <v>10374.75</v>
      </c>
      <c r="F48" s="92">
        <f t="shared" si="24"/>
        <v>1674.75</v>
      </c>
      <c r="G48" s="186">
        <f t="shared" si="25"/>
        <v>0.1925</v>
      </c>
      <c r="H48" s="131" t="s">
        <v>1360</v>
      </c>
      <c r="I48" s="156">
        <f>SUMIF('TB - Expense Data'!$G$3:$G$757,H48,'TB - Expense Data'!$J$3:$J$757)</f>
        <v>4800</v>
      </c>
      <c r="J48" s="14">
        <f t="shared" si="26"/>
        <v>2400</v>
      </c>
      <c r="K48" s="26">
        <f>SUMIF('TB - Expense Data'!$G$3:$G$757,H48,'TB - Expense Data'!$N$3:$N$757)</f>
        <v>3649.73</v>
      </c>
      <c r="L48" s="92">
        <f t="shared" si="27"/>
        <v>1249.73</v>
      </c>
      <c r="M48" s="186">
        <f t="shared" si="28"/>
        <v>0.5207208333333333</v>
      </c>
      <c r="N48" s="131" t="s">
        <v>1361</v>
      </c>
      <c r="O48" s="156">
        <f>SUMIF('TB - Expense Data'!$G$3:$G$757,N48,'TB - Expense Data'!$J$3:$J$757)</f>
        <v>31200</v>
      </c>
      <c r="P48" s="14">
        <f t="shared" si="29"/>
        <v>15600</v>
      </c>
      <c r="Q48" s="26">
        <f>SUMIF('TB - Expense Data'!$G$3:$G$757,N48,'TB - Expense Data'!$N$3:$N$757)</f>
        <v>20238.53</v>
      </c>
      <c r="R48" s="92">
        <f t="shared" si="30"/>
        <v>4638.5299999999988</v>
      </c>
      <c r="S48" s="186">
        <f t="shared" si="31"/>
        <v>0.29734166666666662</v>
      </c>
      <c r="T48" s="131" t="s">
        <v>1362</v>
      </c>
      <c r="U48" s="156">
        <f>SUMIF('TB - Expense Data'!$G$3:$G$757,T48,'TB - Expense Data'!$J$3:$J$757)</f>
        <v>6600</v>
      </c>
      <c r="V48" s="14">
        <f t="shared" si="32"/>
        <v>3300</v>
      </c>
      <c r="W48" s="26">
        <f>SUMIF('TB - Expense Data'!$G$3:$G$757,T48,'TB - Expense Data'!$N$3:$N$757)</f>
        <v>6518.79</v>
      </c>
      <c r="X48" s="92">
        <f t="shared" si="33"/>
        <v>3218.79</v>
      </c>
      <c r="Y48" s="186">
        <f t="shared" si="34"/>
        <v>0.97539090909090909</v>
      </c>
      <c r="Z48" s="131" t="s">
        <v>979</v>
      </c>
      <c r="AA48" s="156">
        <f>SUMIF('TB - Expense Data'!$G$3:$G$757,Z48,'TB - Expense Data'!$J$3:$J$757)</f>
        <v>0</v>
      </c>
      <c r="AB48" s="14">
        <f t="shared" si="35"/>
        <v>0</v>
      </c>
      <c r="AC48" s="26">
        <f>SUMIF('TB - Expense Data'!$G$3:$G$757,Z48,'TB - Expense Data'!$N$3:$N$757)</f>
        <v>0</v>
      </c>
      <c r="AD48" s="92">
        <f t="shared" si="36"/>
        <v>0</v>
      </c>
      <c r="AE48" s="186" t="str">
        <f t="shared" si="37"/>
        <v xml:space="preserve">-    </v>
      </c>
      <c r="AF48" s="131" t="s">
        <v>979</v>
      </c>
      <c r="AG48" s="156">
        <f>SUMIF('TB - Expense Data'!$G$3:$G$757,AF48,'TB - Expense Data'!$J$3:$J$757)</f>
        <v>0</v>
      </c>
      <c r="AH48" s="14">
        <f t="shared" si="38"/>
        <v>0</v>
      </c>
      <c r="AI48" s="26">
        <f>SUMIF('TB - Expense Data'!$G$3:$G$757,AF48,'TB - Expense Data'!$N$3:$N$757)</f>
        <v>0</v>
      </c>
      <c r="AJ48" s="92">
        <f t="shared" si="39"/>
        <v>0</v>
      </c>
      <c r="AK48" s="186" t="str">
        <f t="shared" si="40"/>
        <v xml:space="preserve">-    </v>
      </c>
      <c r="AL48" s="156">
        <f t="shared" si="41"/>
        <v>60000</v>
      </c>
      <c r="AM48" s="14">
        <f t="shared" si="42"/>
        <v>30000</v>
      </c>
      <c r="AN48" s="26">
        <f t="shared" si="43"/>
        <v>40781.799999999996</v>
      </c>
      <c r="AO48" s="92">
        <f t="shared" si="44"/>
        <v>10781.799999999996</v>
      </c>
      <c r="AP48" s="186">
        <f t="shared" si="45"/>
        <v>0.35939333333333318</v>
      </c>
    </row>
    <row r="49" spans="1:42" x14ac:dyDescent="0.25">
      <c r="A49" s="13" t="s">
        <v>165</v>
      </c>
      <c r="B49" s="131" t="s">
        <v>1363</v>
      </c>
      <c r="C49" s="156">
        <f>SUMIF('TB - Expense Data'!$G$3:$G$757,B49,'TB - Expense Data'!$J$3:$J$757)</f>
        <v>1740</v>
      </c>
      <c r="D49" s="14">
        <f t="shared" si="23"/>
        <v>870</v>
      </c>
      <c r="E49" s="26">
        <f>SUMIF('TB - Expense Data'!$G$3:$G$757,B49,'TB - Expense Data'!$N$3:$N$757)</f>
        <v>522.49</v>
      </c>
      <c r="F49" s="92">
        <f t="shared" si="24"/>
        <v>-347.51</v>
      </c>
      <c r="G49" s="186">
        <f t="shared" si="25"/>
        <v>-0.39943678160919538</v>
      </c>
      <c r="H49" s="131" t="s">
        <v>1364</v>
      </c>
      <c r="I49" s="156">
        <f>SUMIF('TB - Expense Data'!$G$3:$G$757,H49,'TB - Expense Data'!$J$3:$J$757)</f>
        <v>480</v>
      </c>
      <c r="J49" s="14">
        <f t="shared" si="26"/>
        <v>240</v>
      </c>
      <c r="K49" s="26">
        <f>SUMIF('TB - Expense Data'!$G$3:$G$757,H49,'TB - Expense Data'!$N$3:$N$757)</f>
        <v>144.13</v>
      </c>
      <c r="L49" s="92">
        <f t="shared" si="27"/>
        <v>-95.87</v>
      </c>
      <c r="M49" s="186">
        <f t="shared" si="28"/>
        <v>-0.39945833333333336</v>
      </c>
      <c r="N49" s="131" t="s">
        <v>1365</v>
      </c>
      <c r="O49" s="156">
        <f>SUMIF('TB - Expense Data'!$G$3:$G$757,N49,'TB - Expense Data'!$J$3:$J$757)</f>
        <v>3120</v>
      </c>
      <c r="P49" s="14">
        <f t="shared" si="29"/>
        <v>1560</v>
      </c>
      <c r="Q49" s="26">
        <f>SUMIF('TB - Expense Data'!$G$3:$G$757,N49,'TB - Expense Data'!$N$3:$N$757)</f>
        <v>936.86</v>
      </c>
      <c r="R49" s="92">
        <f t="shared" si="30"/>
        <v>-623.14</v>
      </c>
      <c r="S49" s="186">
        <f t="shared" si="31"/>
        <v>-0.39944871794871795</v>
      </c>
      <c r="T49" s="131" t="s">
        <v>1366</v>
      </c>
      <c r="U49" s="156">
        <f>SUMIF('TB - Expense Data'!$G$3:$G$757,T49,'TB - Expense Data'!$J$3:$J$757)</f>
        <v>660</v>
      </c>
      <c r="V49" s="14">
        <f t="shared" si="32"/>
        <v>330</v>
      </c>
      <c r="W49" s="26">
        <f>SUMIF('TB - Expense Data'!$G$3:$G$757,T49,'TB - Expense Data'!$N$3:$N$757)</f>
        <v>198.19</v>
      </c>
      <c r="X49" s="92">
        <f t="shared" si="33"/>
        <v>-131.81</v>
      </c>
      <c r="Y49" s="186">
        <f t="shared" si="34"/>
        <v>-0.3994242424242424</v>
      </c>
      <c r="Z49" s="131" t="s">
        <v>979</v>
      </c>
      <c r="AA49" s="156">
        <f>SUMIF('TB - Expense Data'!$G$3:$G$757,Z49,'TB - Expense Data'!$J$3:$J$757)</f>
        <v>0</v>
      </c>
      <c r="AB49" s="14">
        <f t="shared" si="35"/>
        <v>0</v>
      </c>
      <c r="AC49" s="26">
        <f>SUMIF('TB - Expense Data'!$G$3:$G$757,Z49,'TB - Expense Data'!$N$3:$N$757)</f>
        <v>0</v>
      </c>
      <c r="AD49" s="92">
        <f t="shared" si="36"/>
        <v>0</v>
      </c>
      <c r="AE49" s="186" t="str">
        <f t="shared" si="37"/>
        <v xml:space="preserve">-    </v>
      </c>
      <c r="AF49" s="131" t="s">
        <v>979</v>
      </c>
      <c r="AG49" s="156">
        <f>SUMIF('TB - Expense Data'!$G$3:$G$757,AF49,'TB - Expense Data'!$J$3:$J$757)</f>
        <v>0</v>
      </c>
      <c r="AH49" s="14">
        <f t="shared" si="38"/>
        <v>0</v>
      </c>
      <c r="AI49" s="26">
        <f>SUMIF('TB - Expense Data'!$G$3:$G$757,AF49,'TB - Expense Data'!$N$3:$N$757)</f>
        <v>0</v>
      </c>
      <c r="AJ49" s="92">
        <f t="shared" si="39"/>
        <v>0</v>
      </c>
      <c r="AK49" s="186" t="str">
        <f t="shared" si="40"/>
        <v xml:space="preserve">-    </v>
      </c>
      <c r="AL49" s="156">
        <f t="shared" si="41"/>
        <v>6000</v>
      </c>
      <c r="AM49" s="14">
        <f t="shared" si="42"/>
        <v>3000</v>
      </c>
      <c r="AN49" s="26">
        <f t="shared" si="43"/>
        <v>1801.67</v>
      </c>
      <c r="AO49" s="92">
        <f t="shared" si="44"/>
        <v>-1198.33</v>
      </c>
      <c r="AP49" s="186">
        <f t="shared" si="45"/>
        <v>-0.39944333333333332</v>
      </c>
    </row>
    <row r="50" spans="1:42" x14ac:dyDescent="0.25">
      <c r="A50" s="13" t="s">
        <v>1063</v>
      </c>
      <c r="B50" s="131" t="s">
        <v>1367</v>
      </c>
      <c r="C50" s="156">
        <f>SUMIF('TB - Expense Data'!$G$3:$G$757,B50,'TB - Expense Data'!$J$3:$J$757)</f>
        <v>2755</v>
      </c>
      <c r="D50" s="14">
        <f t="shared" si="23"/>
        <v>1377.5</v>
      </c>
      <c r="E50" s="26">
        <f>SUMIF('TB - Expense Data'!$G$3:$G$757,B50,'TB - Expense Data'!$N$3:$N$757)</f>
        <v>1041.0999999999999</v>
      </c>
      <c r="F50" s="92">
        <f t="shared" si="24"/>
        <v>-336.40000000000009</v>
      </c>
      <c r="G50" s="186">
        <f t="shared" si="25"/>
        <v>-0.24421052631578954</v>
      </c>
      <c r="H50" s="131" t="s">
        <v>1368</v>
      </c>
      <c r="I50" s="156">
        <f>SUMIF('TB - Expense Data'!$G$3:$G$757,H50,'TB - Expense Data'!$J$3:$J$757)</f>
        <v>760</v>
      </c>
      <c r="J50" s="14">
        <f t="shared" si="26"/>
        <v>380</v>
      </c>
      <c r="K50" s="26">
        <f>SUMIF('TB - Expense Data'!$G$3:$G$757,H50,'TB - Expense Data'!$N$3:$N$757)</f>
        <v>287.2</v>
      </c>
      <c r="L50" s="92">
        <f t="shared" si="27"/>
        <v>-92.800000000000011</v>
      </c>
      <c r="M50" s="186">
        <f t="shared" si="28"/>
        <v>-0.24421052631578952</v>
      </c>
      <c r="N50" s="131" t="s">
        <v>1369</v>
      </c>
      <c r="O50" s="156">
        <f>SUMIF('TB - Expense Data'!$G$3:$G$757,N50,'TB - Expense Data'!$J$3:$J$757)</f>
        <v>4940</v>
      </c>
      <c r="P50" s="14">
        <f t="shared" si="29"/>
        <v>2470</v>
      </c>
      <c r="Q50" s="26">
        <f>SUMIF('TB - Expense Data'!$G$3:$G$757,N50,'TB - Expense Data'!$N$3:$N$757)</f>
        <v>1866.8</v>
      </c>
      <c r="R50" s="92">
        <f t="shared" si="30"/>
        <v>-603.20000000000005</v>
      </c>
      <c r="S50" s="186">
        <f t="shared" si="31"/>
        <v>-0.24421052631578949</v>
      </c>
      <c r="T50" s="131" t="s">
        <v>1370</v>
      </c>
      <c r="U50" s="156">
        <f>SUMIF('TB - Expense Data'!$G$3:$G$757,T50,'TB - Expense Data'!$J$3:$J$757)</f>
        <v>1045</v>
      </c>
      <c r="V50" s="14">
        <f t="shared" si="32"/>
        <v>522.5</v>
      </c>
      <c r="W50" s="26">
        <f>SUMIF('TB - Expense Data'!$G$3:$G$757,T50,'TB - Expense Data'!$N$3:$N$757)</f>
        <v>394.9</v>
      </c>
      <c r="X50" s="92">
        <f t="shared" si="33"/>
        <v>-127.60000000000002</v>
      </c>
      <c r="Y50" s="186">
        <f t="shared" si="34"/>
        <v>-0.24421052631578952</v>
      </c>
      <c r="Z50" s="131" t="s">
        <v>979</v>
      </c>
      <c r="AA50" s="156">
        <f>SUMIF('TB - Expense Data'!$G$3:$G$757,Z50,'TB - Expense Data'!$J$3:$J$757)</f>
        <v>0</v>
      </c>
      <c r="AB50" s="14">
        <f t="shared" si="35"/>
        <v>0</v>
      </c>
      <c r="AC50" s="26">
        <f>SUMIF('TB - Expense Data'!$G$3:$G$757,Z50,'TB - Expense Data'!$N$3:$N$757)</f>
        <v>0</v>
      </c>
      <c r="AD50" s="92">
        <f t="shared" si="36"/>
        <v>0</v>
      </c>
      <c r="AE50" s="186" t="str">
        <f t="shared" si="37"/>
        <v xml:space="preserve">-    </v>
      </c>
      <c r="AF50" s="131" t="s">
        <v>979</v>
      </c>
      <c r="AG50" s="156">
        <f>SUMIF('TB - Expense Data'!$G$3:$G$757,AF50,'TB - Expense Data'!$J$3:$J$757)</f>
        <v>0</v>
      </c>
      <c r="AH50" s="14">
        <f t="shared" si="38"/>
        <v>0</v>
      </c>
      <c r="AI50" s="26">
        <f>SUMIF('TB - Expense Data'!$G$3:$G$757,AF50,'TB - Expense Data'!$N$3:$N$757)</f>
        <v>0</v>
      </c>
      <c r="AJ50" s="92">
        <f t="shared" si="39"/>
        <v>0</v>
      </c>
      <c r="AK50" s="186" t="str">
        <f t="shared" si="40"/>
        <v xml:space="preserve">-    </v>
      </c>
      <c r="AL50" s="156">
        <f t="shared" si="41"/>
        <v>9500</v>
      </c>
      <c r="AM50" s="14">
        <f t="shared" si="42"/>
        <v>4750</v>
      </c>
      <c r="AN50" s="26">
        <f t="shared" si="43"/>
        <v>3590</v>
      </c>
      <c r="AO50" s="92">
        <f t="shared" si="44"/>
        <v>-1160</v>
      </c>
      <c r="AP50" s="186">
        <f t="shared" si="45"/>
        <v>-0.24421052631578946</v>
      </c>
    </row>
    <row r="51" spans="1:42" x14ac:dyDescent="0.25">
      <c r="A51" s="13" t="s">
        <v>166</v>
      </c>
      <c r="B51" s="131" t="s">
        <v>1371</v>
      </c>
      <c r="C51" s="156">
        <f>SUMIF('TB - Expense Data'!$G$3:$G$757,B51,'TB - Expense Data'!$J$3:$J$757)</f>
        <v>10150</v>
      </c>
      <c r="D51" s="14">
        <f t="shared" si="23"/>
        <v>5075</v>
      </c>
      <c r="E51" s="26">
        <f>SUMIF('TB - Expense Data'!$G$3:$G$757,B51,'TB - Expense Data'!$N$3:$N$757)</f>
        <v>7329.08</v>
      </c>
      <c r="F51" s="92">
        <f t="shared" si="24"/>
        <v>2254.08</v>
      </c>
      <c r="G51" s="186">
        <f t="shared" si="25"/>
        <v>0.44415369458128079</v>
      </c>
      <c r="H51" s="131" t="s">
        <v>1372</v>
      </c>
      <c r="I51" s="156">
        <f>SUMIF('TB - Expense Data'!$G$3:$G$757,H51,'TB - Expense Data'!$J$3:$J$757)</f>
        <v>2800</v>
      </c>
      <c r="J51" s="14">
        <f t="shared" si="26"/>
        <v>1400</v>
      </c>
      <c r="K51" s="26">
        <f>SUMIF('TB - Expense Data'!$G$3:$G$757,H51,'TB - Expense Data'!$N$3:$N$757)</f>
        <v>2194.8000000000002</v>
      </c>
      <c r="L51" s="92">
        <f t="shared" si="27"/>
        <v>794.80000000000018</v>
      </c>
      <c r="M51" s="186">
        <f t="shared" si="28"/>
        <v>0.56771428571428584</v>
      </c>
      <c r="N51" s="131" t="s">
        <v>1373</v>
      </c>
      <c r="O51" s="156">
        <f>SUMIF('TB - Expense Data'!$G$3:$G$757,N51,'TB - Expense Data'!$J$3:$J$757)</f>
        <v>18200</v>
      </c>
      <c r="P51" s="14">
        <f t="shared" si="29"/>
        <v>9100</v>
      </c>
      <c r="Q51" s="26">
        <f>SUMIF('TB - Expense Data'!$G$3:$G$757,N51,'TB - Expense Data'!$N$3:$N$757)</f>
        <v>12838.45</v>
      </c>
      <c r="R51" s="92">
        <f t="shared" si="30"/>
        <v>3738.4500000000007</v>
      </c>
      <c r="S51" s="186">
        <f t="shared" si="31"/>
        <v>0.41081868131868138</v>
      </c>
      <c r="T51" s="131" t="s">
        <v>1374</v>
      </c>
      <c r="U51" s="156">
        <f>SUMIF('TB - Expense Data'!$G$3:$G$757,T51,'TB - Expense Data'!$J$3:$J$757)</f>
        <v>3850</v>
      </c>
      <c r="V51" s="14">
        <f t="shared" si="32"/>
        <v>1925</v>
      </c>
      <c r="W51" s="26">
        <f>SUMIF('TB - Expense Data'!$G$3:$G$757,T51,'TB - Expense Data'!$N$3:$N$757)</f>
        <v>2818.93</v>
      </c>
      <c r="X51" s="92">
        <f t="shared" si="33"/>
        <v>893.92999999999984</v>
      </c>
      <c r="Y51" s="186">
        <f t="shared" si="34"/>
        <v>0.46437922077922067</v>
      </c>
      <c r="Z51" s="131" t="s">
        <v>979</v>
      </c>
      <c r="AA51" s="156">
        <f>SUMIF('TB - Expense Data'!$G$3:$G$757,Z51,'TB - Expense Data'!$J$3:$J$757)</f>
        <v>0</v>
      </c>
      <c r="AB51" s="14">
        <f t="shared" si="35"/>
        <v>0</v>
      </c>
      <c r="AC51" s="26">
        <f>SUMIF('TB - Expense Data'!$G$3:$G$757,Z51,'TB - Expense Data'!$N$3:$N$757)</f>
        <v>0</v>
      </c>
      <c r="AD51" s="92">
        <f t="shared" si="36"/>
        <v>0</v>
      </c>
      <c r="AE51" s="186" t="str">
        <f t="shared" si="37"/>
        <v xml:space="preserve">-    </v>
      </c>
      <c r="AF51" s="131" t="s">
        <v>979</v>
      </c>
      <c r="AG51" s="156">
        <f>SUMIF('TB - Expense Data'!$G$3:$G$757,AF51,'TB - Expense Data'!$J$3:$J$757)</f>
        <v>0</v>
      </c>
      <c r="AH51" s="14">
        <f t="shared" si="38"/>
        <v>0</v>
      </c>
      <c r="AI51" s="26">
        <f>SUMIF('TB - Expense Data'!$G$3:$G$757,AF51,'TB - Expense Data'!$N$3:$N$757)</f>
        <v>0</v>
      </c>
      <c r="AJ51" s="92">
        <f t="shared" si="39"/>
        <v>0</v>
      </c>
      <c r="AK51" s="186" t="str">
        <f t="shared" si="40"/>
        <v xml:space="preserve">-    </v>
      </c>
      <c r="AL51" s="156">
        <f t="shared" si="41"/>
        <v>35000</v>
      </c>
      <c r="AM51" s="14">
        <f t="shared" si="42"/>
        <v>17500</v>
      </c>
      <c r="AN51" s="26">
        <f t="shared" si="43"/>
        <v>25181.260000000002</v>
      </c>
      <c r="AO51" s="92">
        <f t="shared" si="44"/>
        <v>7681.260000000002</v>
      </c>
      <c r="AP51" s="186">
        <f t="shared" si="45"/>
        <v>0.43892914285714296</v>
      </c>
    </row>
    <row r="52" spans="1:42" x14ac:dyDescent="0.25">
      <c r="A52" s="13" t="s">
        <v>52</v>
      </c>
      <c r="B52" s="131" t="s">
        <v>1375</v>
      </c>
      <c r="C52" s="156">
        <f>SUMIF('TB - Expense Data'!$G$3:$G$757,B52,'TB - Expense Data'!$J$3:$J$757)</f>
        <v>111360</v>
      </c>
      <c r="D52" s="14">
        <f t="shared" si="23"/>
        <v>55680</v>
      </c>
      <c r="E52" s="26">
        <f>SUMIF('TB - Expense Data'!$G$3:$G$757,B52,'TB - Expense Data'!$N$3:$N$757)</f>
        <v>21605.8</v>
      </c>
      <c r="F52" s="92">
        <f t="shared" si="24"/>
        <v>-34074.199999999997</v>
      </c>
      <c r="G52" s="186">
        <f t="shared" si="25"/>
        <v>-0.61196479885057464</v>
      </c>
      <c r="H52" s="131" t="s">
        <v>1376</v>
      </c>
      <c r="I52" s="156">
        <f>SUMIF('TB - Expense Data'!$G$3:$G$757,H52,'TB - Expense Data'!$J$3:$J$757)</f>
        <v>28720</v>
      </c>
      <c r="J52" s="14">
        <f t="shared" si="26"/>
        <v>14360</v>
      </c>
      <c r="K52" s="26">
        <f>SUMIF('TB - Expense Data'!$G$3:$G$757,H52,'TB - Expense Data'!$N$3:$N$757)</f>
        <v>4918.17</v>
      </c>
      <c r="L52" s="92">
        <f t="shared" si="27"/>
        <v>-9441.83</v>
      </c>
      <c r="M52" s="186">
        <f t="shared" si="28"/>
        <v>-0.65750905292479112</v>
      </c>
      <c r="N52" s="131" t="s">
        <v>1377</v>
      </c>
      <c r="O52" s="156">
        <f>SUMIF('TB - Expense Data'!$G$3:$G$757,N52,'TB - Expense Data'!$J$3:$J$757)</f>
        <v>191680</v>
      </c>
      <c r="P52" s="14">
        <f t="shared" si="29"/>
        <v>95840</v>
      </c>
      <c r="Q52" s="26">
        <f>SUMIF('TB - Expense Data'!$G$3:$G$757,N52,'TB - Expense Data'!$N$3:$N$757)</f>
        <v>41318.1</v>
      </c>
      <c r="R52" s="92">
        <f t="shared" si="30"/>
        <v>-54521.9</v>
      </c>
      <c r="S52" s="186">
        <f t="shared" si="31"/>
        <v>-0.56888459933222035</v>
      </c>
      <c r="T52" s="131" t="s">
        <v>1378</v>
      </c>
      <c r="U52" s="156">
        <f>SUMIF('TB - Expense Data'!$G$3:$G$757,T52,'TB - Expense Data'!$J$3:$J$757)</f>
        <v>42240</v>
      </c>
      <c r="V52" s="14">
        <f t="shared" si="32"/>
        <v>21120</v>
      </c>
      <c r="W52" s="26">
        <f>SUMIF('TB - Expense Data'!$G$3:$G$757,T52,'TB - Expense Data'!$N$3:$N$757)</f>
        <v>14709.43</v>
      </c>
      <c r="X52" s="92">
        <f t="shared" si="33"/>
        <v>-6410.57</v>
      </c>
      <c r="Y52" s="186">
        <f t="shared" si="34"/>
        <v>-0.30353077651515148</v>
      </c>
      <c r="Z52" s="131" t="s">
        <v>979</v>
      </c>
      <c r="AA52" s="156">
        <f>SUMIF('TB - Expense Data'!$G$3:$G$757,Z52,'TB - Expense Data'!$J$3:$J$757)</f>
        <v>0</v>
      </c>
      <c r="AB52" s="14">
        <f t="shared" si="35"/>
        <v>0</v>
      </c>
      <c r="AC52" s="26">
        <f>SUMIF('TB - Expense Data'!$G$3:$G$757,Z52,'TB - Expense Data'!$N$3:$N$757)</f>
        <v>0</v>
      </c>
      <c r="AD52" s="92">
        <f t="shared" si="36"/>
        <v>0</v>
      </c>
      <c r="AE52" s="186" t="str">
        <f t="shared" si="37"/>
        <v xml:space="preserve">-    </v>
      </c>
      <c r="AF52" s="131" t="s">
        <v>979</v>
      </c>
      <c r="AG52" s="156">
        <f>SUMIF('TB - Expense Data'!$G$3:$G$757,AF52,'TB - Expense Data'!$J$3:$J$757)</f>
        <v>0</v>
      </c>
      <c r="AH52" s="14">
        <f t="shared" si="38"/>
        <v>0</v>
      </c>
      <c r="AI52" s="26">
        <f>SUMIF('TB - Expense Data'!$G$3:$G$757,AF52,'TB - Expense Data'!$N$3:$N$757)</f>
        <v>0</v>
      </c>
      <c r="AJ52" s="92">
        <f t="shared" si="39"/>
        <v>0</v>
      </c>
      <c r="AK52" s="186" t="str">
        <f t="shared" si="40"/>
        <v xml:space="preserve">-    </v>
      </c>
      <c r="AL52" s="156">
        <f t="shared" si="41"/>
        <v>374000</v>
      </c>
      <c r="AM52" s="14">
        <f t="shared" si="42"/>
        <v>187000</v>
      </c>
      <c r="AN52" s="26">
        <f t="shared" si="43"/>
        <v>82551.5</v>
      </c>
      <c r="AO52" s="92">
        <f t="shared" si="44"/>
        <v>-104448.5</v>
      </c>
      <c r="AP52" s="186">
        <f t="shared" si="45"/>
        <v>-0.55854812834224599</v>
      </c>
    </row>
    <row r="53" spans="1:42" x14ac:dyDescent="0.25">
      <c r="A53" s="13" t="s">
        <v>167</v>
      </c>
      <c r="B53" s="131" t="s">
        <v>1379</v>
      </c>
      <c r="C53" s="156">
        <f>SUMIF('TB - Expense Data'!$G$3:$G$757,B53,'TB - Expense Data'!$J$3:$J$757)</f>
        <v>61120</v>
      </c>
      <c r="D53" s="14">
        <f t="shared" si="23"/>
        <v>30560</v>
      </c>
      <c r="E53" s="26">
        <f>SUMIF('TB - Expense Data'!$G$3:$G$757,B53,'TB - Expense Data'!$N$3:$N$757)</f>
        <v>33808.559999999998</v>
      </c>
      <c r="F53" s="92">
        <f t="shared" si="24"/>
        <v>3248.5599999999977</v>
      </c>
      <c r="G53" s="186">
        <f t="shared" si="25"/>
        <v>0.10630104712041877</v>
      </c>
      <c r="H53" s="131" t="s">
        <v>1380</v>
      </c>
      <c r="I53" s="156">
        <f>SUMIF('TB - Expense Data'!$G$3:$G$757,H53,'TB - Expense Data'!$J$3:$J$757)</f>
        <v>18240</v>
      </c>
      <c r="J53" s="14">
        <f t="shared" si="26"/>
        <v>9120</v>
      </c>
      <c r="K53" s="26">
        <f>SUMIF('TB - Expense Data'!$G$3:$G$757,H53,'TB - Expense Data'!$N$3:$N$757)</f>
        <v>8719.2000000000007</v>
      </c>
      <c r="L53" s="92">
        <f t="shared" si="27"/>
        <v>-400.79999999999927</v>
      </c>
      <c r="M53" s="186">
        <f t="shared" si="28"/>
        <v>-4.3947368421052554E-2</v>
      </c>
      <c r="N53" s="131" t="s">
        <v>1381</v>
      </c>
      <c r="O53" s="156">
        <f>SUMIF('TB - Expense Data'!$G$3:$G$757,N53,'TB - Expense Data'!$J$3:$J$757)</f>
        <v>108560</v>
      </c>
      <c r="P53" s="14">
        <f t="shared" si="29"/>
        <v>54280</v>
      </c>
      <c r="Q53" s="26">
        <f>SUMIF('TB - Expense Data'!$G$3:$G$757,N53,'TB - Expense Data'!$N$3:$N$757)</f>
        <v>67488.429999999993</v>
      </c>
      <c r="R53" s="92">
        <f t="shared" si="30"/>
        <v>13208.429999999993</v>
      </c>
      <c r="S53" s="186">
        <f t="shared" si="31"/>
        <v>0.2433387988209284</v>
      </c>
      <c r="T53" s="131" t="s">
        <v>1382</v>
      </c>
      <c r="U53" s="156">
        <f>SUMIF('TB - Expense Data'!$G$3:$G$757,T53,'TB - Expense Data'!$J$3:$J$757)</f>
        <v>25080</v>
      </c>
      <c r="V53" s="14">
        <f t="shared" si="32"/>
        <v>12540</v>
      </c>
      <c r="W53" s="26">
        <f>SUMIF('TB - Expense Data'!$G$3:$G$757,T53,'TB - Expense Data'!$N$3:$N$757)</f>
        <v>16440.310000000001</v>
      </c>
      <c r="X53" s="92">
        <f t="shared" si="33"/>
        <v>3900.3100000000013</v>
      </c>
      <c r="Y53" s="186">
        <f t="shared" si="34"/>
        <v>0.31102950558213727</v>
      </c>
      <c r="Z53" s="131" t="s">
        <v>1383</v>
      </c>
      <c r="AA53" s="156">
        <f>SUMIF('TB - Expense Data'!$G$3:$G$757,Z53,'TB - Expense Data'!$J$3:$J$757)</f>
        <v>0</v>
      </c>
      <c r="AB53" s="14">
        <f t="shared" si="35"/>
        <v>0</v>
      </c>
      <c r="AC53" s="26">
        <f>SUMIF('TB - Expense Data'!$G$3:$G$757,Z53,'TB - Expense Data'!$N$3:$N$757)</f>
        <v>0</v>
      </c>
      <c r="AD53" s="92">
        <f t="shared" si="36"/>
        <v>0</v>
      </c>
      <c r="AE53" s="186" t="str">
        <f t="shared" si="37"/>
        <v xml:space="preserve">-    </v>
      </c>
      <c r="AF53" s="131" t="s">
        <v>979</v>
      </c>
      <c r="AG53" s="156">
        <f>SUMIF('TB - Expense Data'!$G$3:$G$757,AF53,'TB - Expense Data'!$J$3:$J$757)</f>
        <v>0</v>
      </c>
      <c r="AH53" s="14">
        <f t="shared" si="38"/>
        <v>0</v>
      </c>
      <c r="AI53" s="26">
        <f>SUMIF('TB - Expense Data'!$G$3:$G$757,AF53,'TB - Expense Data'!$N$3:$N$757)</f>
        <v>0</v>
      </c>
      <c r="AJ53" s="92">
        <f t="shared" si="39"/>
        <v>0</v>
      </c>
      <c r="AK53" s="186" t="str">
        <f t="shared" si="40"/>
        <v xml:space="preserve">-    </v>
      </c>
      <c r="AL53" s="156">
        <f t="shared" si="41"/>
        <v>213000</v>
      </c>
      <c r="AM53" s="14">
        <f t="shared" si="42"/>
        <v>106500</v>
      </c>
      <c r="AN53" s="26">
        <f t="shared" si="43"/>
        <v>126456.49999999999</v>
      </c>
      <c r="AO53" s="92">
        <f t="shared" si="44"/>
        <v>19956.499999999985</v>
      </c>
      <c r="AP53" s="186">
        <f t="shared" si="45"/>
        <v>0.18738497652582145</v>
      </c>
    </row>
    <row r="54" spans="1:42" x14ac:dyDescent="0.25">
      <c r="A54" s="13" t="s">
        <v>2267</v>
      </c>
      <c r="B54" s="499" t="s">
        <v>3443</v>
      </c>
      <c r="C54" s="156">
        <f>SUMIF('TB - Expense Data'!$G$3:$G$757,B54,'TB - Expense Data'!$J$3:$J$757)</f>
        <v>9000</v>
      </c>
      <c r="D54" s="14">
        <f t="shared" si="23"/>
        <v>4500</v>
      </c>
      <c r="E54" s="26">
        <f>SUMIF('TB - Expense Data'!$G$3:$G$757,B54,'TB - Expense Data'!$N$3:$N$757)</f>
        <v>0</v>
      </c>
      <c r="F54" s="92">
        <f t="shared" si="24"/>
        <v>-4500</v>
      </c>
      <c r="G54" s="186">
        <f t="shared" si="25"/>
        <v>-1</v>
      </c>
      <c r="H54" s="131" t="s">
        <v>979</v>
      </c>
      <c r="I54" s="156">
        <f>SUMIF('TB - Expense Data'!$G$3:$G$757,H54,'TB - Expense Data'!$J$3:$J$757)</f>
        <v>0</v>
      </c>
      <c r="J54" s="14">
        <f t="shared" si="26"/>
        <v>0</v>
      </c>
      <c r="K54" s="26">
        <f>SUMIF('TB - Expense Data'!$G$3:$G$757,H54,'TB - Expense Data'!$N$3:$N$757)</f>
        <v>0</v>
      </c>
      <c r="L54" s="92">
        <f t="shared" si="27"/>
        <v>0</v>
      </c>
      <c r="M54" s="186" t="str">
        <f t="shared" si="28"/>
        <v xml:space="preserve">-    </v>
      </c>
      <c r="N54" s="499" t="s">
        <v>3444</v>
      </c>
      <c r="O54" s="156">
        <f>SUMIF('TB - Expense Data'!$G$3:$G$757,N54,'TB - Expense Data'!$J$3:$J$757)</f>
        <v>16000</v>
      </c>
      <c r="P54" s="14">
        <f t="shared" si="29"/>
        <v>8000</v>
      </c>
      <c r="Q54" s="26">
        <f>SUMIF('TB - Expense Data'!$G$3:$G$757,N54,'TB - Expense Data'!$N$3:$N$757)</f>
        <v>0</v>
      </c>
      <c r="R54" s="92">
        <f t="shared" si="30"/>
        <v>-8000</v>
      </c>
      <c r="S54" s="186">
        <f t="shared" si="31"/>
        <v>-1</v>
      </c>
      <c r="T54" s="131" t="s">
        <v>979</v>
      </c>
      <c r="U54" s="156">
        <f>SUMIF('TB - Expense Data'!$G$3:$G$757,T54,'TB - Expense Data'!$J$3:$J$757)</f>
        <v>0</v>
      </c>
      <c r="V54" s="14">
        <f t="shared" si="32"/>
        <v>0</v>
      </c>
      <c r="W54" s="26">
        <f>SUMIF('TB - Expense Data'!$G$3:$G$757,T54,'TB - Expense Data'!$N$3:$N$757)</f>
        <v>0</v>
      </c>
      <c r="X54" s="92">
        <f t="shared" si="33"/>
        <v>0</v>
      </c>
      <c r="Y54" s="186" t="str">
        <f t="shared" si="34"/>
        <v xml:space="preserve">-    </v>
      </c>
      <c r="Z54" s="131" t="s">
        <v>979</v>
      </c>
      <c r="AA54" s="156">
        <f>SUMIF('TB - Expense Data'!$G$3:$G$757,Z54,'TB - Expense Data'!$J$3:$J$757)</f>
        <v>0</v>
      </c>
      <c r="AB54" s="14">
        <f t="shared" si="35"/>
        <v>0</v>
      </c>
      <c r="AC54" s="26">
        <f>SUMIF('TB - Expense Data'!$G$3:$G$757,Z54,'TB - Expense Data'!$N$3:$N$757)</f>
        <v>0</v>
      </c>
      <c r="AD54" s="92">
        <f t="shared" si="36"/>
        <v>0</v>
      </c>
      <c r="AE54" s="186" t="str">
        <f t="shared" si="37"/>
        <v xml:space="preserve">-    </v>
      </c>
      <c r="AF54" s="131" t="s">
        <v>979</v>
      </c>
      <c r="AG54" s="156">
        <f>SUMIF('TB - Expense Data'!$G$3:$G$757,AF54,'TB - Expense Data'!$J$3:$J$757)</f>
        <v>0</v>
      </c>
      <c r="AH54" s="14">
        <f t="shared" si="38"/>
        <v>0</v>
      </c>
      <c r="AI54" s="26">
        <f>SUMIF('TB - Expense Data'!$G$3:$G$757,AF54,'TB - Expense Data'!$N$3:$N$757)</f>
        <v>0</v>
      </c>
      <c r="AJ54" s="92">
        <f t="shared" si="39"/>
        <v>0</v>
      </c>
      <c r="AK54" s="186" t="str">
        <f t="shared" si="40"/>
        <v xml:space="preserve">-    </v>
      </c>
      <c r="AL54" s="156">
        <f t="shared" si="41"/>
        <v>25000</v>
      </c>
      <c r="AM54" s="14">
        <f t="shared" si="42"/>
        <v>12500</v>
      </c>
      <c r="AN54" s="26">
        <f t="shared" si="43"/>
        <v>0</v>
      </c>
      <c r="AO54" s="92">
        <f t="shared" si="44"/>
        <v>-12500</v>
      </c>
      <c r="AP54" s="186">
        <f t="shared" si="45"/>
        <v>-1</v>
      </c>
    </row>
    <row r="55" spans="1:42" x14ac:dyDescent="0.25">
      <c r="A55" s="13" t="s">
        <v>1462</v>
      </c>
      <c r="B55" s="131" t="s">
        <v>1463</v>
      </c>
      <c r="C55" s="156">
        <f>SUMIF('TB - Expense Data'!$G$3:$G$757,B55,'TB - Expense Data'!$J$3:$J$757)</f>
        <v>19195</v>
      </c>
      <c r="D55" s="14">
        <f t="shared" si="23"/>
        <v>9597.5</v>
      </c>
      <c r="E55" s="26">
        <f>SUMIF('TB - Expense Data'!$G$3:$G$757,B55,'TB - Expense Data'!$N$3:$N$757)</f>
        <v>3122.16</v>
      </c>
      <c r="F55" s="92">
        <f t="shared" si="24"/>
        <v>-6475.34</v>
      </c>
      <c r="G55" s="186">
        <f t="shared" si="25"/>
        <v>-0.67469028392810626</v>
      </c>
      <c r="H55" s="131" t="s">
        <v>1464</v>
      </c>
      <c r="I55" s="156">
        <f>SUMIF('TB - Expense Data'!$G$3:$G$757,H55,'TB - Expense Data'!$J$3:$J$757)</f>
        <v>3740</v>
      </c>
      <c r="J55" s="14">
        <f t="shared" si="26"/>
        <v>1870</v>
      </c>
      <c r="K55" s="26">
        <f>SUMIF('TB - Expense Data'!$G$3:$G$757,H55,'TB - Expense Data'!$N$3:$N$757)</f>
        <v>523.73</v>
      </c>
      <c r="L55" s="92">
        <f t="shared" si="27"/>
        <v>-1346.27</v>
      </c>
      <c r="M55" s="186">
        <f t="shared" si="28"/>
        <v>-0.71993048128342241</v>
      </c>
      <c r="N55" s="131" t="s">
        <v>1465</v>
      </c>
      <c r="O55" s="156">
        <f>SUMIF('TB - Expense Data'!$G$3:$G$757,N55,'TB - Expense Data'!$J$3:$J$757)</f>
        <v>31460</v>
      </c>
      <c r="P55" s="14">
        <f t="shared" si="29"/>
        <v>15730</v>
      </c>
      <c r="Q55" s="26">
        <f>SUMIF('TB - Expense Data'!$G$3:$G$757,N55,'TB - Expense Data'!$N$3:$N$757)</f>
        <v>5577.96</v>
      </c>
      <c r="R55" s="92">
        <f t="shared" si="30"/>
        <v>-10152.040000000001</v>
      </c>
      <c r="S55" s="186">
        <f t="shared" si="31"/>
        <v>-0.64539351557533386</v>
      </c>
      <c r="T55" s="131" t="s">
        <v>1466</v>
      </c>
      <c r="U55" s="156">
        <f>SUMIF('TB - Expense Data'!$G$3:$G$757,T55,'TB - Expense Data'!$J$3:$J$757)</f>
        <v>5730</v>
      </c>
      <c r="V55" s="14">
        <f t="shared" si="32"/>
        <v>2865</v>
      </c>
      <c r="W55" s="26">
        <f>SUMIF('TB - Expense Data'!$G$3:$G$757,T55,'TB - Expense Data'!$N$3:$N$757)</f>
        <v>720.31000000000006</v>
      </c>
      <c r="X55" s="92">
        <f t="shared" si="33"/>
        <v>-2144.69</v>
      </c>
      <c r="Y55" s="186">
        <f t="shared" si="34"/>
        <v>-0.74858289703315883</v>
      </c>
      <c r="Z55" s="131" t="s">
        <v>979</v>
      </c>
      <c r="AA55" s="156">
        <f>SUMIF('TB - Expense Data'!$G$3:$G$757,Z55,'TB - Expense Data'!$J$3:$J$757)</f>
        <v>0</v>
      </c>
      <c r="AB55" s="14">
        <f t="shared" si="35"/>
        <v>0</v>
      </c>
      <c r="AC55" s="26">
        <f>SUMIF('TB - Expense Data'!$G$3:$G$757,Z55,'TB - Expense Data'!$N$3:$N$757)</f>
        <v>0</v>
      </c>
      <c r="AD55" s="92">
        <f t="shared" si="36"/>
        <v>0</v>
      </c>
      <c r="AE55" s="186" t="str">
        <f t="shared" si="37"/>
        <v xml:space="preserve">-    </v>
      </c>
      <c r="AF55" s="131" t="s">
        <v>979</v>
      </c>
      <c r="AG55" s="156">
        <f>SUMIF('TB - Expense Data'!$G$3:$G$757,AF55,'TB - Expense Data'!$J$3:$J$757)</f>
        <v>0</v>
      </c>
      <c r="AH55" s="14">
        <f t="shared" si="38"/>
        <v>0</v>
      </c>
      <c r="AI55" s="26">
        <f>SUMIF('TB - Expense Data'!$G$3:$G$757,AF55,'TB - Expense Data'!$N$3:$N$757)</f>
        <v>0</v>
      </c>
      <c r="AJ55" s="92">
        <f t="shared" si="39"/>
        <v>0</v>
      </c>
      <c r="AK55" s="186" t="str">
        <f t="shared" si="40"/>
        <v xml:space="preserve">-    </v>
      </c>
      <c r="AL55" s="156">
        <f t="shared" si="41"/>
        <v>60125</v>
      </c>
      <c r="AM55" s="14">
        <f t="shared" si="42"/>
        <v>30062.5</v>
      </c>
      <c r="AN55" s="26">
        <f t="shared" si="43"/>
        <v>9944.16</v>
      </c>
      <c r="AO55" s="92">
        <f t="shared" si="44"/>
        <v>-20118.34</v>
      </c>
      <c r="AP55" s="186">
        <f t="shared" si="45"/>
        <v>-0.66921713097713098</v>
      </c>
    </row>
    <row r="56" spans="1:42" x14ac:dyDescent="0.25">
      <c r="A56" s="13" t="s">
        <v>53</v>
      </c>
      <c r="B56" s="131" t="s">
        <v>1384</v>
      </c>
      <c r="C56" s="156">
        <f>SUMIF('TB - Expense Data'!$G$3:$G$757,B56,'TB - Expense Data'!$J$3:$J$757)</f>
        <v>3500</v>
      </c>
      <c r="D56" s="14">
        <f t="shared" si="23"/>
        <v>1750</v>
      </c>
      <c r="E56" s="26">
        <f>SUMIF('TB - Expense Data'!$G$3:$G$757,B56,'TB - Expense Data'!$N$3:$N$757)</f>
        <v>1292.3</v>
      </c>
      <c r="F56" s="92">
        <f t="shared" si="24"/>
        <v>-457.70000000000005</v>
      </c>
      <c r="G56" s="186">
        <f t="shared" si="25"/>
        <v>-0.26154285714285719</v>
      </c>
      <c r="H56" s="131" t="s">
        <v>1385</v>
      </c>
      <c r="I56" s="156">
        <f>SUMIF('TB - Expense Data'!$G$3:$G$757,H56,'TB - Expense Data'!$J$3:$J$757)</f>
        <v>950</v>
      </c>
      <c r="J56" s="14">
        <f t="shared" si="26"/>
        <v>475</v>
      </c>
      <c r="K56" s="26">
        <f>SUMIF('TB - Expense Data'!$G$3:$G$757,H56,'TB - Expense Data'!$N$3:$N$757)</f>
        <v>74.17</v>
      </c>
      <c r="L56" s="92">
        <f t="shared" si="27"/>
        <v>-400.83</v>
      </c>
      <c r="M56" s="186">
        <f t="shared" si="28"/>
        <v>-0.8438526315789473</v>
      </c>
      <c r="N56" s="131" t="s">
        <v>1386</v>
      </c>
      <c r="O56" s="156">
        <f>SUMIF('TB - Expense Data'!$G$3:$G$757,N56,'TB - Expense Data'!$J$3:$J$757)</f>
        <v>5750</v>
      </c>
      <c r="P56" s="14">
        <f t="shared" si="29"/>
        <v>2875</v>
      </c>
      <c r="Q56" s="26">
        <f>SUMIF('TB - Expense Data'!$G$3:$G$757,N56,'TB - Expense Data'!$N$3:$N$757)</f>
        <v>2301.5300000000002</v>
      </c>
      <c r="R56" s="92">
        <f t="shared" si="30"/>
        <v>-573.4699999999998</v>
      </c>
      <c r="S56" s="186">
        <f t="shared" si="31"/>
        <v>-0.19946782608695646</v>
      </c>
      <c r="T56" s="131" t="s">
        <v>1387</v>
      </c>
      <c r="U56" s="156">
        <f>SUMIF('TB - Expense Data'!$G$3:$G$757,T56,'TB - Expense Data'!$J$3:$J$757)</f>
        <v>1450</v>
      </c>
      <c r="V56" s="14">
        <f t="shared" si="32"/>
        <v>725</v>
      </c>
      <c r="W56" s="26">
        <f>SUMIF('TB - Expense Data'!$G$3:$G$757,T56,'TB - Expense Data'!$N$3:$N$757)</f>
        <v>101.98</v>
      </c>
      <c r="X56" s="92">
        <f t="shared" si="33"/>
        <v>-623.02</v>
      </c>
      <c r="Y56" s="186">
        <f t="shared" si="34"/>
        <v>-0.85933793103448275</v>
      </c>
      <c r="Z56" s="131" t="s">
        <v>979</v>
      </c>
      <c r="AA56" s="156">
        <f>SUMIF('TB - Expense Data'!$G$3:$G$757,Z56,'TB - Expense Data'!$J$3:$J$757)</f>
        <v>0</v>
      </c>
      <c r="AB56" s="14">
        <f t="shared" si="35"/>
        <v>0</v>
      </c>
      <c r="AC56" s="26">
        <f>SUMIF('TB - Expense Data'!$G$3:$G$757,Z56,'TB - Expense Data'!$N$3:$N$757)</f>
        <v>0</v>
      </c>
      <c r="AD56" s="92">
        <f t="shared" si="36"/>
        <v>0</v>
      </c>
      <c r="AE56" s="186" t="str">
        <f t="shared" si="37"/>
        <v xml:space="preserve">-    </v>
      </c>
      <c r="AF56" s="131" t="s">
        <v>979</v>
      </c>
      <c r="AG56" s="156">
        <f>SUMIF('TB - Expense Data'!$G$3:$G$757,AF56,'TB - Expense Data'!$J$3:$J$757)</f>
        <v>0</v>
      </c>
      <c r="AH56" s="14">
        <f t="shared" si="38"/>
        <v>0</v>
      </c>
      <c r="AI56" s="26">
        <f>SUMIF('TB - Expense Data'!$G$3:$G$757,AF56,'TB - Expense Data'!$N$3:$N$757)</f>
        <v>0</v>
      </c>
      <c r="AJ56" s="92">
        <f t="shared" si="39"/>
        <v>0</v>
      </c>
      <c r="AK56" s="186" t="str">
        <f t="shared" si="40"/>
        <v xml:space="preserve">-    </v>
      </c>
      <c r="AL56" s="156">
        <f t="shared" si="41"/>
        <v>11650</v>
      </c>
      <c r="AM56" s="14">
        <f t="shared" si="42"/>
        <v>5825</v>
      </c>
      <c r="AN56" s="26">
        <f t="shared" si="43"/>
        <v>3769.98</v>
      </c>
      <c r="AO56" s="92">
        <f t="shared" si="44"/>
        <v>-2055.02</v>
      </c>
      <c r="AP56" s="186">
        <f t="shared" si="45"/>
        <v>-0.35279313304721027</v>
      </c>
    </row>
    <row r="57" spans="1:42" x14ac:dyDescent="0.25">
      <c r="A57" s="13" t="s">
        <v>71</v>
      </c>
      <c r="B57" s="131" t="s">
        <v>1388</v>
      </c>
      <c r="C57" s="156">
        <f>SUMIF('TB - Expense Data'!$G$3:$G$757,B57,'TB - Expense Data'!$J$3:$J$757)</f>
        <v>4930</v>
      </c>
      <c r="D57" s="14">
        <f t="shared" si="23"/>
        <v>2465</v>
      </c>
      <c r="E57" s="26">
        <f>SUMIF('TB - Expense Data'!$G$3:$G$757,B57,'TB - Expense Data'!$N$3:$N$757)</f>
        <v>1340.5</v>
      </c>
      <c r="F57" s="92">
        <f t="shared" si="24"/>
        <v>-1124.5</v>
      </c>
      <c r="G57" s="186">
        <f t="shared" si="25"/>
        <v>-0.45618661257606491</v>
      </c>
      <c r="H57" s="131" t="s">
        <v>1389</v>
      </c>
      <c r="I57" s="156">
        <f>SUMIF('TB - Expense Data'!$G$3:$G$757,H57,'TB - Expense Data'!$J$3:$J$757)</f>
        <v>1360</v>
      </c>
      <c r="J57" s="14">
        <f t="shared" si="26"/>
        <v>680</v>
      </c>
      <c r="K57" s="26">
        <f>SUMIF('TB - Expense Data'!$G$3:$G$757,H57,'TB - Expense Data'!$N$3:$N$757)</f>
        <v>369.78</v>
      </c>
      <c r="L57" s="92">
        <f t="shared" si="27"/>
        <v>-310.22000000000003</v>
      </c>
      <c r="M57" s="186">
        <f t="shared" si="28"/>
        <v>-0.45620588235294124</v>
      </c>
      <c r="N57" s="131" t="s">
        <v>1390</v>
      </c>
      <c r="O57" s="156">
        <f>SUMIF('TB - Expense Data'!$G$3:$G$757,N57,'TB - Expense Data'!$J$3:$J$757)</f>
        <v>8840</v>
      </c>
      <c r="P57" s="14">
        <f t="shared" si="29"/>
        <v>4420</v>
      </c>
      <c r="Q57" s="26">
        <f>SUMIF('TB - Expense Data'!$G$3:$G$757,N57,'TB - Expense Data'!$N$3:$N$757)</f>
        <v>2403.65</v>
      </c>
      <c r="R57" s="92">
        <f t="shared" si="30"/>
        <v>-2016.35</v>
      </c>
      <c r="S57" s="186">
        <f t="shared" si="31"/>
        <v>-0.45618778280542982</v>
      </c>
      <c r="T57" s="131" t="s">
        <v>1391</v>
      </c>
      <c r="U57" s="156">
        <f>SUMIF('TB - Expense Data'!$G$3:$G$757,T57,'TB - Expense Data'!$J$3:$J$757)</f>
        <v>1870</v>
      </c>
      <c r="V57" s="14">
        <f t="shared" si="32"/>
        <v>935</v>
      </c>
      <c r="W57" s="26">
        <f>SUMIF('TB - Expense Data'!$G$3:$G$757,T57,'TB - Expense Data'!$N$3:$N$757)</f>
        <v>508.47</v>
      </c>
      <c r="X57" s="92">
        <f t="shared" si="33"/>
        <v>-426.53</v>
      </c>
      <c r="Y57" s="186">
        <f t="shared" si="34"/>
        <v>-0.45618181818181813</v>
      </c>
      <c r="Z57" s="131" t="s">
        <v>979</v>
      </c>
      <c r="AA57" s="156">
        <f>SUMIF('TB - Expense Data'!$G$3:$G$757,Z57,'TB - Expense Data'!$J$3:$J$757)</f>
        <v>0</v>
      </c>
      <c r="AB57" s="14">
        <f t="shared" si="35"/>
        <v>0</v>
      </c>
      <c r="AC57" s="26">
        <f>SUMIF('TB - Expense Data'!$G$3:$G$757,Z57,'TB - Expense Data'!$N$3:$N$757)</f>
        <v>0</v>
      </c>
      <c r="AD57" s="92">
        <f t="shared" si="36"/>
        <v>0</v>
      </c>
      <c r="AE57" s="186" t="str">
        <f t="shared" si="37"/>
        <v xml:space="preserve">-    </v>
      </c>
      <c r="AF57" s="131" t="s">
        <v>979</v>
      </c>
      <c r="AG57" s="156">
        <f>SUMIF('TB - Expense Data'!$G$3:$G$757,AF57,'TB - Expense Data'!$J$3:$J$757)</f>
        <v>0</v>
      </c>
      <c r="AH57" s="14">
        <f t="shared" si="38"/>
        <v>0</v>
      </c>
      <c r="AI57" s="26">
        <f>SUMIF('TB - Expense Data'!$G$3:$G$757,AF57,'TB - Expense Data'!$N$3:$N$757)</f>
        <v>0</v>
      </c>
      <c r="AJ57" s="92">
        <f t="shared" si="39"/>
        <v>0</v>
      </c>
      <c r="AK57" s="186" t="str">
        <f t="shared" si="40"/>
        <v xml:space="preserve">-    </v>
      </c>
      <c r="AL57" s="156">
        <f t="shared" si="41"/>
        <v>17000</v>
      </c>
      <c r="AM57" s="14">
        <f t="shared" si="42"/>
        <v>8500</v>
      </c>
      <c r="AN57" s="26">
        <f t="shared" si="43"/>
        <v>4622.4000000000005</v>
      </c>
      <c r="AO57" s="92">
        <f t="shared" si="44"/>
        <v>-3877.5999999999995</v>
      </c>
      <c r="AP57" s="186">
        <f t="shared" si="45"/>
        <v>-0.45618823529411756</v>
      </c>
    </row>
    <row r="58" spans="1:42" x14ac:dyDescent="0.25">
      <c r="A58" s="13" t="s">
        <v>54</v>
      </c>
      <c r="B58" s="131" t="s">
        <v>1392</v>
      </c>
      <c r="C58" s="156">
        <f>SUMIF('TB - Expense Data'!$G$3:$G$757,B58,'TB - Expense Data'!$J$3:$J$757)</f>
        <v>13258.54</v>
      </c>
      <c r="D58" s="14">
        <f t="shared" si="23"/>
        <v>6629.27</v>
      </c>
      <c r="E58" s="26">
        <f>SUMIF('TB - Expense Data'!$G$3:$G$757,B58,'TB - Expense Data'!$N$3:$N$757)</f>
        <v>2075.25</v>
      </c>
      <c r="F58" s="92">
        <f t="shared" si="24"/>
        <v>-4554.0200000000004</v>
      </c>
      <c r="G58" s="186">
        <f t="shared" si="25"/>
        <v>-0.68695648238795526</v>
      </c>
      <c r="H58" s="131" t="s">
        <v>1393</v>
      </c>
      <c r="I58" s="156">
        <f>SUMIF('TB - Expense Data'!$G$3:$G$757,H58,'TB - Expense Data'!$J$3:$J$757)</f>
        <v>3072.5</v>
      </c>
      <c r="J58" s="14">
        <f t="shared" si="26"/>
        <v>1536.25</v>
      </c>
      <c r="K58" s="26">
        <f>SUMIF('TB - Expense Data'!$G$3:$G$757,H58,'TB - Expense Data'!$N$3:$N$757)</f>
        <v>660.01</v>
      </c>
      <c r="L58" s="92">
        <f t="shared" si="27"/>
        <v>-876.24</v>
      </c>
      <c r="M58" s="186">
        <f t="shared" si="28"/>
        <v>-0.57037591537835641</v>
      </c>
      <c r="N58" s="131" t="s">
        <v>1394</v>
      </c>
      <c r="O58" s="156">
        <f>SUMIF('TB - Expense Data'!$G$3:$G$757,N58,'TB - Expense Data'!$J$3:$J$757)</f>
        <v>23635.46</v>
      </c>
      <c r="P58" s="14">
        <f t="shared" si="29"/>
        <v>11817.73</v>
      </c>
      <c r="Q58" s="26">
        <f>SUMIF('TB - Expense Data'!$G$3:$G$757,N58,'TB - Expense Data'!$N$3:$N$757)</f>
        <v>3701.44</v>
      </c>
      <c r="R58" s="92">
        <f t="shared" si="30"/>
        <v>-8116.2899999999991</v>
      </c>
      <c r="S58" s="186">
        <f t="shared" si="31"/>
        <v>-0.68678925648157463</v>
      </c>
      <c r="T58" s="131" t="s">
        <v>1395</v>
      </c>
      <c r="U58" s="156">
        <f>SUMIF('TB - Expense Data'!$G$3:$G$757,T58,'TB - Expense Data'!$J$3:$J$757)</f>
        <v>3897.5</v>
      </c>
      <c r="V58" s="14">
        <f t="shared" si="32"/>
        <v>1948.75</v>
      </c>
      <c r="W58" s="26">
        <f>SUMIF('TB - Expense Data'!$G$3:$G$757,T58,'TB - Expense Data'!$N$3:$N$757)</f>
        <v>910.1400000000001</v>
      </c>
      <c r="X58" s="92">
        <f t="shared" si="33"/>
        <v>-1038.6099999999999</v>
      </c>
      <c r="Y58" s="186">
        <f t="shared" si="34"/>
        <v>-0.53296215522771007</v>
      </c>
      <c r="Z58" s="131" t="s">
        <v>979</v>
      </c>
      <c r="AA58" s="156">
        <f>SUMIF('TB - Expense Data'!$G$3:$G$757,Z58,'TB - Expense Data'!$J$3:$J$757)</f>
        <v>0</v>
      </c>
      <c r="AB58" s="14">
        <f t="shared" si="35"/>
        <v>0</v>
      </c>
      <c r="AC58" s="26">
        <f>SUMIF('TB - Expense Data'!$G$3:$G$757,Z58,'TB - Expense Data'!$N$3:$N$757)</f>
        <v>0</v>
      </c>
      <c r="AD58" s="92">
        <f t="shared" si="36"/>
        <v>0</v>
      </c>
      <c r="AE58" s="186" t="str">
        <f t="shared" si="37"/>
        <v xml:space="preserve">-    </v>
      </c>
      <c r="AF58" s="131" t="s">
        <v>979</v>
      </c>
      <c r="AG58" s="156">
        <f>SUMIF('TB - Expense Data'!$G$3:$G$757,AF58,'TB - Expense Data'!$J$3:$J$757)</f>
        <v>0</v>
      </c>
      <c r="AH58" s="14">
        <f t="shared" si="38"/>
        <v>0</v>
      </c>
      <c r="AI58" s="26">
        <f>SUMIF('TB - Expense Data'!$G$3:$G$757,AF58,'TB - Expense Data'!$N$3:$N$757)</f>
        <v>0</v>
      </c>
      <c r="AJ58" s="92">
        <f t="shared" si="39"/>
        <v>0</v>
      </c>
      <c r="AK58" s="186" t="str">
        <f t="shared" si="40"/>
        <v xml:space="preserve">-    </v>
      </c>
      <c r="AL58" s="156">
        <f t="shared" si="41"/>
        <v>43864</v>
      </c>
      <c r="AM58" s="14">
        <f t="shared" si="42"/>
        <v>21932</v>
      </c>
      <c r="AN58" s="26">
        <f t="shared" si="43"/>
        <v>7346.8400000000011</v>
      </c>
      <c r="AO58" s="92">
        <f t="shared" si="44"/>
        <v>-14585.16</v>
      </c>
      <c r="AP58" s="186">
        <f t="shared" si="45"/>
        <v>-0.66501732628123289</v>
      </c>
    </row>
    <row r="59" spans="1:42" x14ac:dyDescent="0.25">
      <c r="A59" s="13" t="s">
        <v>170</v>
      </c>
      <c r="B59" s="131" t="s">
        <v>1396</v>
      </c>
      <c r="C59" s="156">
        <f>SUMIF('TB - Expense Data'!$G$3:$G$757,B59,'TB - Expense Data'!$J$3:$J$757)</f>
        <v>19975.36</v>
      </c>
      <c r="D59" s="14">
        <f t="shared" si="23"/>
        <v>9987.68</v>
      </c>
      <c r="E59" s="26">
        <f>SUMIF('TB - Expense Data'!$G$3:$G$757,B59,'TB - Expense Data'!$N$3:$N$757)</f>
        <v>10177.560000000001</v>
      </c>
      <c r="F59" s="92">
        <f t="shared" si="24"/>
        <v>189.88000000000102</v>
      </c>
      <c r="G59" s="186">
        <f t="shared" si="25"/>
        <v>1.9011422071992797E-2</v>
      </c>
      <c r="H59" s="131" t="s">
        <v>1397</v>
      </c>
      <c r="I59" s="156">
        <f>SUMIF('TB - Expense Data'!$G$3:$G$757,H59,'TB - Expense Data'!$J$3:$J$757)</f>
        <v>4480</v>
      </c>
      <c r="J59" s="14">
        <f t="shared" si="26"/>
        <v>2240</v>
      </c>
      <c r="K59" s="26">
        <f>SUMIF('TB - Expense Data'!$G$3:$G$757,H59,'TB - Expense Data'!$N$3:$N$757)</f>
        <v>1487.24</v>
      </c>
      <c r="L59" s="92">
        <f t="shared" si="27"/>
        <v>-752.76</v>
      </c>
      <c r="M59" s="186">
        <f t="shared" si="28"/>
        <v>-0.33605357142857145</v>
      </c>
      <c r="N59" s="131" t="s">
        <v>1398</v>
      </c>
      <c r="O59" s="156">
        <f>SUMIF('TB - Expense Data'!$G$3:$G$757,N59,'TB - Expense Data'!$J$3:$J$757)</f>
        <v>35760.639999999999</v>
      </c>
      <c r="P59" s="14">
        <f t="shared" si="29"/>
        <v>17880.32</v>
      </c>
      <c r="Q59" s="26">
        <f>SUMIF('TB - Expense Data'!$G$3:$G$757,N59,'TB - Expense Data'!$N$3:$N$757)</f>
        <v>13145.19</v>
      </c>
      <c r="R59" s="92">
        <f t="shared" si="30"/>
        <v>-4735.1299999999992</v>
      </c>
      <c r="S59" s="186">
        <f t="shared" si="31"/>
        <v>-0.26482356020473902</v>
      </c>
      <c r="T59" s="131" t="s">
        <v>1399</v>
      </c>
      <c r="U59" s="156">
        <f>SUMIF('TB - Expense Data'!$G$3:$G$757,T59,'TB - Expense Data'!$J$3:$J$757)</f>
        <v>6160</v>
      </c>
      <c r="V59" s="14">
        <f t="shared" si="32"/>
        <v>3080</v>
      </c>
      <c r="W59" s="26">
        <f>SUMIF('TB - Expense Data'!$G$3:$G$757,T59,'TB - Expense Data'!$N$3:$N$757)</f>
        <v>8502.0499999999993</v>
      </c>
      <c r="X59" s="92">
        <f t="shared" si="33"/>
        <v>5422.0499999999993</v>
      </c>
      <c r="Y59" s="186">
        <f t="shared" si="34"/>
        <v>1.7604058441558439</v>
      </c>
      <c r="Z59" s="131" t="s">
        <v>979</v>
      </c>
      <c r="AA59" s="156">
        <f>SUMIF('TB - Expense Data'!$G$3:$G$757,Z59,'TB - Expense Data'!$J$3:$J$757)</f>
        <v>0</v>
      </c>
      <c r="AB59" s="14">
        <f t="shared" si="35"/>
        <v>0</v>
      </c>
      <c r="AC59" s="26">
        <f>SUMIF('TB - Expense Data'!$G$3:$G$757,Z59,'TB - Expense Data'!$N$3:$N$757)</f>
        <v>0</v>
      </c>
      <c r="AD59" s="92">
        <f t="shared" si="36"/>
        <v>0</v>
      </c>
      <c r="AE59" s="186" t="str">
        <f t="shared" si="37"/>
        <v xml:space="preserve">-    </v>
      </c>
      <c r="AF59" s="131" t="s">
        <v>979</v>
      </c>
      <c r="AG59" s="156">
        <f>SUMIF('TB - Expense Data'!$G$3:$G$757,AF59,'TB - Expense Data'!$J$3:$J$757)</f>
        <v>0</v>
      </c>
      <c r="AH59" s="14">
        <f t="shared" si="38"/>
        <v>0</v>
      </c>
      <c r="AI59" s="26">
        <f>SUMIF('TB - Expense Data'!$G$3:$G$757,AF59,'TB - Expense Data'!$N$3:$N$757)</f>
        <v>0</v>
      </c>
      <c r="AJ59" s="92">
        <f t="shared" si="39"/>
        <v>0</v>
      </c>
      <c r="AK59" s="186" t="str">
        <f t="shared" si="40"/>
        <v xml:space="preserve">-    </v>
      </c>
      <c r="AL59" s="156">
        <f t="shared" si="41"/>
        <v>66376</v>
      </c>
      <c r="AM59" s="14">
        <f t="shared" si="42"/>
        <v>33188</v>
      </c>
      <c r="AN59" s="26">
        <f t="shared" si="43"/>
        <v>33312.04</v>
      </c>
      <c r="AO59" s="92">
        <f t="shared" si="44"/>
        <v>124.04000000000087</v>
      </c>
      <c r="AP59" s="186">
        <f t="shared" si="45"/>
        <v>3.7374954802941087E-3</v>
      </c>
    </row>
    <row r="60" spans="1:42" x14ac:dyDescent="0.25">
      <c r="A60" s="13" t="s">
        <v>1431</v>
      </c>
      <c r="B60" s="131" t="s">
        <v>1432</v>
      </c>
      <c r="C60" s="156">
        <f>SUMIF('TB - Expense Data'!$G$3:$G$757,B60,'TB - Expense Data'!$J$3:$J$757)</f>
        <v>16646</v>
      </c>
      <c r="D60" s="14">
        <f t="shared" si="23"/>
        <v>8323</v>
      </c>
      <c r="E60" s="26">
        <f>SUMIF('TB - Expense Data'!$G$3:$G$757,B60,'TB - Expense Data'!$N$3:$N$757)</f>
        <v>9425.76</v>
      </c>
      <c r="F60" s="92">
        <f t="shared" si="24"/>
        <v>1102.7600000000002</v>
      </c>
      <c r="G60" s="186">
        <f t="shared" si="25"/>
        <v>0.13249549441307223</v>
      </c>
      <c r="H60" s="131" t="s">
        <v>1433</v>
      </c>
      <c r="I60" s="156">
        <f>SUMIF('TB - Expense Data'!$G$3:$G$757,H60,'TB - Expense Data'!$J$3:$J$757)</f>
        <v>4592</v>
      </c>
      <c r="J60" s="14">
        <f t="shared" si="26"/>
        <v>2296</v>
      </c>
      <c r="K60" s="26">
        <f>SUMIF('TB - Expense Data'!$G$3:$G$757,H60,'TB - Expense Data'!$N$3:$N$757)</f>
        <v>2599.8000000000002</v>
      </c>
      <c r="L60" s="92">
        <f t="shared" si="27"/>
        <v>303.80000000000018</v>
      </c>
      <c r="M60" s="186">
        <f t="shared" si="28"/>
        <v>0.1323170731707318</v>
      </c>
      <c r="N60" s="131" t="s">
        <v>1434</v>
      </c>
      <c r="O60" s="156">
        <f>SUMIF('TB - Expense Data'!$G$3:$G$757,N60,'TB - Expense Data'!$J$3:$J$757)</f>
        <v>29848</v>
      </c>
      <c r="P60" s="14">
        <f t="shared" si="29"/>
        <v>14924</v>
      </c>
      <c r="Q60" s="26">
        <f>SUMIF('TB - Expense Data'!$G$3:$G$757,N60,'TB - Expense Data'!$N$3:$N$757)</f>
        <v>16899.13</v>
      </c>
      <c r="R60" s="92">
        <f t="shared" si="30"/>
        <v>1975.130000000001</v>
      </c>
      <c r="S60" s="186">
        <f t="shared" si="31"/>
        <v>0.13234588582149565</v>
      </c>
      <c r="T60" s="131" t="s">
        <v>1435</v>
      </c>
      <c r="U60" s="156">
        <f>SUMIF('TB - Expense Data'!$G$3:$G$757,T60,'TB - Expense Data'!$J$3:$J$757)</f>
        <v>6314</v>
      </c>
      <c r="V60" s="14">
        <f t="shared" si="32"/>
        <v>3157</v>
      </c>
      <c r="W60" s="26">
        <f>SUMIF('TB - Expense Data'!$G$3:$G$757,T60,'TB - Expense Data'!$N$3:$N$757)</f>
        <v>3581.8</v>
      </c>
      <c r="X60" s="92">
        <f t="shared" si="33"/>
        <v>424.80000000000018</v>
      </c>
      <c r="Y60" s="186">
        <f t="shared" si="34"/>
        <v>0.13455812480202731</v>
      </c>
      <c r="Z60" s="131" t="s">
        <v>979</v>
      </c>
      <c r="AA60" s="156">
        <f>SUMIF('TB - Expense Data'!$G$3:$G$757,Z60,'TB - Expense Data'!$J$3:$J$757)</f>
        <v>0</v>
      </c>
      <c r="AB60" s="14">
        <f t="shared" si="35"/>
        <v>0</v>
      </c>
      <c r="AC60" s="26">
        <f>SUMIF('TB - Expense Data'!$G$3:$G$757,Z60,'TB - Expense Data'!$N$3:$N$757)</f>
        <v>0</v>
      </c>
      <c r="AD60" s="92">
        <f t="shared" si="36"/>
        <v>0</v>
      </c>
      <c r="AE60" s="186" t="str">
        <f t="shared" si="37"/>
        <v xml:space="preserve">-    </v>
      </c>
      <c r="AF60" s="131" t="s">
        <v>979</v>
      </c>
      <c r="AG60" s="156">
        <f>SUMIF('TB - Expense Data'!$G$3:$G$757,AF60,'TB - Expense Data'!$J$3:$J$757)</f>
        <v>0</v>
      </c>
      <c r="AH60" s="14">
        <f t="shared" si="38"/>
        <v>0</v>
      </c>
      <c r="AI60" s="26">
        <f>SUMIF('TB - Expense Data'!$G$3:$G$757,AF60,'TB - Expense Data'!$N$3:$N$757)</f>
        <v>0</v>
      </c>
      <c r="AJ60" s="92">
        <f t="shared" si="39"/>
        <v>0</v>
      </c>
      <c r="AK60" s="186" t="str">
        <f t="shared" si="40"/>
        <v xml:space="preserve">-    </v>
      </c>
      <c r="AL60" s="156">
        <f t="shared" si="41"/>
        <v>57400</v>
      </c>
      <c r="AM60" s="14">
        <f t="shared" si="42"/>
        <v>28700</v>
      </c>
      <c r="AN60" s="26">
        <f t="shared" si="43"/>
        <v>32506.49</v>
      </c>
      <c r="AO60" s="92">
        <f t="shared" si="44"/>
        <v>3806.4900000000016</v>
      </c>
      <c r="AP60" s="186">
        <f t="shared" si="45"/>
        <v>0.13263031358885022</v>
      </c>
    </row>
    <row r="61" spans="1:42" x14ac:dyDescent="0.25">
      <c r="A61" s="13" t="s">
        <v>34</v>
      </c>
      <c r="B61" s="131" t="s">
        <v>1426</v>
      </c>
      <c r="C61" s="156">
        <f>SUMIF('TB - Expense Data'!$G$3:$G$757,B61,'TB - Expense Data'!$J$3:$J$757)</f>
        <v>224528</v>
      </c>
      <c r="D61" s="14">
        <f t="shared" si="23"/>
        <v>112264</v>
      </c>
      <c r="E61" s="26">
        <f>SUMIF('TB - Expense Data'!$G$3:$G$757,B61,'TB - Expense Data'!$N$3:$N$757)</f>
        <v>92974.16</v>
      </c>
      <c r="F61" s="92">
        <f t="shared" si="24"/>
        <v>-19289.839999999997</v>
      </c>
      <c r="G61" s="186">
        <f t="shared" si="25"/>
        <v>-0.1718256965723651</v>
      </c>
      <c r="H61" s="131" t="s">
        <v>1427</v>
      </c>
      <c r="I61" s="156">
        <f>SUMIF('TB - Expense Data'!$G$3:$G$757,H61,'TB - Expense Data'!$J$3:$J$757)</f>
        <v>114692</v>
      </c>
      <c r="J61" s="14">
        <f t="shared" si="26"/>
        <v>57346</v>
      </c>
      <c r="K61" s="26">
        <f>SUMIF('TB - Expense Data'!$G$3:$G$757,H61,'TB - Expense Data'!$N$3:$N$757)</f>
        <v>48012.219999999994</v>
      </c>
      <c r="L61" s="92">
        <f t="shared" si="27"/>
        <v>-9333.7800000000061</v>
      </c>
      <c r="M61" s="186">
        <f t="shared" si="28"/>
        <v>-0.1627625292086633</v>
      </c>
      <c r="N61" s="131" t="s">
        <v>1428</v>
      </c>
      <c r="O61" s="156">
        <f>SUMIF('TB - Expense Data'!$G$3:$G$757,N61,'TB - Expense Data'!$J$3:$J$757)</f>
        <v>1046202</v>
      </c>
      <c r="P61" s="14">
        <f t="shared" si="29"/>
        <v>523101</v>
      </c>
      <c r="Q61" s="26">
        <f>SUMIF('TB - Expense Data'!$G$3:$G$757,N61,'TB - Expense Data'!$N$3:$N$757)</f>
        <v>435714.77</v>
      </c>
      <c r="R61" s="92">
        <f t="shared" si="30"/>
        <v>-87386.229999999981</v>
      </c>
      <c r="S61" s="186">
        <f t="shared" si="31"/>
        <v>-0.16705422088659738</v>
      </c>
      <c r="T61" s="131" t="s">
        <v>1429</v>
      </c>
      <c r="U61" s="156">
        <f>SUMIF('TB - Expense Data'!$G$3:$G$757,T61,'TB - Expense Data'!$J$3:$J$757)</f>
        <v>421423</v>
      </c>
      <c r="V61" s="14">
        <f t="shared" si="32"/>
        <v>210711.5</v>
      </c>
      <c r="W61" s="26">
        <f>SUMIF('TB - Expense Data'!$G$3:$G$757,T61,'TB - Expense Data'!$N$3:$N$757)</f>
        <v>174540.4</v>
      </c>
      <c r="X61" s="92">
        <f t="shared" si="33"/>
        <v>-36171.100000000006</v>
      </c>
      <c r="Y61" s="186">
        <f t="shared" si="34"/>
        <v>-0.17166172705334073</v>
      </c>
      <c r="Z61" s="131" t="s">
        <v>1430</v>
      </c>
      <c r="AA61" s="156">
        <f>SUMIF('TB - Expense Data'!$G$3:$G$757,Z61,'TB - Expense Data'!$J$3:$J$757)</f>
        <v>246368</v>
      </c>
      <c r="AB61" s="14">
        <f t="shared" si="35"/>
        <v>123184</v>
      </c>
      <c r="AC61" s="26">
        <f>SUMIF('TB - Expense Data'!$G$3:$G$757,Z61,'TB - Expense Data'!$N$3:$N$757)</f>
        <v>102653.22</v>
      </c>
      <c r="AD61" s="92">
        <f t="shared" si="36"/>
        <v>-20530.78</v>
      </c>
      <c r="AE61" s="186">
        <f t="shared" si="37"/>
        <v>-0.16666758669957135</v>
      </c>
      <c r="AF61" s="131" t="s">
        <v>979</v>
      </c>
      <c r="AG61" s="156">
        <f>SUMIF('TB - Expense Data'!$G$3:$G$757,AF61,'TB - Expense Data'!$J$3:$J$757)</f>
        <v>0</v>
      </c>
      <c r="AH61" s="14">
        <f t="shared" si="38"/>
        <v>0</v>
      </c>
      <c r="AI61" s="26">
        <f>SUMIF('TB - Expense Data'!$G$3:$G$757,AF61,'TB - Expense Data'!$N$3:$N$757)</f>
        <v>0</v>
      </c>
      <c r="AJ61" s="92">
        <f t="shared" si="39"/>
        <v>0</v>
      </c>
      <c r="AK61" s="186" t="str">
        <f t="shared" si="40"/>
        <v xml:space="preserve">-    </v>
      </c>
      <c r="AL61" s="156">
        <f t="shared" si="41"/>
        <v>2053213</v>
      </c>
      <c r="AM61" s="14">
        <f t="shared" si="42"/>
        <v>1026606.5</v>
      </c>
      <c r="AN61" s="26">
        <f t="shared" si="43"/>
        <v>853894.77</v>
      </c>
      <c r="AO61" s="92">
        <f t="shared" si="44"/>
        <v>-172711.72999999998</v>
      </c>
      <c r="AP61" s="186">
        <f t="shared" si="45"/>
        <v>-0.16823557029884378</v>
      </c>
    </row>
    <row r="62" spans="1:42" hidden="1" outlineLevel="1" x14ac:dyDescent="0.25">
      <c r="A62" s="13" t="s">
        <v>1088</v>
      </c>
      <c r="B62" s="131" t="s">
        <v>1400</v>
      </c>
      <c r="C62" s="156">
        <f>SUMIF('TB - Expense Data'!$G$3:$G$757,B62,'TB - Expense Data'!$J$3:$J$757)</f>
        <v>0</v>
      </c>
      <c r="D62" s="14">
        <f t="shared" si="23"/>
        <v>0</v>
      </c>
      <c r="E62" s="26">
        <f>SUMIF('TB - Expense Data'!$G$3:$G$757,B62,'TB - Expense Data'!$N$3:$N$757)</f>
        <v>0</v>
      </c>
      <c r="F62" s="92">
        <f t="shared" si="24"/>
        <v>0</v>
      </c>
      <c r="G62" s="186" t="str">
        <f t="shared" si="25"/>
        <v xml:space="preserve">-    </v>
      </c>
      <c r="H62" s="131" t="s">
        <v>1401</v>
      </c>
      <c r="I62" s="156">
        <f>SUMIF('TB - Expense Data'!$G$3:$G$757,H62,'TB - Expense Data'!$J$3:$J$757)</f>
        <v>0</v>
      </c>
      <c r="J62" s="14">
        <f t="shared" si="26"/>
        <v>0</v>
      </c>
      <c r="K62" s="26">
        <f>SUMIF('TB - Expense Data'!$G$3:$G$757,H62,'TB - Expense Data'!$N$3:$N$757)</f>
        <v>0</v>
      </c>
      <c r="L62" s="92">
        <f t="shared" si="27"/>
        <v>0</v>
      </c>
      <c r="M62" s="186" t="str">
        <f t="shared" si="28"/>
        <v xml:space="preserve">-    </v>
      </c>
      <c r="N62" s="131" t="s">
        <v>1402</v>
      </c>
      <c r="O62" s="156">
        <f>SUMIF('TB - Expense Data'!$G$3:$G$757,N62,'TB - Expense Data'!$J$3:$J$757)</f>
        <v>0</v>
      </c>
      <c r="P62" s="14">
        <f t="shared" si="29"/>
        <v>0</v>
      </c>
      <c r="Q62" s="26">
        <f>SUMIF('TB - Expense Data'!$G$3:$G$757,N62,'TB - Expense Data'!$N$3:$N$757)</f>
        <v>0</v>
      </c>
      <c r="R62" s="92">
        <f t="shared" si="30"/>
        <v>0</v>
      </c>
      <c r="S62" s="186" t="str">
        <f t="shared" si="31"/>
        <v xml:space="preserve">-    </v>
      </c>
      <c r="T62" s="131" t="s">
        <v>1403</v>
      </c>
      <c r="U62" s="156">
        <f>SUMIF('TB - Expense Data'!$G$3:$G$757,T62,'TB - Expense Data'!$J$3:$J$757)</f>
        <v>0</v>
      </c>
      <c r="V62" s="14">
        <f t="shared" si="32"/>
        <v>0</v>
      </c>
      <c r="W62" s="26">
        <f>SUMIF('TB - Expense Data'!$G$3:$G$757,T62,'TB - Expense Data'!$N$3:$N$757)</f>
        <v>0</v>
      </c>
      <c r="X62" s="92">
        <f t="shared" si="33"/>
        <v>0</v>
      </c>
      <c r="Y62" s="186" t="str">
        <f t="shared" si="34"/>
        <v xml:space="preserve">-    </v>
      </c>
      <c r="Z62" s="131" t="s">
        <v>979</v>
      </c>
      <c r="AA62" s="156">
        <f>SUMIF('TB - Expense Data'!$G$3:$G$757,Z62,'TB - Expense Data'!$J$3:$J$757)</f>
        <v>0</v>
      </c>
      <c r="AB62" s="14">
        <f t="shared" si="35"/>
        <v>0</v>
      </c>
      <c r="AC62" s="26">
        <f>SUMIF('TB - Expense Data'!$G$3:$G$757,Z62,'TB - Expense Data'!$N$3:$N$757)</f>
        <v>0</v>
      </c>
      <c r="AD62" s="92">
        <f t="shared" si="36"/>
        <v>0</v>
      </c>
      <c r="AE62" s="186" t="str">
        <f t="shared" si="37"/>
        <v xml:space="preserve">-    </v>
      </c>
      <c r="AF62" s="131" t="s">
        <v>979</v>
      </c>
      <c r="AG62" s="156">
        <f>SUMIF('TB - Expense Data'!$G$3:$G$757,AF62,'TB - Expense Data'!$J$3:$J$757)</f>
        <v>0</v>
      </c>
      <c r="AH62" s="14">
        <f t="shared" si="38"/>
        <v>0</v>
      </c>
      <c r="AI62" s="26">
        <f>SUMIF('TB - Expense Data'!$G$3:$G$757,AF62,'TB - Expense Data'!$N$3:$N$757)</f>
        <v>0</v>
      </c>
      <c r="AJ62" s="92">
        <f t="shared" si="39"/>
        <v>0</v>
      </c>
      <c r="AK62" s="186" t="str">
        <f t="shared" si="40"/>
        <v xml:space="preserve">-    </v>
      </c>
      <c r="AL62" s="156">
        <f t="shared" si="41"/>
        <v>0</v>
      </c>
      <c r="AM62" s="14">
        <f t="shared" si="42"/>
        <v>0</v>
      </c>
      <c r="AN62" s="26">
        <f t="shared" si="43"/>
        <v>0</v>
      </c>
      <c r="AO62" s="92">
        <f t="shared" si="44"/>
        <v>0</v>
      </c>
      <c r="AP62" s="186" t="str">
        <f t="shared" si="45"/>
        <v xml:space="preserve">-    </v>
      </c>
    </row>
    <row r="63" spans="1:42" collapsed="1" x14ac:dyDescent="0.25">
      <c r="A63" s="13" t="s">
        <v>1420</v>
      </c>
      <c r="B63" s="131" t="s">
        <v>1418</v>
      </c>
      <c r="C63" s="156">
        <f>SUMIF('TB - Expense Data'!$G$3:$G$757,B63,'TB - Expense Data'!$J$3:$J$757)</f>
        <v>67500</v>
      </c>
      <c r="D63" s="14">
        <f t="shared" si="23"/>
        <v>33750</v>
      </c>
      <c r="E63" s="26">
        <f>SUMIF('TB - Expense Data'!$G$3:$G$757,B63,'TB - Expense Data'!$N$3:$N$757)</f>
        <v>23367.1</v>
      </c>
      <c r="F63" s="92">
        <f t="shared" si="24"/>
        <v>-10382.900000000001</v>
      </c>
      <c r="G63" s="186">
        <f t="shared" si="25"/>
        <v>-0.30764148148148152</v>
      </c>
      <c r="H63" s="131" t="s">
        <v>979</v>
      </c>
      <c r="I63" s="156">
        <f>SUMIF('TB - Expense Data'!$G$3:$G$757,H63,'TB - Expense Data'!$J$3:$J$757)</f>
        <v>0</v>
      </c>
      <c r="J63" s="14">
        <f t="shared" si="26"/>
        <v>0</v>
      </c>
      <c r="K63" s="26">
        <f>SUMIF('TB - Expense Data'!$G$3:$G$757,H63,'TB - Expense Data'!$N$3:$N$757)</f>
        <v>0</v>
      </c>
      <c r="L63" s="92">
        <f t="shared" si="27"/>
        <v>0</v>
      </c>
      <c r="M63" s="186" t="str">
        <f t="shared" si="28"/>
        <v xml:space="preserve">-    </v>
      </c>
      <c r="N63" s="131" t="s">
        <v>1419</v>
      </c>
      <c r="O63" s="156">
        <f>SUMIF('TB - Expense Data'!$G$3:$G$757,N63,'TB - Expense Data'!$J$3:$J$757)</f>
        <v>40725</v>
      </c>
      <c r="P63" s="14">
        <f t="shared" si="29"/>
        <v>20362.5</v>
      </c>
      <c r="Q63" s="26">
        <f>SUMIF('TB - Expense Data'!$G$3:$G$757,N63,'TB - Expense Data'!$N$3:$N$757)</f>
        <v>31752.560000000001</v>
      </c>
      <c r="R63" s="92">
        <f t="shared" si="30"/>
        <v>11390.060000000001</v>
      </c>
      <c r="S63" s="186">
        <f t="shared" si="31"/>
        <v>0.55936451810926957</v>
      </c>
      <c r="T63" s="131" t="s">
        <v>979</v>
      </c>
      <c r="U63" s="156">
        <f>SUMIF('TB - Expense Data'!$G$3:$G$757,T63,'TB - Expense Data'!$J$3:$J$757)</f>
        <v>0</v>
      </c>
      <c r="V63" s="14">
        <f t="shared" si="32"/>
        <v>0</v>
      </c>
      <c r="W63" s="26">
        <f>SUMIF('TB - Expense Data'!$G$3:$G$757,T63,'TB - Expense Data'!$N$3:$N$757)</f>
        <v>0</v>
      </c>
      <c r="X63" s="92">
        <f t="shared" si="33"/>
        <v>0</v>
      </c>
      <c r="Y63" s="186" t="str">
        <f t="shared" si="34"/>
        <v xml:space="preserve">-    </v>
      </c>
      <c r="Z63" s="131" t="s">
        <v>979</v>
      </c>
      <c r="AA63" s="156">
        <f>SUMIF('TB - Expense Data'!$G$3:$G$757,Z63,'TB - Expense Data'!$J$3:$J$757)</f>
        <v>0</v>
      </c>
      <c r="AB63" s="14">
        <f t="shared" si="35"/>
        <v>0</v>
      </c>
      <c r="AC63" s="26">
        <f>SUMIF('TB - Expense Data'!$G$3:$G$757,Z63,'TB - Expense Data'!$N$3:$N$757)</f>
        <v>0</v>
      </c>
      <c r="AD63" s="92">
        <f t="shared" si="36"/>
        <v>0</v>
      </c>
      <c r="AE63" s="186" t="str">
        <f t="shared" si="37"/>
        <v xml:space="preserve">-    </v>
      </c>
      <c r="AF63" s="131" t="s">
        <v>979</v>
      </c>
      <c r="AG63" s="156">
        <f>SUMIF('TB - Expense Data'!$G$3:$G$757,AF63,'TB - Expense Data'!$J$3:$J$757)</f>
        <v>0</v>
      </c>
      <c r="AH63" s="14">
        <f t="shared" si="38"/>
        <v>0</v>
      </c>
      <c r="AI63" s="26">
        <f>SUMIF('TB - Expense Data'!$G$3:$G$757,AF63,'TB - Expense Data'!$N$3:$N$757)</f>
        <v>0</v>
      </c>
      <c r="AJ63" s="92">
        <f t="shared" si="39"/>
        <v>0</v>
      </c>
      <c r="AK63" s="186" t="str">
        <f t="shared" si="40"/>
        <v xml:space="preserve">-    </v>
      </c>
      <c r="AL63" s="156">
        <f t="shared" si="41"/>
        <v>108225</v>
      </c>
      <c r="AM63" s="14">
        <f t="shared" si="42"/>
        <v>54112.5</v>
      </c>
      <c r="AN63" s="26">
        <f t="shared" si="43"/>
        <v>55119.66</v>
      </c>
      <c r="AO63" s="92">
        <f t="shared" si="44"/>
        <v>1007.1600000000035</v>
      </c>
      <c r="AP63" s="186">
        <f t="shared" si="45"/>
        <v>1.8612335412335475E-2</v>
      </c>
    </row>
    <row r="64" spans="1:42" x14ac:dyDescent="0.25">
      <c r="A64" s="13" t="s">
        <v>58</v>
      </c>
      <c r="B64" s="131" t="s">
        <v>1421</v>
      </c>
      <c r="C64" s="156">
        <f>SUMIF('TB - Expense Data'!$G$3:$G$757,B64,'TB - Expense Data'!$J$3:$J$757)</f>
        <v>16330</v>
      </c>
      <c r="D64" s="14">
        <f t="shared" si="23"/>
        <v>8165</v>
      </c>
      <c r="E64" s="26">
        <f>SUMIF('TB - Expense Data'!$G$3:$G$757,B64,'TB - Expense Data'!$N$3:$N$757)</f>
        <v>4509.7700000000004</v>
      </c>
      <c r="F64" s="92">
        <f t="shared" si="24"/>
        <v>-3655.2299999999996</v>
      </c>
      <c r="G64" s="186">
        <f t="shared" si="25"/>
        <v>-0.44767054500918552</v>
      </c>
      <c r="H64" s="131" t="s">
        <v>979</v>
      </c>
      <c r="I64" s="156">
        <f>SUMIF('TB - Expense Data'!$G$3:$G$757,H64,'TB - Expense Data'!$J$3:$J$757)</f>
        <v>0</v>
      </c>
      <c r="J64" s="14">
        <f t="shared" si="26"/>
        <v>0</v>
      </c>
      <c r="K64" s="26">
        <f>SUMIF('TB - Expense Data'!$G$3:$G$757,H64,'TB - Expense Data'!$N$3:$N$757)</f>
        <v>0</v>
      </c>
      <c r="L64" s="92">
        <f t="shared" si="27"/>
        <v>0</v>
      </c>
      <c r="M64" s="186" t="str">
        <f t="shared" si="28"/>
        <v xml:space="preserve">-    </v>
      </c>
      <c r="N64" s="131" t="s">
        <v>1422</v>
      </c>
      <c r="O64" s="156">
        <f>SUMIF('TB - Expense Data'!$G$3:$G$757,N64,'TB - Expense Data'!$J$3:$J$757)</f>
        <v>15750</v>
      </c>
      <c r="P64" s="14">
        <f t="shared" si="29"/>
        <v>7875</v>
      </c>
      <c r="Q64" s="26">
        <f>SUMIF('TB - Expense Data'!$G$3:$G$757,N64,'TB - Expense Data'!$N$3:$N$757)</f>
        <v>4933.53</v>
      </c>
      <c r="R64" s="92">
        <f t="shared" si="30"/>
        <v>-2941.4700000000003</v>
      </c>
      <c r="S64" s="186">
        <f t="shared" si="31"/>
        <v>-0.37352000000000002</v>
      </c>
      <c r="T64" s="131"/>
      <c r="U64" s="156">
        <f>SUMIF('TB - Expense Data'!$G$3:$G$757,T64,'TB - Expense Data'!$J$3:$J$757)</f>
        <v>0</v>
      </c>
      <c r="V64" s="14">
        <f t="shared" si="32"/>
        <v>0</v>
      </c>
      <c r="W64" s="26">
        <f>SUMIF('TB - Expense Data'!$G$3:$G$757,T64,'TB - Expense Data'!$N$3:$N$757)</f>
        <v>0</v>
      </c>
      <c r="X64" s="92">
        <f t="shared" si="33"/>
        <v>0</v>
      </c>
      <c r="Y64" s="186" t="str">
        <f t="shared" si="34"/>
        <v xml:space="preserve">-    </v>
      </c>
      <c r="Z64" s="131" t="s">
        <v>979</v>
      </c>
      <c r="AA64" s="156">
        <f>SUMIF('TB - Expense Data'!$G$3:$G$757,Z64,'TB - Expense Data'!$J$3:$J$757)</f>
        <v>0</v>
      </c>
      <c r="AB64" s="14">
        <f t="shared" si="35"/>
        <v>0</v>
      </c>
      <c r="AC64" s="26">
        <f>SUMIF('TB - Expense Data'!$G$3:$G$757,Z64,'TB - Expense Data'!$N$3:$N$757)</f>
        <v>0</v>
      </c>
      <c r="AD64" s="92">
        <f t="shared" si="36"/>
        <v>0</v>
      </c>
      <c r="AE64" s="186" t="str">
        <f t="shared" si="37"/>
        <v xml:space="preserve">-    </v>
      </c>
      <c r="AF64" s="131" t="s">
        <v>979</v>
      </c>
      <c r="AG64" s="156">
        <f>SUMIF('TB - Expense Data'!$G$3:$G$757,AF64,'TB - Expense Data'!$J$3:$J$757)</f>
        <v>0</v>
      </c>
      <c r="AH64" s="14">
        <f t="shared" si="38"/>
        <v>0</v>
      </c>
      <c r="AI64" s="26">
        <f>SUMIF('TB - Expense Data'!$G$3:$G$757,AF64,'TB - Expense Data'!$N$3:$N$757)</f>
        <v>0</v>
      </c>
      <c r="AJ64" s="92">
        <f t="shared" si="39"/>
        <v>0</v>
      </c>
      <c r="AK64" s="186" t="str">
        <f t="shared" si="40"/>
        <v xml:space="preserve">-    </v>
      </c>
      <c r="AL64" s="156">
        <f t="shared" si="41"/>
        <v>32080</v>
      </c>
      <c r="AM64" s="14">
        <f t="shared" si="42"/>
        <v>16040</v>
      </c>
      <c r="AN64" s="26">
        <f t="shared" si="43"/>
        <v>9443.2999999999993</v>
      </c>
      <c r="AO64" s="92">
        <f t="shared" si="44"/>
        <v>-6596.7000000000007</v>
      </c>
      <c r="AP64" s="186">
        <f t="shared" si="45"/>
        <v>-0.41126558603491276</v>
      </c>
    </row>
    <row r="65" spans="1:42" x14ac:dyDescent="0.25">
      <c r="A65" s="13" t="s">
        <v>186</v>
      </c>
      <c r="B65" s="131" t="s">
        <v>1404</v>
      </c>
      <c r="C65" s="156">
        <f>SUMIF('TB - Expense Data'!$G$3:$G$757,B65,'TB - Expense Data'!$J$3:$J$757)</f>
        <v>5220</v>
      </c>
      <c r="D65" s="14">
        <f t="shared" si="23"/>
        <v>2610</v>
      </c>
      <c r="E65" s="26">
        <f>SUMIF('TB - Expense Data'!$G$3:$G$757,B65,'TB - Expense Data'!$N$3:$N$757)</f>
        <v>0</v>
      </c>
      <c r="F65" s="92">
        <f t="shared" si="24"/>
        <v>-2610</v>
      </c>
      <c r="G65" s="186">
        <f t="shared" si="25"/>
        <v>-1</v>
      </c>
      <c r="H65" s="131" t="s">
        <v>1405</v>
      </c>
      <c r="I65" s="156">
        <f>SUMIF('TB - Expense Data'!$G$3:$G$757,H65,'TB - Expense Data'!$J$3:$J$757)</f>
        <v>1440</v>
      </c>
      <c r="J65" s="14">
        <f t="shared" si="26"/>
        <v>720</v>
      </c>
      <c r="K65" s="26">
        <f>SUMIF('TB - Expense Data'!$G$3:$G$757,H65,'TB - Expense Data'!$N$3:$N$757)</f>
        <v>0</v>
      </c>
      <c r="L65" s="92">
        <f t="shared" si="27"/>
        <v>-720</v>
      </c>
      <c r="M65" s="186">
        <f t="shared" si="28"/>
        <v>-1</v>
      </c>
      <c r="N65" s="131" t="s">
        <v>1406</v>
      </c>
      <c r="O65" s="156">
        <f>SUMIF('TB - Expense Data'!$G$3:$G$757,N65,'TB - Expense Data'!$J$3:$J$757)</f>
        <v>9360</v>
      </c>
      <c r="P65" s="14">
        <f t="shared" si="29"/>
        <v>4680</v>
      </c>
      <c r="Q65" s="26">
        <f>SUMIF('TB - Expense Data'!$G$3:$G$757,N65,'TB - Expense Data'!$N$3:$N$757)</f>
        <v>0</v>
      </c>
      <c r="R65" s="92">
        <f t="shared" si="30"/>
        <v>-4680</v>
      </c>
      <c r="S65" s="186">
        <f t="shared" si="31"/>
        <v>-1</v>
      </c>
      <c r="T65" s="131" t="s">
        <v>1407</v>
      </c>
      <c r="U65" s="156">
        <f>SUMIF('TB - Expense Data'!$G$3:$G$757,T65,'TB - Expense Data'!$J$3:$J$757)</f>
        <v>1980</v>
      </c>
      <c r="V65" s="14">
        <f t="shared" si="32"/>
        <v>990</v>
      </c>
      <c r="W65" s="26">
        <f>SUMIF('TB - Expense Data'!$G$3:$G$757,T65,'TB - Expense Data'!$N$3:$N$757)</f>
        <v>0</v>
      </c>
      <c r="X65" s="92">
        <f t="shared" si="33"/>
        <v>-990</v>
      </c>
      <c r="Y65" s="186">
        <f t="shared" si="34"/>
        <v>-1</v>
      </c>
      <c r="Z65" s="131" t="s">
        <v>979</v>
      </c>
      <c r="AA65" s="156">
        <f>SUMIF('TB - Expense Data'!$G$3:$G$757,Z65,'TB - Expense Data'!$J$3:$J$757)</f>
        <v>0</v>
      </c>
      <c r="AB65" s="14">
        <f t="shared" si="35"/>
        <v>0</v>
      </c>
      <c r="AC65" s="26">
        <f>SUMIF('TB - Expense Data'!$G$3:$G$757,Z65,'TB - Expense Data'!$N$3:$N$757)</f>
        <v>0</v>
      </c>
      <c r="AD65" s="92">
        <f t="shared" si="36"/>
        <v>0</v>
      </c>
      <c r="AE65" s="186" t="str">
        <f t="shared" si="37"/>
        <v xml:space="preserve">-    </v>
      </c>
      <c r="AF65" s="131" t="s">
        <v>979</v>
      </c>
      <c r="AG65" s="156">
        <f>SUMIF('TB - Expense Data'!$G$3:$G$757,AF65,'TB - Expense Data'!$J$3:$J$757)</f>
        <v>0</v>
      </c>
      <c r="AH65" s="14">
        <f t="shared" si="38"/>
        <v>0</v>
      </c>
      <c r="AI65" s="26">
        <f>SUMIF('TB - Expense Data'!$G$3:$G$757,AF65,'TB - Expense Data'!$N$3:$N$757)</f>
        <v>0</v>
      </c>
      <c r="AJ65" s="92">
        <f t="shared" si="39"/>
        <v>0</v>
      </c>
      <c r="AK65" s="186" t="str">
        <f t="shared" si="40"/>
        <v xml:space="preserve">-    </v>
      </c>
      <c r="AL65" s="156">
        <f t="shared" si="41"/>
        <v>18000</v>
      </c>
      <c r="AM65" s="14">
        <f t="shared" si="42"/>
        <v>9000</v>
      </c>
      <c r="AN65" s="26">
        <f t="shared" si="43"/>
        <v>0</v>
      </c>
      <c r="AO65" s="92">
        <f t="shared" si="44"/>
        <v>-9000</v>
      </c>
      <c r="AP65" s="186">
        <f t="shared" si="45"/>
        <v>-1</v>
      </c>
    </row>
    <row r="66" spans="1:42" x14ac:dyDescent="0.25">
      <c r="A66" s="13" t="s">
        <v>175</v>
      </c>
      <c r="B66" s="131" t="s">
        <v>979</v>
      </c>
      <c r="C66" s="156">
        <f>SUMIF('TB - Expense Data'!$G$3:$G$757,B66,'TB - Expense Data'!$J$3:$J$757)</f>
        <v>0</v>
      </c>
      <c r="D66" s="14">
        <f t="shared" si="23"/>
        <v>0</v>
      </c>
      <c r="E66" s="26">
        <f>SUMIF('TB - Expense Data'!$G$3:$G$757,B66,'TB - Expense Data'!$N$3:$N$757)</f>
        <v>0</v>
      </c>
      <c r="F66" s="92">
        <f t="shared" si="24"/>
        <v>0</v>
      </c>
      <c r="G66" s="186" t="str">
        <f t="shared" si="25"/>
        <v xml:space="preserve">-    </v>
      </c>
      <c r="H66" s="131" t="s">
        <v>979</v>
      </c>
      <c r="I66" s="156">
        <f>SUMIF('TB - Expense Data'!$G$3:$G$757,H66,'TB - Expense Data'!$J$3:$J$757)</f>
        <v>0</v>
      </c>
      <c r="J66" s="14">
        <f t="shared" si="26"/>
        <v>0</v>
      </c>
      <c r="K66" s="26">
        <f>SUMIF('TB - Expense Data'!$G$3:$G$757,H66,'TB - Expense Data'!$N$3:$N$757)</f>
        <v>0</v>
      </c>
      <c r="L66" s="92">
        <f t="shared" si="27"/>
        <v>0</v>
      </c>
      <c r="M66" s="186" t="str">
        <f t="shared" si="28"/>
        <v xml:space="preserve">-    </v>
      </c>
      <c r="N66" s="131" t="s">
        <v>1408</v>
      </c>
      <c r="O66" s="156">
        <f>SUMIF('TB - Expense Data'!$G$3:$G$757,N66,'TB - Expense Data'!$J$3:$J$757)</f>
        <v>270000</v>
      </c>
      <c r="P66" s="14">
        <f t="shared" si="29"/>
        <v>135000</v>
      </c>
      <c r="Q66" s="26">
        <f>SUMIF('TB - Expense Data'!$G$3:$G$757,N66,'TB - Expense Data'!$N$3:$N$757)</f>
        <v>138650.09</v>
      </c>
      <c r="R66" s="92">
        <f t="shared" si="30"/>
        <v>3650.0899999999965</v>
      </c>
      <c r="S66" s="186">
        <f t="shared" si="31"/>
        <v>2.7037703703703678E-2</v>
      </c>
      <c r="T66" s="131" t="s">
        <v>1416</v>
      </c>
      <c r="U66" s="156">
        <f>SUMIF('TB - Expense Data'!$G$3:$G$757,T66,'TB - Expense Data'!$J$3:$J$757)</f>
        <v>13000</v>
      </c>
      <c r="V66" s="14">
        <f t="shared" si="32"/>
        <v>6500</v>
      </c>
      <c r="W66" s="26">
        <f>SUMIF('TB - Expense Data'!$G$3:$G$757,T66,'TB - Expense Data'!$N$3:$N$757)</f>
        <v>7639.73</v>
      </c>
      <c r="X66" s="92">
        <f t="shared" si="33"/>
        <v>1139.7299999999996</v>
      </c>
      <c r="Y66" s="186">
        <f t="shared" si="34"/>
        <v>0.17534307692307685</v>
      </c>
      <c r="Z66" s="131" t="s">
        <v>979</v>
      </c>
      <c r="AA66" s="156">
        <f>SUMIF('TB - Expense Data'!$G$3:$G$757,Z66,'TB - Expense Data'!$J$3:$J$757)</f>
        <v>0</v>
      </c>
      <c r="AB66" s="14">
        <f t="shared" si="35"/>
        <v>0</v>
      </c>
      <c r="AC66" s="26">
        <f>SUMIF('TB - Expense Data'!$G$3:$G$757,Z66,'TB - Expense Data'!$N$3:$N$757)</f>
        <v>0</v>
      </c>
      <c r="AD66" s="92">
        <f t="shared" si="36"/>
        <v>0</v>
      </c>
      <c r="AE66" s="186" t="str">
        <f t="shared" si="37"/>
        <v xml:space="preserve">-    </v>
      </c>
      <c r="AF66" s="131" t="s">
        <v>979</v>
      </c>
      <c r="AG66" s="156">
        <f>SUMIF('TB - Expense Data'!$G$3:$G$757,AF66,'TB - Expense Data'!$J$3:$J$757)</f>
        <v>0</v>
      </c>
      <c r="AH66" s="14">
        <f t="shared" si="38"/>
        <v>0</v>
      </c>
      <c r="AI66" s="26">
        <f>SUMIF('TB - Expense Data'!$G$3:$G$757,AF66,'TB - Expense Data'!$N$3:$N$757)</f>
        <v>0</v>
      </c>
      <c r="AJ66" s="92">
        <f t="shared" si="39"/>
        <v>0</v>
      </c>
      <c r="AK66" s="186" t="str">
        <f t="shared" si="40"/>
        <v xml:space="preserve">-    </v>
      </c>
      <c r="AL66" s="156">
        <f t="shared" si="41"/>
        <v>283000</v>
      </c>
      <c r="AM66" s="14">
        <f t="shared" si="42"/>
        <v>141500</v>
      </c>
      <c r="AN66" s="26">
        <f t="shared" si="43"/>
        <v>146289.82</v>
      </c>
      <c r="AO66" s="92">
        <f t="shared" si="44"/>
        <v>4789.820000000007</v>
      </c>
      <c r="AP66" s="186">
        <f t="shared" si="45"/>
        <v>3.3850318021201461E-2</v>
      </c>
    </row>
    <row r="67" spans="1:42" x14ac:dyDescent="0.25">
      <c r="A67" s="13" t="s">
        <v>176</v>
      </c>
      <c r="B67" s="131" t="s">
        <v>979</v>
      </c>
      <c r="C67" s="156">
        <f>SUMIF('TB - Expense Data'!$G$3:$G$757,B67,'TB - Expense Data'!$J$3:$J$757)</f>
        <v>0</v>
      </c>
      <c r="D67" s="14">
        <f t="shared" si="23"/>
        <v>0</v>
      </c>
      <c r="E67" s="26">
        <f>SUMIF('TB - Expense Data'!$G$3:$G$757,B67,'TB - Expense Data'!$N$3:$N$757)</f>
        <v>0</v>
      </c>
      <c r="F67" s="92">
        <f t="shared" si="24"/>
        <v>0</v>
      </c>
      <c r="G67" s="186" t="str">
        <f t="shared" si="25"/>
        <v xml:space="preserve">-    </v>
      </c>
      <c r="H67" s="131" t="s">
        <v>979</v>
      </c>
      <c r="I67" s="156">
        <f>SUMIF('TB - Expense Data'!$G$3:$G$757,H67,'TB - Expense Data'!$J$3:$J$757)</f>
        <v>0</v>
      </c>
      <c r="J67" s="14">
        <f t="shared" si="26"/>
        <v>0</v>
      </c>
      <c r="K67" s="26">
        <f>SUMIF('TB - Expense Data'!$G$3:$G$757,H67,'TB - Expense Data'!$N$3:$N$757)</f>
        <v>0</v>
      </c>
      <c r="L67" s="92">
        <f t="shared" si="27"/>
        <v>0</v>
      </c>
      <c r="M67" s="186" t="str">
        <f t="shared" si="28"/>
        <v xml:space="preserve">-    </v>
      </c>
      <c r="N67" s="131" t="s">
        <v>1409</v>
      </c>
      <c r="O67" s="156">
        <f>SUMIF('TB - Expense Data'!$G$3:$G$757,N67,'TB - Expense Data'!$J$3:$J$757)</f>
        <v>25000</v>
      </c>
      <c r="P67" s="14">
        <f t="shared" si="29"/>
        <v>12500</v>
      </c>
      <c r="Q67" s="26">
        <f>SUMIF('TB - Expense Data'!$G$3:$G$757,N67,'TB - Expense Data'!$N$3:$N$757)</f>
        <v>25000</v>
      </c>
      <c r="R67" s="92">
        <f t="shared" si="30"/>
        <v>12500</v>
      </c>
      <c r="S67" s="186">
        <f t="shared" si="31"/>
        <v>1</v>
      </c>
      <c r="T67" s="131" t="s">
        <v>979</v>
      </c>
      <c r="U67" s="156">
        <f>SUMIF('TB - Expense Data'!$G$3:$G$757,T67,'TB - Expense Data'!$J$3:$J$757)</f>
        <v>0</v>
      </c>
      <c r="V67" s="14">
        <f t="shared" si="32"/>
        <v>0</v>
      </c>
      <c r="W67" s="26">
        <f>SUMIF('TB - Expense Data'!$G$3:$G$757,T67,'TB - Expense Data'!$N$3:$N$757)</f>
        <v>0</v>
      </c>
      <c r="X67" s="92">
        <f t="shared" si="33"/>
        <v>0</v>
      </c>
      <c r="Y67" s="186" t="str">
        <f t="shared" si="34"/>
        <v xml:space="preserve">-    </v>
      </c>
      <c r="Z67" s="131" t="s">
        <v>979</v>
      </c>
      <c r="AA67" s="156">
        <f>SUMIF('TB - Expense Data'!$G$3:$G$757,Z67,'TB - Expense Data'!$J$3:$J$757)</f>
        <v>0</v>
      </c>
      <c r="AB67" s="14">
        <f t="shared" si="35"/>
        <v>0</v>
      </c>
      <c r="AC67" s="26">
        <f>SUMIF('TB - Expense Data'!$G$3:$G$757,Z67,'TB - Expense Data'!$N$3:$N$757)</f>
        <v>0</v>
      </c>
      <c r="AD67" s="92">
        <f t="shared" si="36"/>
        <v>0</v>
      </c>
      <c r="AE67" s="186" t="str">
        <f t="shared" si="37"/>
        <v xml:space="preserve">-    </v>
      </c>
      <c r="AF67" s="131" t="s">
        <v>979</v>
      </c>
      <c r="AG67" s="156">
        <f>SUMIF('TB - Expense Data'!$G$3:$G$757,AF67,'TB - Expense Data'!$J$3:$J$757)</f>
        <v>0</v>
      </c>
      <c r="AH67" s="14">
        <f t="shared" si="38"/>
        <v>0</v>
      </c>
      <c r="AI67" s="26">
        <f>SUMIF('TB - Expense Data'!$G$3:$G$757,AF67,'TB - Expense Data'!$N$3:$N$757)</f>
        <v>0</v>
      </c>
      <c r="AJ67" s="92">
        <f t="shared" si="39"/>
        <v>0</v>
      </c>
      <c r="AK67" s="186" t="str">
        <f t="shared" si="40"/>
        <v xml:space="preserve">-    </v>
      </c>
      <c r="AL67" s="156">
        <f t="shared" si="41"/>
        <v>25000</v>
      </c>
      <c r="AM67" s="14">
        <f t="shared" si="42"/>
        <v>12500</v>
      </c>
      <c r="AN67" s="26">
        <f t="shared" si="43"/>
        <v>25000</v>
      </c>
      <c r="AO67" s="92">
        <f t="shared" si="44"/>
        <v>12500</v>
      </c>
      <c r="AP67" s="186">
        <f t="shared" si="45"/>
        <v>1</v>
      </c>
    </row>
    <row r="68" spans="1:42" x14ac:dyDescent="0.25">
      <c r="A68" s="13" t="s">
        <v>177</v>
      </c>
      <c r="B68" s="131" t="s">
        <v>979</v>
      </c>
      <c r="C68" s="156">
        <f>SUMIF('TB - Expense Data'!$G$3:$G$757,B68,'TB - Expense Data'!$J$3:$J$757)</f>
        <v>0</v>
      </c>
      <c r="D68" s="14">
        <f t="shared" si="23"/>
        <v>0</v>
      </c>
      <c r="E68" s="26">
        <f>SUMIF('TB - Expense Data'!$G$3:$G$757,B68,'TB - Expense Data'!$N$3:$N$757)</f>
        <v>0</v>
      </c>
      <c r="F68" s="92">
        <f t="shared" si="24"/>
        <v>0</v>
      </c>
      <c r="G68" s="186" t="str">
        <f t="shared" si="25"/>
        <v xml:space="preserve">-    </v>
      </c>
      <c r="H68" s="131" t="s">
        <v>979</v>
      </c>
      <c r="I68" s="156">
        <f>SUMIF('TB - Expense Data'!$G$3:$G$757,H68,'TB - Expense Data'!$J$3:$J$757)</f>
        <v>0</v>
      </c>
      <c r="J68" s="14">
        <f t="shared" si="26"/>
        <v>0</v>
      </c>
      <c r="K68" s="26">
        <f>SUMIF('TB - Expense Data'!$G$3:$G$757,H68,'TB - Expense Data'!$N$3:$N$757)</f>
        <v>0</v>
      </c>
      <c r="L68" s="92">
        <f t="shared" si="27"/>
        <v>0</v>
      </c>
      <c r="M68" s="186" t="str">
        <f t="shared" si="28"/>
        <v xml:space="preserve">-    </v>
      </c>
      <c r="N68" s="131" t="s">
        <v>1410</v>
      </c>
      <c r="O68" s="156">
        <f>SUMIF('TB - Expense Data'!$G$3:$G$757,N68,'TB - Expense Data'!$J$3:$J$757)</f>
        <v>37000</v>
      </c>
      <c r="P68" s="14">
        <f t="shared" si="29"/>
        <v>18500</v>
      </c>
      <c r="Q68" s="26">
        <f>SUMIF('TB - Expense Data'!$G$3:$G$757,N68,'TB - Expense Data'!$N$3:$N$757)</f>
        <v>37000</v>
      </c>
      <c r="R68" s="92">
        <f t="shared" si="30"/>
        <v>18500</v>
      </c>
      <c r="S68" s="186">
        <f t="shared" si="31"/>
        <v>1</v>
      </c>
      <c r="T68" s="131" t="s">
        <v>979</v>
      </c>
      <c r="U68" s="156">
        <f>SUMIF('TB - Expense Data'!$G$3:$G$757,T68,'TB - Expense Data'!$J$3:$J$757)</f>
        <v>0</v>
      </c>
      <c r="V68" s="14">
        <f t="shared" si="32"/>
        <v>0</v>
      </c>
      <c r="W68" s="26">
        <f>SUMIF('TB - Expense Data'!$G$3:$G$757,T68,'TB - Expense Data'!$N$3:$N$757)</f>
        <v>0</v>
      </c>
      <c r="X68" s="92">
        <f t="shared" si="33"/>
        <v>0</v>
      </c>
      <c r="Y68" s="186" t="str">
        <f t="shared" si="34"/>
        <v xml:space="preserve">-    </v>
      </c>
      <c r="Z68" s="131" t="s">
        <v>979</v>
      </c>
      <c r="AA68" s="156">
        <f>SUMIF('TB - Expense Data'!$G$3:$G$757,Z68,'TB - Expense Data'!$J$3:$J$757)</f>
        <v>0</v>
      </c>
      <c r="AB68" s="14">
        <f t="shared" si="35"/>
        <v>0</v>
      </c>
      <c r="AC68" s="26">
        <f>SUMIF('TB - Expense Data'!$G$3:$G$757,Z68,'TB - Expense Data'!$N$3:$N$757)</f>
        <v>0</v>
      </c>
      <c r="AD68" s="92">
        <f t="shared" si="36"/>
        <v>0</v>
      </c>
      <c r="AE68" s="186" t="str">
        <f t="shared" si="37"/>
        <v xml:space="preserve">-    </v>
      </c>
      <c r="AF68" s="131" t="s">
        <v>979</v>
      </c>
      <c r="AG68" s="156">
        <f>SUMIF('TB - Expense Data'!$G$3:$G$757,AF68,'TB - Expense Data'!$J$3:$J$757)</f>
        <v>0</v>
      </c>
      <c r="AH68" s="14">
        <f t="shared" si="38"/>
        <v>0</v>
      </c>
      <c r="AI68" s="26">
        <f>SUMIF('TB - Expense Data'!$G$3:$G$757,AF68,'TB - Expense Data'!$N$3:$N$757)</f>
        <v>0</v>
      </c>
      <c r="AJ68" s="92">
        <f t="shared" si="39"/>
        <v>0</v>
      </c>
      <c r="AK68" s="186" t="str">
        <f t="shared" si="40"/>
        <v xml:space="preserve">-    </v>
      </c>
      <c r="AL68" s="156">
        <f t="shared" si="41"/>
        <v>37000</v>
      </c>
      <c r="AM68" s="14">
        <f t="shared" si="42"/>
        <v>18500</v>
      </c>
      <c r="AN68" s="26">
        <f t="shared" si="43"/>
        <v>37000</v>
      </c>
      <c r="AO68" s="92">
        <f t="shared" si="44"/>
        <v>18500</v>
      </c>
      <c r="AP68" s="186">
        <f t="shared" si="45"/>
        <v>1</v>
      </c>
    </row>
    <row r="69" spans="1:42" x14ac:dyDescent="0.25">
      <c r="A69" s="13" t="s">
        <v>178</v>
      </c>
      <c r="B69" s="131" t="s">
        <v>1411</v>
      </c>
      <c r="C69" s="156">
        <f>SUMIF('TB - Expense Data'!$G$3:$G$757,B69,'TB - Expense Data'!$J$3:$J$757)</f>
        <v>290</v>
      </c>
      <c r="D69" s="14">
        <f t="shared" si="23"/>
        <v>145</v>
      </c>
      <c r="E69" s="26">
        <f>SUMIF('TB - Expense Data'!$G$3:$G$757,B69,'TB - Expense Data'!$N$3:$N$757)</f>
        <v>0</v>
      </c>
      <c r="F69" s="92">
        <f t="shared" si="24"/>
        <v>-145</v>
      </c>
      <c r="G69" s="186">
        <f t="shared" si="25"/>
        <v>-1</v>
      </c>
      <c r="H69" s="131" t="s">
        <v>1412</v>
      </c>
      <c r="I69" s="156">
        <f>SUMIF('TB - Expense Data'!$G$3:$G$757,H69,'TB - Expense Data'!$J$3:$J$757)</f>
        <v>80</v>
      </c>
      <c r="J69" s="14">
        <f t="shared" si="26"/>
        <v>40</v>
      </c>
      <c r="K69" s="26">
        <f>SUMIF('TB - Expense Data'!$G$3:$G$757,H69,'TB - Expense Data'!$N$3:$N$757)</f>
        <v>0</v>
      </c>
      <c r="L69" s="92">
        <f t="shared" si="27"/>
        <v>-40</v>
      </c>
      <c r="M69" s="186">
        <f t="shared" si="28"/>
        <v>-1</v>
      </c>
      <c r="N69" s="131" t="s">
        <v>1413</v>
      </c>
      <c r="O69" s="156">
        <f>SUMIF('TB - Expense Data'!$G$3:$G$757,N69,'TB - Expense Data'!$J$3:$J$757)</f>
        <v>520</v>
      </c>
      <c r="P69" s="14">
        <f t="shared" si="29"/>
        <v>260</v>
      </c>
      <c r="Q69" s="26">
        <f>SUMIF('TB - Expense Data'!$G$3:$G$757,N69,'TB - Expense Data'!$N$3:$N$757)</f>
        <v>0</v>
      </c>
      <c r="R69" s="92">
        <f t="shared" si="30"/>
        <v>-260</v>
      </c>
      <c r="S69" s="186">
        <f t="shared" si="31"/>
        <v>-1</v>
      </c>
      <c r="T69" s="131" t="s">
        <v>1414</v>
      </c>
      <c r="U69" s="156">
        <f>SUMIF('TB - Expense Data'!$G$3:$G$757,T69,'TB - Expense Data'!$J$3:$J$757)</f>
        <v>110</v>
      </c>
      <c r="V69" s="14">
        <f t="shared" si="32"/>
        <v>55</v>
      </c>
      <c r="W69" s="26">
        <f>SUMIF('TB - Expense Data'!$G$3:$G$757,T69,'TB - Expense Data'!$N$3:$N$757)</f>
        <v>0</v>
      </c>
      <c r="X69" s="92">
        <f t="shared" si="33"/>
        <v>-55</v>
      </c>
      <c r="Y69" s="186">
        <f t="shared" si="34"/>
        <v>-1</v>
      </c>
      <c r="Z69" s="131" t="s">
        <v>979</v>
      </c>
      <c r="AA69" s="156">
        <f>SUMIF('TB - Expense Data'!$G$3:$G$757,Z69,'TB - Expense Data'!$J$3:$J$757)</f>
        <v>0</v>
      </c>
      <c r="AB69" s="14">
        <f t="shared" si="35"/>
        <v>0</v>
      </c>
      <c r="AC69" s="26">
        <f>SUMIF('TB - Expense Data'!$G$3:$G$757,Z69,'TB - Expense Data'!$N$3:$N$757)</f>
        <v>0</v>
      </c>
      <c r="AD69" s="92">
        <f t="shared" si="36"/>
        <v>0</v>
      </c>
      <c r="AE69" s="186" t="str">
        <f t="shared" si="37"/>
        <v xml:space="preserve">-    </v>
      </c>
      <c r="AF69" s="131" t="s">
        <v>979</v>
      </c>
      <c r="AG69" s="156">
        <f>SUMIF('TB - Expense Data'!$G$3:$G$757,AF69,'TB - Expense Data'!$J$3:$J$757)</f>
        <v>0</v>
      </c>
      <c r="AH69" s="14">
        <f t="shared" si="38"/>
        <v>0</v>
      </c>
      <c r="AI69" s="26">
        <f>SUMIF('TB - Expense Data'!$G$3:$G$757,AF69,'TB - Expense Data'!$N$3:$N$757)</f>
        <v>0</v>
      </c>
      <c r="AJ69" s="92">
        <f t="shared" si="39"/>
        <v>0</v>
      </c>
      <c r="AK69" s="186" t="str">
        <f t="shared" si="40"/>
        <v xml:space="preserve">-    </v>
      </c>
      <c r="AL69" s="156">
        <f t="shared" si="41"/>
        <v>1000</v>
      </c>
      <c r="AM69" s="14">
        <f t="shared" si="42"/>
        <v>500</v>
      </c>
      <c r="AN69" s="26">
        <f t="shared" si="43"/>
        <v>0</v>
      </c>
      <c r="AO69" s="92">
        <f t="shared" si="44"/>
        <v>-500</v>
      </c>
      <c r="AP69" s="186">
        <f t="shared" si="45"/>
        <v>-1</v>
      </c>
    </row>
    <row r="70" spans="1:42" x14ac:dyDescent="0.25">
      <c r="A70" s="13" t="s">
        <v>1415</v>
      </c>
      <c r="B70" s="131" t="s">
        <v>525</v>
      </c>
      <c r="C70" s="156">
        <f>SUMIF('TB - Expense Data'!$G$3:$G$757,B70,'TB - Expense Data'!$J$3:$J$757)</f>
        <v>31000</v>
      </c>
      <c r="D70" s="14">
        <f t="shared" si="23"/>
        <v>15500</v>
      </c>
      <c r="E70" s="26">
        <f>SUMIF('TB - Expense Data'!$G$3:$G$757,B70,'TB - Expense Data'!$N$3:$N$757)</f>
        <v>0</v>
      </c>
      <c r="F70" s="92">
        <f t="shared" si="24"/>
        <v>-15500</v>
      </c>
      <c r="G70" s="186">
        <f t="shared" si="25"/>
        <v>-1</v>
      </c>
      <c r="H70" s="131" t="s">
        <v>548</v>
      </c>
      <c r="I70" s="156">
        <f>SUMIF('TB - Expense Data'!$G$3:$G$757,H70,'TB - Expense Data'!$J$3:$J$757)</f>
        <v>7000</v>
      </c>
      <c r="J70" s="14">
        <f t="shared" si="26"/>
        <v>3500</v>
      </c>
      <c r="K70" s="26">
        <f>SUMIF('TB - Expense Data'!$G$3:$G$757,H70,'TB - Expense Data'!$N$3:$N$757)</f>
        <v>0</v>
      </c>
      <c r="L70" s="92">
        <f t="shared" si="27"/>
        <v>-3500</v>
      </c>
      <c r="M70" s="186">
        <f t="shared" si="28"/>
        <v>-1</v>
      </c>
      <c r="N70" s="131" t="s">
        <v>571</v>
      </c>
      <c r="O70" s="156">
        <f>SUMIF('TB - Expense Data'!$G$3:$G$757,N70,'TB - Expense Data'!$J$3:$J$757)</f>
        <v>51000</v>
      </c>
      <c r="P70" s="14">
        <f t="shared" si="29"/>
        <v>25500</v>
      </c>
      <c r="Q70" s="26">
        <f>SUMIF('TB - Expense Data'!$G$3:$G$757,N70,'TB - Expense Data'!$N$3:$N$757)</f>
        <v>163629.85999999999</v>
      </c>
      <c r="R70" s="92">
        <f t="shared" si="30"/>
        <v>138129.85999999999</v>
      </c>
      <c r="S70" s="186">
        <f t="shared" si="31"/>
        <v>5.4168572549019602</v>
      </c>
      <c r="T70" s="131" t="s">
        <v>594</v>
      </c>
      <c r="U70" s="156">
        <f>SUMIF('TB - Expense Data'!$G$3:$G$757,T70,'TB - Expense Data'!$J$3:$J$757)</f>
        <v>11000</v>
      </c>
      <c r="V70" s="14">
        <f t="shared" si="32"/>
        <v>5500</v>
      </c>
      <c r="W70" s="26">
        <f>SUMIF('TB - Expense Data'!$G$3:$G$757,T70,'TB - Expense Data'!$N$3:$N$757)</f>
        <v>41007.339999999997</v>
      </c>
      <c r="X70" s="92">
        <f t="shared" si="33"/>
        <v>35507.339999999997</v>
      </c>
      <c r="Y70" s="186">
        <f t="shared" si="34"/>
        <v>6.4558799999999996</v>
      </c>
      <c r="Z70" s="131" t="s">
        <v>979</v>
      </c>
      <c r="AA70" s="156">
        <f>SUMIF('TB - Expense Data'!$G$3:$G$757,Z70,'TB - Expense Data'!$J$3:$J$757)</f>
        <v>0</v>
      </c>
      <c r="AB70" s="14">
        <f t="shared" si="35"/>
        <v>0</v>
      </c>
      <c r="AC70" s="26">
        <f>SUMIF('TB - Expense Data'!$G$3:$G$757,Z70,'TB - Expense Data'!$N$3:$N$757)</f>
        <v>0</v>
      </c>
      <c r="AD70" s="92">
        <f t="shared" si="36"/>
        <v>0</v>
      </c>
      <c r="AE70" s="186" t="str">
        <f t="shared" si="37"/>
        <v xml:space="preserve">-    </v>
      </c>
      <c r="AF70" s="131" t="s">
        <v>979</v>
      </c>
      <c r="AG70" s="156">
        <f>SUMIF('TB - Expense Data'!$G$3:$G$757,AF70,'TB - Expense Data'!$J$3:$J$757)</f>
        <v>0</v>
      </c>
      <c r="AH70" s="14">
        <f t="shared" si="38"/>
        <v>0</v>
      </c>
      <c r="AI70" s="26">
        <f>SUMIF('TB - Expense Data'!$G$3:$G$757,AF70,'TB - Expense Data'!$N$3:$N$757)</f>
        <v>0</v>
      </c>
      <c r="AJ70" s="92">
        <f t="shared" si="39"/>
        <v>0</v>
      </c>
      <c r="AK70" s="186" t="str">
        <f t="shared" si="40"/>
        <v xml:space="preserve">-    </v>
      </c>
      <c r="AL70" s="156">
        <f t="shared" si="41"/>
        <v>100000</v>
      </c>
      <c r="AM70" s="14">
        <f t="shared" si="42"/>
        <v>50000</v>
      </c>
      <c r="AN70" s="26">
        <f t="shared" si="43"/>
        <v>204637.19999999998</v>
      </c>
      <c r="AO70" s="92">
        <f t="shared" si="44"/>
        <v>154637.19999999998</v>
      </c>
      <c r="AP70" s="186">
        <f t="shared" si="45"/>
        <v>3.0927439999999997</v>
      </c>
    </row>
    <row r="71" spans="1:42" x14ac:dyDescent="0.25">
      <c r="A71" s="17"/>
      <c r="B71" s="131"/>
      <c r="C71" s="158"/>
      <c r="D71" s="114"/>
      <c r="E71" s="18"/>
      <c r="F71" s="183"/>
      <c r="G71" s="186"/>
      <c r="H71" s="131"/>
      <c r="I71" s="158"/>
      <c r="J71" s="114"/>
      <c r="K71" s="18"/>
      <c r="L71" s="183"/>
      <c r="M71" s="186"/>
      <c r="N71" s="131"/>
      <c r="O71" s="158"/>
      <c r="P71" s="114"/>
      <c r="Q71" s="18"/>
      <c r="R71" s="183"/>
      <c r="S71" s="186"/>
      <c r="T71" s="179"/>
      <c r="U71" s="181"/>
      <c r="V71" s="178"/>
      <c r="W71" s="174"/>
      <c r="X71" s="183"/>
      <c r="Y71" s="186"/>
      <c r="Z71" s="131"/>
      <c r="AA71" s="158"/>
      <c r="AB71" s="114"/>
      <c r="AC71" s="18"/>
      <c r="AD71" s="183"/>
      <c r="AE71" s="186"/>
      <c r="AF71" s="127"/>
      <c r="AG71" s="158"/>
      <c r="AH71" s="114"/>
      <c r="AI71" s="18"/>
      <c r="AJ71" s="183"/>
      <c r="AK71" s="186"/>
      <c r="AL71" s="162"/>
      <c r="AM71" s="18"/>
      <c r="AN71" s="18"/>
      <c r="AO71" s="92"/>
      <c r="AP71" s="186"/>
    </row>
    <row r="72" spans="1:42" s="46" customFormat="1" x14ac:dyDescent="0.25">
      <c r="A72" s="199" t="s">
        <v>61</v>
      </c>
      <c r="B72" s="85"/>
      <c r="C72" s="159">
        <f>SUM(C32:C71)</f>
        <v>1199068.1600000001</v>
      </c>
      <c r="D72" s="115">
        <f>SUM(D32:D71)</f>
        <v>599534.08000000007</v>
      </c>
      <c r="E72" s="115">
        <f>SUM(E32:E71)</f>
        <v>463501.47</v>
      </c>
      <c r="F72" s="90">
        <f>E72-D72</f>
        <v>-136032.6100000001</v>
      </c>
      <c r="G72" s="187">
        <f>IF(AND(D72&lt;&gt;0,F72&lt;&gt;0,ISNUMBER(D72),ISNUMBER(F72)),F72/D72,"-    ")</f>
        <v>-0.2268972099134049</v>
      </c>
      <c r="H72" s="126"/>
      <c r="I72" s="159">
        <f>SUM(I32:I71)</f>
        <v>282084.5</v>
      </c>
      <c r="J72" s="115">
        <f>SUM(J32:J71)</f>
        <v>141042.25</v>
      </c>
      <c r="K72" s="115">
        <f>SUM(K32:K71)</f>
        <v>108074.67</v>
      </c>
      <c r="L72" s="90">
        <f>K72-J72</f>
        <v>-32967.58</v>
      </c>
      <c r="M72" s="187">
        <f>IF(AND(J72&lt;&gt;0,L72&lt;&gt;0,ISNUMBER(J72),ISNUMBER(L72)),L72/J72,"-    ")</f>
        <v>-0.2337425842256487</v>
      </c>
      <c r="N72" s="126"/>
      <c r="O72" s="159">
        <f>SUM(O32:O71)</f>
        <v>3325132.34</v>
      </c>
      <c r="P72" s="115">
        <f>SUM(P32:P71)</f>
        <v>1662566.17</v>
      </c>
      <c r="Q72" s="115">
        <f>SUM(Q32:Q71)</f>
        <v>1498432.0699999998</v>
      </c>
      <c r="R72" s="90">
        <f>Q72-P72</f>
        <v>-164134.10000000009</v>
      </c>
      <c r="S72" s="187">
        <f>IF(AND(P72&lt;&gt;0,R72&lt;&gt;0,ISNUMBER(P72),ISNUMBER(R72)),R72/P72,"-    ")</f>
        <v>-9.8723348857748083E-2</v>
      </c>
      <c r="T72" s="223"/>
      <c r="U72" s="171">
        <f>SUM(U32:U71)</f>
        <v>746991</v>
      </c>
      <c r="V72" s="184">
        <f>SUM(V32:V71)</f>
        <v>373495.5</v>
      </c>
      <c r="W72" s="184">
        <f>SUM(W32:W71)</f>
        <v>361100.17999999993</v>
      </c>
      <c r="X72" s="90">
        <f>W72-V72</f>
        <v>-12395.320000000065</v>
      </c>
      <c r="Y72" s="187">
        <f>IF(AND(V72&lt;&gt;0,X72&lt;&gt;0,ISNUMBER(V72),ISNUMBER(X72)),X72/V72,"-    ")</f>
        <v>-3.3187334251684596E-2</v>
      </c>
      <c r="Z72" s="222"/>
      <c r="AA72" s="159">
        <f>SUM(AA32:AA71)</f>
        <v>246368</v>
      </c>
      <c r="AB72" s="115">
        <f>SUM(AB32:AB71)</f>
        <v>123184</v>
      </c>
      <c r="AC72" s="115">
        <f>SUM(AC32:AC71)</f>
        <v>102653.22</v>
      </c>
      <c r="AD72" s="90">
        <f>AC72-AB72</f>
        <v>-20530.78</v>
      </c>
      <c r="AE72" s="187">
        <f>IF(AND(AB72&lt;&gt;0,AD72&lt;&gt;0,ISNUMBER(AB72),ISNUMBER(AD72)),AD72/AB72,"-    ")</f>
        <v>-0.16666758669957135</v>
      </c>
      <c r="AF72" s="126"/>
      <c r="AG72" s="159">
        <f>SUM(AG32:AG71)</f>
        <v>0</v>
      </c>
      <c r="AH72" s="115">
        <f>SUM(AH32:AH71)</f>
        <v>0</v>
      </c>
      <c r="AI72" s="115">
        <f>SUM(AI32:AI71)</f>
        <v>0</v>
      </c>
      <c r="AJ72" s="90">
        <f>AI72-AH72</f>
        <v>0</v>
      </c>
      <c r="AK72" s="187" t="str">
        <f>IF(AND(AH72&lt;&gt;0,AJ72&lt;&gt;0,ISNUMBER(AH72),ISNUMBER(AJ72)),AJ72/AH72,"-    ")</f>
        <v xml:space="preserve">-    </v>
      </c>
      <c r="AL72" s="159">
        <f>SUM(AL32:AL71)</f>
        <v>5799644</v>
      </c>
      <c r="AM72" s="115">
        <f>SUM(AM32:AM71)</f>
        <v>2899822</v>
      </c>
      <c r="AN72" s="115">
        <f>SUM(AN32:AN71)</f>
        <v>2533761.61</v>
      </c>
      <c r="AO72" s="90">
        <f>AN72-AM72</f>
        <v>-366060.39000000013</v>
      </c>
      <c r="AP72" s="187">
        <f>IF(AND(AM72&lt;&gt;0,AO72&lt;&gt;0,ISNUMBER(AM72),ISNUMBER(AO72)),AO72/AM72,"-    ")</f>
        <v>-0.12623546893567955</v>
      </c>
    </row>
    <row r="73" spans="1:42" s="46" customFormat="1" x14ac:dyDescent="0.25">
      <c r="A73" s="199"/>
      <c r="B73" s="85"/>
      <c r="C73" s="159"/>
      <c r="D73" s="115"/>
      <c r="E73" s="115"/>
      <c r="F73" s="40"/>
      <c r="G73" s="176"/>
      <c r="H73" s="127"/>
      <c r="I73" s="159"/>
      <c r="J73" s="115"/>
      <c r="K73" s="115"/>
      <c r="L73" s="40"/>
      <c r="M73" s="176"/>
      <c r="N73" s="127"/>
      <c r="O73" s="159"/>
      <c r="P73" s="115"/>
      <c r="Q73" s="115"/>
      <c r="R73" s="183"/>
      <c r="S73" s="176"/>
      <c r="T73" s="180"/>
      <c r="U73" s="171"/>
      <c r="V73" s="184"/>
      <c r="W73" s="184"/>
      <c r="X73" s="183"/>
      <c r="Y73" s="176"/>
      <c r="Z73" s="127"/>
      <c r="AA73" s="159"/>
      <c r="AB73" s="115"/>
      <c r="AC73" s="115"/>
      <c r="AD73" s="183"/>
      <c r="AE73" s="176"/>
      <c r="AF73" s="127"/>
      <c r="AG73" s="159"/>
      <c r="AH73" s="115"/>
      <c r="AI73" s="115"/>
      <c r="AJ73" s="183"/>
      <c r="AK73" s="176"/>
      <c r="AL73" s="159"/>
      <c r="AM73" s="115"/>
      <c r="AN73" s="115"/>
      <c r="AO73" s="92"/>
      <c r="AP73" s="186"/>
    </row>
    <row r="74" spans="1:42" s="46" customFormat="1" x14ac:dyDescent="0.25">
      <c r="A74" s="221" t="s">
        <v>62</v>
      </c>
      <c r="B74" s="213"/>
      <c r="C74" s="160">
        <f>+C31+C72</f>
        <v>2622482.4400000004</v>
      </c>
      <c r="D74" s="116">
        <f>+D31+D72</f>
        <v>1311241.2200000002</v>
      </c>
      <c r="E74" s="116">
        <f>+E31+E72</f>
        <v>1041479.2999999999</v>
      </c>
      <c r="F74" s="93">
        <f>E74-D74</f>
        <v>-269761.92000000027</v>
      </c>
      <c r="G74" s="188">
        <f>IF(AND(D74&lt;&gt;0,F74&lt;&gt;0,ISNUMBER(D74),ISNUMBER(F74)),F74/D74,"-    ")</f>
        <v>-0.20573020119059424</v>
      </c>
      <c r="H74" s="125"/>
      <c r="I74" s="160">
        <f>+I31+I72</f>
        <v>751701.1399999999</v>
      </c>
      <c r="J74" s="116">
        <f>+J31+J72</f>
        <v>375850.56999999995</v>
      </c>
      <c r="K74" s="116">
        <f>+K31+K72</f>
        <v>306905.84999999998</v>
      </c>
      <c r="L74" s="93">
        <f>K74-J74</f>
        <v>-68944.719999999972</v>
      </c>
      <c r="M74" s="188">
        <f>IF(AND(J74&lt;&gt;0,L74&lt;&gt;0,ISNUMBER(J74),ISNUMBER(L74)),L74/J74,"-    ")</f>
        <v>-0.1834365184014487</v>
      </c>
      <c r="N74" s="125"/>
      <c r="O74" s="160">
        <f>+O31+O72</f>
        <v>5502688.3300000001</v>
      </c>
      <c r="P74" s="116">
        <f>+P31+P72</f>
        <v>2751344.165</v>
      </c>
      <c r="Q74" s="116">
        <f>+Q31+Q72</f>
        <v>2522659.7999999998</v>
      </c>
      <c r="R74" s="88">
        <f>Q74-P74</f>
        <v>-228684.36500000022</v>
      </c>
      <c r="S74" s="188">
        <f>IF(AND(P74&lt;&gt;0,R74&lt;&gt;0,ISNUMBER(P74),ISNUMBER(R74)),R74/P74,"-    ")</f>
        <v>-8.3117324218869665E-2</v>
      </c>
      <c r="T74" s="79"/>
      <c r="U74" s="177">
        <f>+U31+U72</f>
        <v>1322362.1299999999</v>
      </c>
      <c r="V74" s="173">
        <f>+V31+V72</f>
        <v>661181.06499999994</v>
      </c>
      <c r="W74" s="173">
        <f>+W31+W72</f>
        <v>622918.74</v>
      </c>
      <c r="X74" s="88">
        <f>W74-V74</f>
        <v>-38262.324999999953</v>
      </c>
      <c r="Y74" s="188">
        <f>IF(AND(V74&lt;&gt;0,X74&lt;&gt;0,ISNUMBER(V74),ISNUMBER(X74)),X74/V74,"-    ")</f>
        <v>-5.7869662374556895E-2</v>
      </c>
      <c r="Z74" s="125"/>
      <c r="AA74" s="160">
        <f>+AA31+AA72</f>
        <v>246368</v>
      </c>
      <c r="AB74" s="116">
        <f>+AB31+AB72</f>
        <v>123184</v>
      </c>
      <c r="AC74" s="116">
        <f>+AC31+AC72</f>
        <v>102653.22</v>
      </c>
      <c r="AD74" s="88">
        <f>AC74-AB74</f>
        <v>-20530.78</v>
      </c>
      <c r="AE74" s="188">
        <f>IF(AND(AB74&lt;&gt;0,AD74&lt;&gt;0,ISNUMBER(AB74),ISNUMBER(AD74)),AD74/AB74,"-    ")</f>
        <v>-0.16666758669957135</v>
      </c>
      <c r="AF74" s="125"/>
      <c r="AG74" s="160">
        <f>+AG31+AG72</f>
        <v>0</v>
      </c>
      <c r="AH74" s="116">
        <f>+AH31+AH72</f>
        <v>0</v>
      </c>
      <c r="AI74" s="116">
        <f>+AI31+AI72</f>
        <v>0</v>
      </c>
      <c r="AJ74" s="88">
        <f>AI74-AH74</f>
        <v>0</v>
      </c>
      <c r="AK74" s="188" t="str">
        <f>IF(AND(AH74&lt;&gt;0,AJ74&lt;&gt;0,ISNUMBER(AH74),ISNUMBER(AJ74)),AJ74/AH74,"-    ")</f>
        <v xml:space="preserve">-    </v>
      </c>
      <c r="AL74" s="160">
        <f>+AL31+AL72</f>
        <v>10445602.039999999</v>
      </c>
      <c r="AM74" s="116">
        <f>+AM31+AM72</f>
        <v>5222801.0199999996</v>
      </c>
      <c r="AN74" s="116">
        <f>+AN31+AN72</f>
        <v>4596616.91</v>
      </c>
      <c r="AO74" s="88">
        <f>AN74-AM74</f>
        <v>-626184.1099999994</v>
      </c>
      <c r="AP74" s="189">
        <f>IF(AND(AM74&lt;&gt;0,AO74&lt;&gt;0,ISNUMBER(AM74),ISNUMBER(AO74)),AO74/AM74,"-    ")</f>
        <v>-0.1198943072121862</v>
      </c>
    </row>
    <row r="75" spans="1:42" s="190" customFormat="1" x14ac:dyDescent="0.25">
      <c r="B75" s="227"/>
      <c r="C75" s="228">
        <f>C74-'TB - Expense Data'!J764-'TB - Expense Data'!J772-'TB - Expense Data'!J778-'TB - Expense Data'!J782-'TB - Expense Data'!J786</f>
        <v>3.2014213502407074E-10</v>
      </c>
      <c r="D75" s="228"/>
      <c r="E75" s="190">
        <f>E74-'TB - Expense Data'!N764-'TB - Expense Data'!N772-'TB - Expense Data'!N778-'TB - Expense Data'!N782-'TB - Expense Data'!N786</f>
        <v>-1.1641532182693481E-10</v>
      </c>
      <c r="F75" s="228"/>
      <c r="G75" s="228"/>
      <c r="H75" s="228"/>
      <c r="I75" s="190">
        <f>I74-'TB - Expense Data'!J765-'TB - Expense Data'!J773-'TB - Expense Data'!J787</f>
        <v>0</v>
      </c>
      <c r="K75" s="190">
        <f>K74-'TB - Expense Data'!N765-'TB - Expense Data'!N773-'TB - Expense Data'!N787</f>
        <v>-3.2741809263825417E-11</v>
      </c>
      <c r="L75" s="228"/>
      <c r="M75" s="228"/>
      <c r="N75" s="227"/>
      <c r="O75" s="190">
        <f>O74-'TB - Expense Data'!J766-'TB - Expense Data'!J774-'TB - Expense Data'!J779-'TB - Expense Data'!J783-'TB - Expense Data'!J788</f>
        <v>0</v>
      </c>
      <c r="Q75" s="190">
        <f>Q74-'TB - Expense Data'!N766-'TB - Expense Data'!N774-'TB - Expense Data'!N779-'TB - Expense Data'!N783-'TB - Expense Data'!N788</f>
        <v>0</v>
      </c>
      <c r="R75" s="228"/>
      <c r="S75" s="228"/>
      <c r="T75" s="228"/>
      <c r="U75" s="190">
        <f>U74-'TB - Expense Data'!J767-'TB - Expense Data'!J775-'TB - Expense Data'!J789</f>
        <v>-2.6193447411060333E-10</v>
      </c>
      <c r="W75" s="190">
        <f>W74-'TB - Expense Data'!N767-'TB - Expense Data'!N775-'TB - Expense Data'!N789</f>
        <v>1.3096723705530167E-10</v>
      </c>
      <c r="X75" s="228"/>
      <c r="Y75" s="228"/>
      <c r="Z75" s="227"/>
      <c r="AA75" s="190">
        <f>AA74-'TB - Expense Data'!J768-'TB - Expense Data'!J790</f>
        <v>0</v>
      </c>
      <c r="AC75" s="190">
        <f>AC74-'TB - Expense Data'!N768-'TB - Expense Data'!N790</f>
        <v>0</v>
      </c>
      <c r="AD75" s="228"/>
      <c r="AE75" s="228"/>
      <c r="AF75" s="228"/>
      <c r="AG75" s="190">
        <f>AG74-'TB - Expense Data'!J769-'TB - Expense Data'!J791</f>
        <v>0</v>
      </c>
      <c r="AI75" s="190">
        <f>AI74-'TB - Expense Data'!N769-'TB - Expense Data'!N791</f>
        <v>0</v>
      </c>
      <c r="AJ75" s="228"/>
      <c r="AK75" s="228"/>
      <c r="AL75" s="190">
        <f>AL74-'TB - Expense Data'!J793</f>
        <v>0</v>
      </c>
      <c r="AN75" s="190">
        <f>AN74-'TB - Expense Data'!N793</f>
        <v>0</v>
      </c>
      <c r="AO75" s="228"/>
      <c r="AP75" s="228"/>
    </row>
    <row r="76" spans="1:42" x14ac:dyDescent="0.25">
      <c r="C76" s="54"/>
      <c r="D76" s="54"/>
      <c r="E76" s="190">
        <f>E74-Summary!D31-Summary!D32-Summary!D33-Summary!D34</f>
        <v>2.9103830456733704E-11</v>
      </c>
      <c r="F76" s="54"/>
      <c r="G76" s="54"/>
      <c r="H76" s="54"/>
      <c r="I76" s="34"/>
      <c r="J76" s="34"/>
      <c r="K76" s="34">
        <f>K74-Summary!E31-Summary!E32-Summary!E33-Summary!E34</f>
        <v>-1.4551915228366852E-11</v>
      </c>
      <c r="L76" s="54"/>
      <c r="M76" s="54"/>
      <c r="N76" s="71"/>
      <c r="O76" s="34"/>
      <c r="P76" s="34"/>
      <c r="Q76" s="34">
        <f>Q74-Summary!F31-Summary!F32-Summary!F33-Summary!F34</f>
        <v>0</v>
      </c>
      <c r="R76" s="54"/>
      <c r="S76" s="54"/>
      <c r="T76" s="54"/>
      <c r="U76" s="34"/>
      <c r="V76" s="34"/>
      <c r="W76" s="34">
        <f>W74-Summary!G31-Summary!G32-Summary!G33-Summary!G34</f>
        <v>1.0913936421275139E-11</v>
      </c>
      <c r="X76" s="54"/>
      <c r="Y76" s="54"/>
      <c r="Z76" s="71"/>
      <c r="AA76" s="34"/>
      <c r="AB76" s="34"/>
      <c r="AC76" s="34">
        <f>AC74-Summary!H31-Summary!H32-Summary!H33-Summary!H34</f>
        <v>0</v>
      </c>
      <c r="AD76" s="54"/>
      <c r="AE76" s="54"/>
      <c r="AF76" s="54"/>
      <c r="AG76" s="34"/>
      <c r="AH76" s="34"/>
      <c r="AI76" s="34">
        <f>AI74-Summary!I31-Summary!I32-Summary!I33-Summary!I34</f>
        <v>0</v>
      </c>
      <c r="AJ76" s="54"/>
      <c r="AK76" s="54"/>
      <c r="AL76" s="34"/>
      <c r="AM76" s="34"/>
      <c r="AN76" s="34"/>
      <c r="AO76" s="54"/>
      <c r="AP76" s="54"/>
    </row>
    <row r="77" spans="1:42" x14ac:dyDescent="0.25">
      <c r="C77" s="54"/>
      <c r="D77" s="54"/>
      <c r="E77" s="34"/>
      <c r="F77" s="54"/>
      <c r="G77" s="54"/>
      <c r="H77" s="54"/>
      <c r="I77" s="34"/>
      <c r="J77" s="34"/>
      <c r="K77" s="34"/>
      <c r="L77" s="54"/>
      <c r="M77" s="54"/>
      <c r="N77" s="71"/>
      <c r="O77" s="34"/>
      <c r="P77" s="34"/>
      <c r="Q77" s="34"/>
      <c r="R77" s="54"/>
      <c r="S77" s="54"/>
      <c r="T77" s="54"/>
      <c r="U77" s="34"/>
      <c r="V77" s="34"/>
      <c r="W77" s="34"/>
      <c r="X77" s="54"/>
      <c r="Y77" s="54"/>
      <c r="Z77" s="71"/>
      <c r="AA77" s="34"/>
      <c r="AB77" s="34"/>
      <c r="AC77" s="34"/>
      <c r="AD77" s="54"/>
      <c r="AE77" s="54"/>
      <c r="AF77" s="54"/>
      <c r="AG77" s="34"/>
      <c r="AH77" s="34"/>
      <c r="AI77" s="34"/>
      <c r="AJ77" s="54"/>
      <c r="AK77" s="54"/>
      <c r="AL77" s="34"/>
      <c r="AM77" s="34"/>
      <c r="AN77" s="34"/>
      <c r="AO77" s="54"/>
      <c r="AP77" s="54"/>
    </row>
    <row r="78" spans="1:42" x14ac:dyDescent="0.25">
      <c r="C78" s="54"/>
      <c r="D78" s="54"/>
      <c r="E78" s="34"/>
      <c r="F78" s="54"/>
      <c r="G78" s="54"/>
      <c r="H78" s="54"/>
      <c r="I78" s="34"/>
      <c r="J78" s="34"/>
      <c r="K78" s="34"/>
      <c r="L78" s="54"/>
      <c r="M78" s="54"/>
      <c r="N78" s="71"/>
      <c r="O78" s="34"/>
      <c r="P78" s="34"/>
      <c r="Q78" s="34"/>
      <c r="R78" s="54"/>
      <c r="S78" s="54"/>
      <c r="T78" s="54"/>
      <c r="U78" s="34"/>
      <c r="V78" s="34"/>
      <c r="W78" s="34"/>
      <c r="X78" s="54"/>
      <c r="Y78" s="54"/>
      <c r="Z78" s="71"/>
      <c r="AA78" s="34"/>
      <c r="AB78" s="34"/>
      <c r="AC78" s="34"/>
      <c r="AD78" s="54"/>
      <c r="AE78" s="54"/>
      <c r="AF78" s="54"/>
      <c r="AG78" s="34"/>
      <c r="AH78" s="34"/>
      <c r="AI78" s="34"/>
      <c r="AJ78" s="54"/>
      <c r="AK78" s="54"/>
      <c r="AL78" s="34"/>
      <c r="AM78" s="34"/>
      <c r="AN78" s="34"/>
      <c r="AO78" s="54"/>
      <c r="AP78" s="54"/>
    </row>
  </sheetData>
  <sheetProtection password="CFD3" sheet="1" objects="1" scenarios="1" selectLockedCells="1" selectUnlockedCells="1"/>
  <mergeCells count="7">
    <mergeCell ref="C5:G5"/>
    <mergeCell ref="AA5:AE5"/>
    <mergeCell ref="AG5:AK5"/>
    <mergeCell ref="AL5:AP5"/>
    <mergeCell ref="I5:M5"/>
    <mergeCell ref="O5:S5"/>
    <mergeCell ref="U5:Y5"/>
  </mergeCells>
  <printOptions horizontalCentered="1"/>
  <pageMargins left="0.25" right="0.25" top="0.5" bottom="0.5" header="0.25" footer="0.25"/>
  <pageSetup scale="40" firstPageNumber="4" orientation="portrait" useFirstPageNumber="1" r:id="rId1"/>
  <headerFooter scaleWithDoc="0">
    <oddFooter>&amp;L&amp;9&amp;F - &amp;A&amp;C&amp;9Marina Coast Water District&amp;R&amp;9&amp;P</oddFooter>
  </headerFooter>
  <colBreaks count="1" manualBreakCount="1">
    <brk id="19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87"/>
  <sheetViews>
    <sheetView zoomScaleNormal="100" workbookViewId="0">
      <pane xSplit="1" ySplit="7" topLeftCell="AB8" activePane="bottomRight" state="frozenSplit"/>
      <selection pane="topRight" activeCell="B1" sqref="B1"/>
      <selection pane="bottomLeft" activeCell="A7" sqref="A7"/>
      <selection pane="bottomRight" activeCell="AJ19" sqref="AJ19"/>
    </sheetView>
  </sheetViews>
  <sheetFormatPr defaultRowHeight="15" outlineLevelRow="1" outlineLevelCol="1" x14ac:dyDescent="0.25"/>
  <cols>
    <col min="1" max="1" width="40.28515625" bestFit="1" customWidth="1"/>
    <col min="2" max="2" width="14.28515625" hidden="1" customWidth="1" outlineLevel="1"/>
    <col min="3" max="3" width="11.5703125" customWidth="1" collapsed="1"/>
    <col min="4" max="5" width="11.5703125" customWidth="1"/>
    <col min="6" max="7" width="17.28515625" bestFit="1" customWidth="1"/>
    <col min="8" max="8" width="13.28515625" hidden="1" customWidth="1" outlineLevel="1"/>
    <col min="9" max="9" width="11.5703125" customWidth="1" collapsed="1"/>
    <col min="10" max="11" width="11.5703125" customWidth="1"/>
    <col min="12" max="13" width="17.28515625" bestFit="1" customWidth="1"/>
    <col min="14" max="14" width="13.28515625" hidden="1" customWidth="1" outlineLevel="1"/>
    <col min="15" max="15" width="11.5703125" bestFit="1" customWidth="1" collapsed="1"/>
    <col min="16" max="16" width="11.5703125" bestFit="1" customWidth="1"/>
    <col min="17" max="17" width="11.5703125" customWidth="1"/>
    <col min="18" max="19" width="17.28515625" bestFit="1" customWidth="1"/>
    <col min="20" max="20" width="13.28515625" hidden="1" customWidth="1" outlineLevel="1"/>
    <col min="21" max="21" width="11.5703125" customWidth="1" collapsed="1"/>
    <col min="22" max="23" width="11.5703125" customWidth="1"/>
    <col min="24" max="25" width="17.28515625" bestFit="1" customWidth="1"/>
    <col min="26" max="26" width="13.28515625" hidden="1" customWidth="1" outlineLevel="1"/>
    <col min="27" max="27" width="11.5703125" customWidth="1" collapsed="1"/>
    <col min="28" max="29" width="11.5703125" customWidth="1"/>
    <col min="30" max="31" width="17.28515625" bestFit="1" customWidth="1"/>
    <col min="32" max="32" width="13.140625" hidden="1" customWidth="1" outlineLevel="1"/>
    <col min="33" max="33" width="11.5703125" customWidth="1" collapsed="1"/>
    <col min="34" max="35" width="11.5703125" customWidth="1"/>
    <col min="36" max="37" width="17.28515625" bestFit="1" customWidth="1"/>
    <col min="38" max="40" width="11.5703125" bestFit="1" customWidth="1"/>
    <col min="41" max="42" width="17.28515625" bestFit="1" customWidth="1"/>
  </cols>
  <sheetData>
    <row r="1" spans="1:42" ht="15.75" x14ac:dyDescent="0.25">
      <c r="A1" s="87" t="s">
        <v>31</v>
      </c>
      <c r="B1" s="87"/>
      <c r="C1" s="87"/>
      <c r="D1" s="87"/>
      <c r="E1" s="87"/>
      <c r="F1" s="46"/>
      <c r="G1" s="46"/>
      <c r="H1" s="46"/>
      <c r="I1" s="1"/>
      <c r="J1" s="1"/>
      <c r="K1" s="1"/>
      <c r="L1" s="46"/>
      <c r="M1" s="46"/>
      <c r="N1" s="68"/>
      <c r="O1" s="1"/>
      <c r="P1" s="1"/>
      <c r="Q1" s="1"/>
      <c r="R1" s="46"/>
      <c r="S1" s="46"/>
      <c r="T1" s="46"/>
      <c r="U1" s="1"/>
      <c r="V1" s="1"/>
      <c r="W1" s="1"/>
      <c r="X1" s="46"/>
      <c r="Y1" s="46"/>
      <c r="Z1" s="68"/>
      <c r="AA1" s="1"/>
      <c r="AB1" s="1"/>
      <c r="AC1" s="1"/>
      <c r="AD1" s="46"/>
      <c r="AE1" s="46"/>
      <c r="AF1" s="46"/>
      <c r="AG1" s="1"/>
      <c r="AH1" s="1"/>
      <c r="AI1" s="1"/>
      <c r="AJ1" s="46"/>
      <c r="AK1" s="46"/>
      <c r="AL1" s="1"/>
      <c r="AM1" s="1"/>
      <c r="AN1" s="1"/>
      <c r="AO1" s="46"/>
      <c r="AP1" s="46"/>
    </row>
    <row r="2" spans="1:42" ht="15.75" x14ac:dyDescent="0.25">
      <c r="A2" s="87" t="s">
        <v>1417</v>
      </c>
      <c r="B2" s="87"/>
      <c r="C2" s="87"/>
      <c r="D2" s="87"/>
      <c r="E2" s="87"/>
      <c r="F2" s="46"/>
      <c r="G2" s="46"/>
      <c r="H2" s="46"/>
      <c r="I2" s="1"/>
      <c r="J2" s="1"/>
      <c r="K2" s="1"/>
      <c r="L2" s="46"/>
      <c r="M2" s="46"/>
      <c r="N2" s="68"/>
      <c r="O2" s="1"/>
      <c r="P2" s="1"/>
      <c r="Q2" s="1"/>
      <c r="R2" s="46"/>
      <c r="S2" s="46"/>
      <c r="T2" s="46"/>
      <c r="U2" s="1"/>
      <c r="V2" s="1"/>
      <c r="W2" s="1"/>
      <c r="X2" s="46"/>
      <c r="Y2" s="46"/>
      <c r="Z2" s="68"/>
      <c r="AA2" s="1"/>
      <c r="AB2" s="1"/>
      <c r="AC2" s="1"/>
      <c r="AD2" s="46"/>
      <c r="AE2" s="46"/>
      <c r="AF2" s="46"/>
      <c r="AG2" s="1"/>
      <c r="AH2" s="1"/>
      <c r="AI2" s="1"/>
      <c r="AJ2" s="46"/>
      <c r="AK2" s="46"/>
      <c r="AL2" s="1"/>
      <c r="AM2" s="1"/>
      <c r="AN2" s="1"/>
      <c r="AO2" s="46"/>
      <c r="AP2" s="46"/>
    </row>
    <row r="3" spans="1:42" ht="15.75" x14ac:dyDescent="0.25">
      <c r="A3" s="1" t="str">
        <f>'All Departments'!A3</f>
        <v>JULY - DECEMBER 2014</v>
      </c>
      <c r="B3" s="68"/>
      <c r="C3" s="46"/>
      <c r="D3" s="46"/>
      <c r="E3" s="1"/>
      <c r="F3" s="46"/>
      <c r="G3" s="46"/>
      <c r="H3" s="46"/>
      <c r="I3" s="1"/>
      <c r="J3" s="1"/>
      <c r="K3" s="1"/>
      <c r="L3" s="46"/>
      <c r="M3" s="46"/>
      <c r="N3" s="68"/>
      <c r="O3" s="1"/>
      <c r="P3" s="1"/>
      <c r="Q3" s="1"/>
      <c r="R3" s="46"/>
      <c r="S3" s="46"/>
      <c r="T3" s="46"/>
      <c r="U3" s="1"/>
      <c r="V3" s="1"/>
      <c r="W3" s="1"/>
      <c r="X3" s="46"/>
      <c r="Y3" s="46"/>
      <c r="Z3" s="68"/>
      <c r="AA3" s="1"/>
      <c r="AB3" s="1"/>
      <c r="AC3" s="1"/>
      <c r="AD3" s="46"/>
      <c r="AE3" s="46"/>
      <c r="AF3" s="46"/>
      <c r="AG3" s="1"/>
      <c r="AH3" s="1"/>
      <c r="AI3" s="1"/>
      <c r="AJ3" s="46"/>
      <c r="AK3" s="46"/>
      <c r="AL3" s="1"/>
      <c r="AM3" s="1"/>
      <c r="AN3" s="1"/>
      <c r="AO3" s="46"/>
      <c r="AP3" s="46"/>
    </row>
    <row r="4" spans="1:42" s="235" customFormat="1" ht="15.75" x14ac:dyDescent="0.25">
      <c r="A4" s="1"/>
      <c r="B4" s="68"/>
      <c r="C4" s="46"/>
      <c r="D4" s="46"/>
      <c r="E4" s="1"/>
      <c r="F4" s="46"/>
      <c r="G4" s="46"/>
      <c r="H4" s="46"/>
      <c r="I4" s="1"/>
      <c r="J4" s="1"/>
      <c r="K4" s="1"/>
      <c r="L4" s="46"/>
      <c r="M4" s="46"/>
      <c r="N4" s="68"/>
      <c r="O4" s="1"/>
      <c r="P4" s="1"/>
      <c r="Q4" s="1"/>
      <c r="R4" s="46"/>
      <c r="S4" s="46"/>
      <c r="T4" s="46"/>
      <c r="U4" s="1"/>
      <c r="V4" s="1"/>
      <c r="W4" s="1"/>
      <c r="X4" s="46"/>
      <c r="Y4" s="46"/>
      <c r="Z4" s="68"/>
      <c r="AA4" s="1"/>
      <c r="AB4" s="1"/>
      <c r="AC4" s="1"/>
      <c r="AD4" s="46"/>
      <c r="AE4" s="46"/>
      <c r="AF4" s="46"/>
      <c r="AG4" s="1"/>
      <c r="AH4" s="1"/>
      <c r="AI4" s="1"/>
      <c r="AJ4" s="46"/>
      <c r="AK4" s="46"/>
      <c r="AL4" s="1"/>
      <c r="AM4" s="1"/>
      <c r="AN4" s="1"/>
      <c r="AO4" s="46"/>
      <c r="AP4" s="46"/>
    </row>
    <row r="5" spans="1:42" ht="15.75" x14ac:dyDescent="0.25">
      <c r="A5" s="2" t="s">
        <v>0</v>
      </c>
      <c r="B5" s="80"/>
      <c r="C5" s="569" t="s">
        <v>25</v>
      </c>
      <c r="D5" s="567"/>
      <c r="E5" s="567"/>
      <c r="F5" s="567"/>
      <c r="G5" s="568"/>
      <c r="H5" s="76"/>
      <c r="I5" s="569" t="s">
        <v>26</v>
      </c>
      <c r="J5" s="567"/>
      <c r="K5" s="567"/>
      <c r="L5" s="567"/>
      <c r="M5" s="568"/>
      <c r="N5" s="76"/>
      <c r="O5" s="569" t="s">
        <v>27</v>
      </c>
      <c r="P5" s="567"/>
      <c r="Q5" s="567"/>
      <c r="R5" s="567"/>
      <c r="S5" s="568"/>
      <c r="T5" s="76"/>
      <c r="U5" s="569" t="s">
        <v>28</v>
      </c>
      <c r="V5" s="567"/>
      <c r="W5" s="567"/>
      <c r="X5" s="567"/>
      <c r="Y5" s="568"/>
      <c r="Z5" s="76"/>
      <c r="AA5" s="569" t="s">
        <v>184</v>
      </c>
      <c r="AB5" s="567"/>
      <c r="AC5" s="567"/>
      <c r="AD5" s="567"/>
      <c r="AE5" s="568"/>
      <c r="AF5" s="76"/>
      <c r="AG5" s="569" t="s">
        <v>187</v>
      </c>
      <c r="AH5" s="567"/>
      <c r="AI5" s="567"/>
      <c r="AJ5" s="567"/>
      <c r="AK5" s="568"/>
      <c r="AL5" s="569" t="s">
        <v>29</v>
      </c>
      <c r="AM5" s="567"/>
      <c r="AN5" s="567"/>
      <c r="AO5" s="567"/>
      <c r="AP5" s="568"/>
    </row>
    <row r="6" spans="1:42" ht="15.75" x14ac:dyDescent="0.25">
      <c r="A6" s="37" t="s">
        <v>23</v>
      </c>
      <c r="B6" s="77" t="s">
        <v>952</v>
      </c>
      <c r="C6" s="24" t="str">
        <f>'All Departments'!$C$6</f>
        <v>ANNUAL</v>
      </c>
      <c r="D6" s="24" t="str">
        <f>'All Departments'!$D$6</f>
        <v>JUL - DEC</v>
      </c>
      <c r="E6" s="24" t="str">
        <f>'All Departments'!$E$6</f>
        <v>JUL - DEC</v>
      </c>
      <c r="F6" s="24" t="str">
        <f>'All Departments'!$F$6</f>
        <v>BUD vs ACTUALS</v>
      </c>
      <c r="G6" s="36" t="str">
        <f>'All Departments'!$G$6</f>
        <v>BUD vs ACTUALS</v>
      </c>
      <c r="H6" s="77" t="s">
        <v>952</v>
      </c>
      <c r="I6" s="35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35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24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77" t="s">
        <v>952</v>
      </c>
      <c r="AA6" s="35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77" t="s">
        <v>952</v>
      </c>
      <c r="AG6" s="35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35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ht="15.75" x14ac:dyDescent="0.25">
      <c r="A7" s="5"/>
      <c r="B7" s="78" t="s">
        <v>953</v>
      </c>
      <c r="C7" s="6" t="str">
        <f>'All Departments'!$C$7</f>
        <v>BUDGET</v>
      </c>
      <c r="D7" s="6" t="str">
        <f>'All Departments'!$D$7</f>
        <v>BUDGET</v>
      </c>
      <c r="E7" s="6" t="str">
        <f>'All Departments'!$E$7</f>
        <v>ACTUALS</v>
      </c>
      <c r="F7" s="6" t="str">
        <f>'All Departments'!$F$7</f>
        <v>$ CHANGE</v>
      </c>
      <c r="G7" s="7" t="str">
        <f>'All Departments'!$G$7</f>
        <v>% CHANGE</v>
      </c>
      <c r="H7" s="78" t="s">
        <v>953</v>
      </c>
      <c r="I7" s="154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154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6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78" t="s">
        <v>953</v>
      </c>
      <c r="AA7" s="154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78" t="s">
        <v>953</v>
      </c>
      <c r="AG7" s="154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154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ht="15.75" x14ac:dyDescent="0.25">
      <c r="A8" s="8"/>
      <c r="B8" s="106"/>
      <c r="C8" s="155"/>
      <c r="D8" s="56"/>
      <c r="E8" s="9"/>
      <c r="F8" s="56"/>
      <c r="G8" s="57"/>
      <c r="H8" s="109"/>
      <c r="I8" s="161"/>
      <c r="J8" s="9"/>
      <c r="K8" s="9"/>
      <c r="L8" s="56"/>
      <c r="M8" s="57"/>
      <c r="N8" s="106"/>
      <c r="O8" s="161"/>
      <c r="P8" s="9"/>
      <c r="Q8" s="9"/>
      <c r="R8" s="56"/>
      <c r="S8" s="57"/>
      <c r="T8" s="109"/>
      <c r="U8" s="161"/>
      <c r="V8" s="9"/>
      <c r="W8" s="9"/>
      <c r="X8" s="56"/>
      <c r="Y8" s="57"/>
      <c r="Z8" s="106"/>
      <c r="AA8" s="161"/>
      <c r="AB8" s="9"/>
      <c r="AC8" s="9"/>
      <c r="AD8" s="56"/>
      <c r="AE8" s="57"/>
      <c r="AF8" s="109"/>
      <c r="AG8" s="161"/>
      <c r="AH8" s="9"/>
      <c r="AI8" s="9"/>
      <c r="AJ8" s="56"/>
      <c r="AK8" s="57"/>
      <c r="AL8" s="161"/>
      <c r="AM8" s="9"/>
      <c r="AN8" s="9"/>
      <c r="AO8" s="56"/>
      <c r="AP8" s="57"/>
    </row>
    <row r="9" spans="1:42" ht="15.75" x14ac:dyDescent="0.25">
      <c r="A9" s="16" t="s">
        <v>665</v>
      </c>
      <c r="B9" s="131" t="s">
        <v>666</v>
      </c>
      <c r="C9" s="14">
        <f>VLOOKUP(B9,'TB - Expense Data'!$H$3:$N$758,3,FALSE)</f>
        <v>302296</v>
      </c>
      <c r="D9" s="14">
        <f>C9/2</f>
        <v>151148</v>
      </c>
      <c r="E9" s="26">
        <f>VLOOKUP(B9,'TB - Expense Data'!$H$3:$N$758,7,FALSE)</f>
        <v>131225.64000000001</v>
      </c>
      <c r="F9" s="92">
        <f>E9-D9</f>
        <v>-19922.359999999986</v>
      </c>
      <c r="G9" s="48">
        <f>IF(AND(D9&lt;&gt;0,F9&lt;&gt;0,ISNUMBER(D9),ISNUMBER(F9)),F9/D9,"-    ")</f>
        <v>-0.13180697065128211</v>
      </c>
      <c r="H9" s="131" t="s">
        <v>722</v>
      </c>
      <c r="I9" s="156">
        <f>VLOOKUP(H9,'TB - Expense Data'!$H$3:$N$758,3,FALSE)</f>
        <v>83392</v>
      </c>
      <c r="J9" s="14">
        <f>I9/2</f>
        <v>41696</v>
      </c>
      <c r="K9" s="26">
        <f>VLOOKUP(H9,'TB - Expense Data'!$H$3:$N$758,7,FALSE)</f>
        <v>36957.01</v>
      </c>
      <c r="L9" s="92">
        <f>K9-J9</f>
        <v>-4738.989999999998</v>
      </c>
      <c r="M9" s="48">
        <f>IF(AND(J9&lt;&gt;0,L9&lt;&gt;0,ISNUMBER(J9),ISNUMBER(L9)),L9/J9,"-    ")</f>
        <v>-0.11365574635456634</v>
      </c>
      <c r="N9" s="131" t="s">
        <v>781</v>
      </c>
      <c r="O9" s="156">
        <f>VLOOKUP(N9,'TB - Expense Data'!$H$3:$N$758,3,FALSE)</f>
        <v>542049</v>
      </c>
      <c r="P9" s="14">
        <f>O9/2</f>
        <v>271024.5</v>
      </c>
      <c r="Q9" s="26">
        <f>VLOOKUP(N9,'TB - Expense Data'!$H$3:$N$758,7,FALSE)</f>
        <v>235401.95</v>
      </c>
      <c r="R9" s="92">
        <f>Q9-P9</f>
        <v>-35622.549999999988</v>
      </c>
      <c r="S9" s="48">
        <f>IF(AND(P9&lt;&gt;0,R9&lt;&gt;0,ISNUMBER(P9),ISNUMBER(R9)),R9/P9,"-    ")</f>
        <v>-0.13143664133685326</v>
      </c>
      <c r="T9" s="131" t="s">
        <v>838</v>
      </c>
      <c r="U9" s="14">
        <f>VLOOKUP(T9,'TB - Expense Data'!$H$3:$N$758,3,FALSE)</f>
        <v>114664</v>
      </c>
      <c r="V9" s="14">
        <f>U9/2</f>
        <v>57332</v>
      </c>
      <c r="W9" s="26">
        <f>VLOOKUP(T9,'TB - Expense Data'!$H$3:$N$758,7,FALSE)</f>
        <v>50346.44</v>
      </c>
      <c r="X9" s="92">
        <f>W9-V9</f>
        <v>-6985.5599999999977</v>
      </c>
      <c r="Y9" s="48">
        <f>IF(AND(V9&lt;&gt;0,X9&lt;&gt;0,ISNUMBER(V9),ISNUMBER(X9)),X9/V9,"-    ")</f>
        <v>-0.12184399637200861</v>
      </c>
      <c r="Z9" s="131" t="s">
        <v>979</v>
      </c>
      <c r="AA9" s="156">
        <f>VLOOKUP(Z9,'TB - Expense Data'!$H$3:$N$758,3,FALSE)</f>
        <v>0</v>
      </c>
      <c r="AB9" s="14">
        <f>AA9/2</f>
        <v>0</v>
      </c>
      <c r="AC9" s="26">
        <f>VLOOKUP(Z9,'TB - Expense Data'!$H$3:$N$758,7,FALSE)</f>
        <v>0</v>
      </c>
      <c r="AD9" s="92">
        <f>AC9-AB9</f>
        <v>0</v>
      </c>
      <c r="AE9" s="48" t="str">
        <f>IF(AND(AB9&lt;&gt;0,AD9&lt;&gt;0,ISNUMBER(AB9),ISNUMBER(AD9)),AD9/AB9,"-    ")</f>
        <v xml:space="preserve">-    </v>
      </c>
      <c r="AF9" s="131" t="s">
        <v>979</v>
      </c>
      <c r="AG9" s="156">
        <f>VLOOKUP(AF9,'TB - Expense Data'!$H$3:$N$758,3,FALSE)</f>
        <v>0</v>
      </c>
      <c r="AH9" s="14">
        <f>AG9/2</f>
        <v>0</v>
      </c>
      <c r="AI9" s="26">
        <f>VLOOKUP(AF9,'TB - Expense Data'!$H$3:$N$758,7,FALSE)</f>
        <v>0</v>
      </c>
      <c r="AJ9" s="92">
        <f>AI9-AH9</f>
        <v>0</v>
      </c>
      <c r="AK9" s="48" t="str">
        <f>IF(AND(AH9&lt;&gt;0,AJ9&lt;&gt;0,ISNUMBER(AH9),ISNUMBER(AJ9)),AJ9/AH9,"-    ")</f>
        <v xml:space="preserve">-    </v>
      </c>
      <c r="AL9" s="156">
        <f>C9+I9+O9+U9+AA9+AG9</f>
        <v>1042401</v>
      </c>
      <c r="AM9" s="14">
        <f>D9+J9+P9+V9+AB9+AH9</f>
        <v>521200.5</v>
      </c>
      <c r="AN9" s="26">
        <f>E9+K9+Q9+W9+AC9+AI9</f>
        <v>453931.04000000004</v>
      </c>
      <c r="AO9" s="92">
        <f>AN9-AM9</f>
        <v>-67269.459999999963</v>
      </c>
      <c r="AP9" s="48">
        <f>IF(AND(AM9&lt;&gt;0,AO9&lt;&gt;0,ISNUMBER(AM9),ISNUMBER(AO9)),AO9/AM9,"-    ")</f>
        <v>-0.12906637656717512</v>
      </c>
    </row>
    <row r="10" spans="1:42" ht="15.75" hidden="1" outlineLevel="1" x14ac:dyDescent="0.25">
      <c r="A10" s="13" t="s">
        <v>667</v>
      </c>
      <c r="B10" s="131" t="s">
        <v>668</v>
      </c>
      <c r="C10" s="14">
        <f>VLOOKUP(B10,'TB - Expense Data'!$H$3:$N$758,3,FALSE)</f>
        <v>0</v>
      </c>
      <c r="D10" s="14">
        <f t="shared" ref="D10:D29" si="0">C10/2</f>
        <v>0</v>
      </c>
      <c r="E10" s="26">
        <f>VLOOKUP(B10,'TB - Expense Data'!$H$3:$N$758,7,FALSE)</f>
        <v>0</v>
      </c>
      <c r="F10" s="92">
        <f t="shared" ref="F10:F29" si="1">E10-D10</f>
        <v>0</v>
      </c>
      <c r="G10" s="48" t="str">
        <f t="shared" ref="G10:G29" si="2">IF(AND(D10&lt;&gt;0,F10&lt;&gt;0,ISNUMBER(D10),ISNUMBER(F10)),F10/D10,"-    ")</f>
        <v xml:space="preserve">-    </v>
      </c>
      <c r="H10" s="131" t="s">
        <v>723</v>
      </c>
      <c r="I10" s="156">
        <f>VLOOKUP(H10,'TB - Expense Data'!$H$3:$N$758,3,FALSE)</f>
        <v>0</v>
      </c>
      <c r="J10" s="14">
        <f t="shared" ref="J10:J29" si="3">I10/2</f>
        <v>0</v>
      </c>
      <c r="K10" s="26">
        <f>VLOOKUP(H10,'TB - Expense Data'!$H$3:$N$758,7,FALSE)</f>
        <v>0</v>
      </c>
      <c r="L10" s="92">
        <f t="shared" ref="L10:L29" si="4">K10-J10</f>
        <v>0</v>
      </c>
      <c r="M10" s="48" t="str">
        <f t="shared" ref="M10:M29" si="5">IF(AND(J10&lt;&gt;0,L10&lt;&gt;0,ISNUMBER(J10),ISNUMBER(L10)),L10/J10,"-    ")</f>
        <v xml:space="preserve">-    </v>
      </c>
      <c r="N10" s="131" t="s">
        <v>782</v>
      </c>
      <c r="O10" s="156">
        <f>VLOOKUP(N10,'TB - Expense Data'!$H$3:$N$758,3,FALSE)</f>
        <v>0</v>
      </c>
      <c r="P10" s="14">
        <f t="shared" ref="P10:P29" si="6">O10/2</f>
        <v>0</v>
      </c>
      <c r="Q10" s="26">
        <f>VLOOKUP(N10,'TB - Expense Data'!$H$3:$N$758,7,FALSE)</f>
        <v>0</v>
      </c>
      <c r="R10" s="92">
        <f t="shared" ref="R10:R29" si="7">Q10-P10</f>
        <v>0</v>
      </c>
      <c r="S10" s="48" t="str">
        <f t="shared" ref="S10:S29" si="8">IF(AND(P10&lt;&gt;0,R10&lt;&gt;0,ISNUMBER(P10),ISNUMBER(R10)),R10/P10,"-    ")</f>
        <v xml:space="preserve">-    </v>
      </c>
      <c r="T10" s="131" t="s">
        <v>839</v>
      </c>
      <c r="U10" s="14">
        <f>VLOOKUP(T10,'TB - Expense Data'!$H$3:$N$758,3,FALSE)</f>
        <v>0</v>
      </c>
      <c r="V10" s="14">
        <f t="shared" ref="V10:V29" si="9">U10/2</f>
        <v>0</v>
      </c>
      <c r="W10" s="26">
        <f>VLOOKUP(T10,'TB - Expense Data'!$H$3:$N$758,7,FALSE)</f>
        <v>0</v>
      </c>
      <c r="X10" s="92">
        <f t="shared" ref="X10:X29" si="10">W10-V10</f>
        <v>0</v>
      </c>
      <c r="Y10" s="48" t="str">
        <f t="shared" ref="Y10:Y29" si="11">IF(AND(V10&lt;&gt;0,X10&lt;&gt;0,ISNUMBER(V10),ISNUMBER(X10)),X10/V10,"-    ")</f>
        <v xml:space="preserve">-    </v>
      </c>
      <c r="Z10" s="131" t="s">
        <v>979</v>
      </c>
      <c r="AA10" s="156">
        <f>VLOOKUP(Z10,'TB - Expense Data'!$H$3:$N$758,3,FALSE)</f>
        <v>0</v>
      </c>
      <c r="AB10" s="14">
        <f t="shared" ref="AB10:AB29" si="12">AA10/2</f>
        <v>0</v>
      </c>
      <c r="AC10" s="26">
        <f>VLOOKUP(Z10,'TB - Expense Data'!$H$3:$N$758,7,FALSE)</f>
        <v>0</v>
      </c>
      <c r="AD10" s="92">
        <f t="shared" ref="AD10:AD29" si="13">AC10-AB10</f>
        <v>0</v>
      </c>
      <c r="AE10" s="48" t="str">
        <f t="shared" ref="AE10:AE29" si="14">IF(AND(AB10&lt;&gt;0,AD10&lt;&gt;0,ISNUMBER(AB10),ISNUMBER(AD10)),AD10/AB10,"-    ")</f>
        <v xml:space="preserve">-    </v>
      </c>
      <c r="AF10" s="131" t="s">
        <v>979</v>
      </c>
      <c r="AG10" s="156">
        <f>VLOOKUP(AF10,'TB - Expense Data'!$H$3:$N$758,3,FALSE)</f>
        <v>0</v>
      </c>
      <c r="AH10" s="14">
        <f t="shared" ref="AH10:AH29" si="15">AG10/2</f>
        <v>0</v>
      </c>
      <c r="AI10" s="26">
        <f>VLOOKUP(AF10,'TB - Expense Data'!$H$3:$N$758,7,FALSE)</f>
        <v>0</v>
      </c>
      <c r="AJ10" s="92">
        <f t="shared" ref="AJ10:AJ29" si="16">AI10-AH10</f>
        <v>0</v>
      </c>
      <c r="AK10" s="48" t="str">
        <f t="shared" ref="AK10:AK29" si="17">IF(AND(AH10&lt;&gt;0,AJ10&lt;&gt;0,ISNUMBER(AH10),ISNUMBER(AJ10)),AJ10/AH10,"-    ")</f>
        <v xml:space="preserve">-    </v>
      </c>
      <c r="AL10" s="156">
        <f t="shared" ref="AL10:AL29" si="18">C10+I10+O10+U10+AA10+AG10</f>
        <v>0</v>
      </c>
      <c r="AM10" s="14">
        <f t="shared" ref="AM10:AM29" si="19">D10+J10+P10+V10+AB10+AH10</f>
        <v>0</v>
      </c>
      <c r="AN10" s="26">
        <f t="shared" ref="AN10:AN29" si="20">E10+K10+Q10+W10+AC10+AI10</f>
        <v>0</v>
      </c>
      <c r="AO10" s="92">
        <f t="shared" ref="AO10:AO29" si="21">AN10-AM10</f>
        <v>0</v>
      </c>
      <c r="AP10" s="48" t="str">
        <f t="shared" ref="AP10:AP29" si="22">IF(AND(AM10&lt;&gt;0,AO10&lt;&gt;0,ISNUMBER(AM10),ISNUMBER(AO10)),AO10/AM10,"-    ")</f>
        <v xml:space="preserve">-    </v>
      </c>
    </row>
    <row r="11" spans="1:42" ht="15.75" collapsed="1" x14ac:dyDescent="0.25">
      <c r="A11" s="13" t="s">
        <v>37</v>
      </c>
      <c r="B11" s="131" t="s">
        <v>652</v>
      </c>
      <c r="C11" s="14">
        <f>VLOOKUP(B11,'TB - Expense Data'!$H$3:$N$758,3,FALSE)</f>
        <v>5329.04</v>
      </c>
      <c r="D11" s="14">
        <f t="shared" si="0"/>
        <v>2664.52</v>
      </c>
      <c r="E11" s="26">
        <f>VLOOKUP(B11,'TB - Expense Data'!$H$3:$N$758,7,FALSE)</f>
        <v>3396.36</v>
      </c>
      <c r="F11" s="92">
        <f t="shared" si="1"/>
        <v>731.84000000000015</v>
      </c>
      <c r="G11" s="48">
        <f t="shared" si="2"/>
        <v>0.27466110218726081</v>
      </c>
      <c r="H11" s="131" t="s">
        <v>709</v>
      </c>
      <c r="I11" s="156">
        <f>VLOOKUP(H11,'TB - Expense Data'!$H$3:$N$758,3,FALSE)</f>
        <v>1470.08</v>
      </c>
      <c r="J11" s="14">
        <f t="shared" si="3"/>
        <v>735.04</v>
      </c>
      <c r="K11" s="26">
        <f>VLOOKUP(H11,'TB - Expense Data'!$H$3:$N$758,7,FALSE)</f>
        <v>936.96</v>
      </c>
      <c r="L11" s="92">
        <f t="shared" si="4"/>
        <v>201.92000000000007</v>
      </c>
      <c r="M11" s="48">
        <f t="shared" si="5"/>
        <v>0.27470613844144548</v>
      </c>
      <c r="N11" s="131" t="s">
        <v>768</v>
      </c>
      <c r="O11" s="156">
        <f>VLOOKUP(N11,'TB - Expense Data'!$H$3:$N$758,3,FALSE)</f>
        <v>9555.52</v>
      </c>
      <c r="P11" s="14">
        <f t="shared" si="6"/>
        <v>4777.76</v>
      </c>
      <c r="Q11" s="26">
        <f>VLOOKUP(N11,'TB - Expense Data'!$H$3:$N$758,7,FALSE)</f>
        <v>6090.31</v>
      </c>
      <c r="R11" s="92">
        <f t="shared" si="7"/>
        <v>1312.5500000000002</v>
      </c>
      <c r="S11" s="48">
        <f t="shared" si="8"/>
        <v>0.27472078965875224</v>
      </c>
      <c r="T11" s="131" t="s">
        <v>825</v>
      </c>
      <c r="U11" s="14">
        <f>VLOOKUP(T11,'TB - Expense Data'!$H$3:$N$758,3,FALSE)</f>
        <v>2021.36</v>
      </c>
      <c r="V11" s="14">
        <f t="shared" si="9"/>
        <v>1010.68</v>
      </c>
      <c r="W11" s="26">
        <f>VLOOKUP(T11,'TB - Expense Data'!$H$3:$N$758,7,FALSE)</f>
        <v>1288.32</v>
      </c>
      <c r="X11" s="92">
        <f t="shared" si="10"/>
        <v>277.64</v>
      </c>
      <c r="Y11" s="48">
        <f t="shared" si="11"/>
        <v>0.27470613844144537</v>
      </c>
      <c r="Z11" s="131" t="s">
        <v>979</v>
      </c>
      <c r="AA11" s="156">
        <f>VLOOKUP(Z11,'TB - Expense Data'!$H$3:$N$758,3,FALSE)</f>
        <v>0</v>
      </c>
      <c r="AB11" s="14">
        <f t="shared" si="12"/>
        <v>0</v>
      </c>
      <c r="AC11" s="26">
        <f>VLOOKUP(Z11,'TB - Expense Data'!$H$3:$N$758,7,FALSE)</f>
        <v>0</v>
      </c>
      <c r="AD11" s="92">
        <f t="shared" si="13"/>
        <v>0</v>
      </c>
      <c r="AE11" s="48" t="str">
        <f t="shared" si="14"/>
        <v xml:space="preserve">-    </v>
      </c>
      <c r="AF11" s="131" t="s">
        <v>979</v>
      </c>
      <c r="AG11" s="156">
        <f>VLOOKUP(AF11,'TB - Expense Data'!$H$3:$N$758,3,FALSE)</f>
        <v>0</v>
      </c>
      <c r="AH11" s="14">
        <f t="shared" si="15"/>
        <v>0</v>
      </c>
      <c r="AI11" s="26">
        <f>VLOOKUP(AF11,'TB - Expense Data'!$H$3:$N$758,7,FALSE)</f>
        <v>0</v>
      </c>
      <c r="AJ11" s="92">
        <f t="shared" si="16"/>
        <v>0</v>
      </c>
      <c r="AK11" s="48" t="str">
        <f t="shared" si="17"/>
        <v xml:space="preserve">-    </v>
      </c>
      <c r="AL11" s="156">
        <f t="shared" si="18"/>
        <v>18376</v>
      </c>
      <c r="AM11" s="14">
        <f t="shared" si="19"/>
        <v>9188</v>
      </c>
      <c r="AN11" s="26">
        <f t="shared" si="20"/>
        <v>11711.95</v>
      </c>
      <c r="AO11" s="92">
        <f t="shared" si="21"/>
        <v>2523.9500000000007</v>
      </c>
      <c r="AP11" s="48">
        <f t="shared" si="22"/>
        <v>0.27470069656073148</v>
      </c>
    </row>
    <row r="12" spans="1:42" ht="15.75" hidden="1" outlineLevel="1" x14ac:dyDescent="0.25">
      <c r="A12" s="44" t="s">
        <v>1076</v>
      </c>
      <c r="B12" s="131" t="s">
        <v>660</v>
      </c>
      <c r="C12" s="14">
        <f>VLOOKUP(B12,'TB - Expense Data'!$H$3:$N$758,3,FALSE)</f>
        <v>0</v>
      </c>
      <c r="D12" s="14">
        <f t="shared" si="0"/>
        <v>0</v>
      </c>
      <c r="E12" s="26">
        <f>VLOOKUP(B12,'TB - Expense Data'!$H$3:$N$758,7,FALSE)</f>
        <v>0</v>
      </c>
      <c r="F12" s="92">
        <f t="shared" si="1"/>
        <v>0</v>
      </c>
      <c r="G12" s="48" t="str">
        <f t="shared" si="2"/>
        <v xml:space="preserve">-    </v>
      </c>
      <c r="H12" s="131" t="s">
        <v>717</v>
      </c>
      <c r="I12" s="156">
        <f>VLOOKUP(H12,'TB - Expense Data'!$H$3:$N$758,3,FALSE)</f>
        <v>0</v>
      </c>
      <c r="J12" s="14">
        <f t="shared" si="3"/>
        <v>0</v>
      </c>
      <c r="K12" s="26">
        <f>VLOOKUP(H12,'TB - Expense Data'!$H$3:$N$758,7,FALSE)</f>
        <v>0</v>
      </c>
      <c r="L12" s="92">
        <f t="shared" si="4"/>
        <v>0</v>
      </c>
      <c r="M12" s="48" t="str">
        <f t="shared" si="5"/>
        <v xml:space="preserve">-    </v>
      </c>
      <c r="N12" s="131" t="s">
        <v>776</v>
      </c>
      <c r="O12" s="156">
        <f>VLOOKUP(N12,'TB - Expense Data'!$H$3:$N$758,3,FALSE)</f>
        <v>0</v>
      </c>
      <c r="P12" s="14">
        <f t="shared" si="6"/>
        <v>0</v>
      </c>
      <c r="Q12" s="26">
        <f>VLOOKUP(N12,'TB - Expense Data'!$H$3:$N$758,7,FALSE)</f>
        <v>0</v>
      </c>
      <c r="R12" s="92">
        <f t="shared" si="7"/>
        <v>0</v>
      </c>
      <c r="S12" s="48" t="str">
        <f t="shared" si="8"/>
        <v xml:space="preserve">-    </v>
      </c>
      <c r="T12" s="131" t="s">
        <v>833</v>
      </c>
      <c r="U12" s="14">
        <f>VLOOKUP(T12,'TB - Expense Data'!$H$3:$N$758,3,FALSE)</f>
        <v>0</v>
      </c>
      <c r="V12" s="14">
        <f t="shared" si="9"/>
        <v>0</v>
      </c>
      <c r="W12" s="26">
        <f>VLOOKUP(T12,'TB - Expense Data'!$H$3:$N$758,7,FALSE)</f>
        <v>0</v>
      </c>
      <c r="X12" s="92">
        <f t="shared" si="10"/>
        <v>0</v>
      </c>
      <c r="Y12" s="48" t="str">
        <f t="shared" si="11"/>
        <v xml:space="preserve">-    </v>
      </c>
      <c r="Z12" s="131" t="s">
        <v>979</v>
      </c>
      <c r="AA12" s="156">
        <f>VLOOKUP(Z12,'TB - Expense Data'!$H$3:$N$758,3,FALSE)</f>
        <v>0</v>
      </c>
      <c r="AB12" s="14">
        <f t="shared" si="12"/>
        <v>0</v>
      </c>
      <c r="AC12" s="26">
        <f>VLOOKUP(Z12,'TB - Expense Data'!$H$3:$N$758,7,FALSE)</f>
        <v>0</v>
      </c>
      <c r="AD12" s="92">
        <f t="shared" si="13"/>
        <v>0</v>
      </c>
      <c r="AE12" s="48" t="str">
        <f t="shared" si="14"/>
        <v xml:space="preserve">-    </v>
      </c>
      <c r="AF12" s="131" t="s">
        <v>979</v>
      </c>
      <c r="AG12" s="156">
        <f>VLOOKUP(AF12,'TB - Expense Data'!$H$3:$N$758,3,FALSE)</f>
        <v>0</v>
      </c>
      <c r="AH12" s="14">
        <f t="shared" si="15"/>
        <v>0</v>
      </c>
      <c r="AI12" s="26">
        <f>VLOOKUP(AF12,'TB - Expense Data'!$H$3:$N$758,7,FALSE)</f>
        <v>0</v>
      </c>
      <c r="AJ12" s="92">
        <f t="shared" si="16"/>
        <v>0</v>
      </c>
      <c r="AK12" s="48" t="str">
        <f t="shared" si="17"/>
        <v xml:space="preserve">-    </v>
      </c>
      <c r="AL12" s="156">
        <f t="shared" si="18"/>
        <v>0</v>
      </c>
      <c r="AM12" s="14">
        <f t="shared" si="19"/>
        <v>0</v>
      </c>
      <c r="AN12" s="26">
        <f t="shared" si="20"/>
        <v>0</v>
      </c>
      <c r="AO12" s="92">
        <f t="shared" si="21"/>
        <v>0</v>
      </c>
      <c r="AP12" s="48" t="str">
        <f t="shared" si="22"/>
        <v xml:space="preserve">-    </v>
      </c>
    </row>
    <row r="13" spans="1:42" ht="15.75" collapsed="1" x14ac:dyDescent="0.25">
      <c r="A13" s="13" t="s">
        <v>153</v>
      </c>
      <c r="B13" s="131" t="s">
        <v>635</v>
      </c>
      <c r="C13" s="14">
        <f>VLOOKUP(B13,'TB - Expense Data'!$H$3:$N$758,3,FALSE)</f>
        <v>17480</v>
      </c>
      <c r="D13" s="14">
        <f t="shared" si="0"/>
        <v>8740</v>
      </c>
      <c r="E13" s="26">
        <f>VLOOKUP(B13,'TB - Expense Data'!$H$3:$N$758,7,FALSE)</f>
        <v>6767.33</v>
      </c>
      <c r="F13" s="92">
        <f t="shared" si="1"/>
        <v>-1972.67</v>
      </c>
      <c r="G13" s="48">
        <f t="shared" si="2"/>
        <v>-0.22570594965675059</v>
      </c>
      <c r="H13" s="131" t="s">
        <v>692</v>
      </c>
      <c r="I13" s="156">
        <f>VLOOKUP(H13,'TB - Expense Data'!$H$3:$N$758,3,FALSE)</f>
        <v>4822</v>
      </c>
      <c r="J13" s="14">
        <f t="shared" si="3"/>
        <v>2411</v>
      </c>
      <c r="K13" s="26">
        <f>VLOOKUP(H13,'TB - Expense Data'!$H$3:$N$758,7,FALSE)</f>
        <v>1869.31</v>
      </c>
      <c r="L13" s="92">
        <f t="shared" si="4"/>
        <v>-541.69000000000005</v>
      </c>
      <c r="M13" s="48">
        <f t="shared" si="5"/>
        <v>-0.22467440895893823</v>
      </c>
      <c r="N13" s="131" t="s">
        <v>747</v>
      </c>
      <c r="O13" s="156">
        <f>VLOOKUP(N13,'TB - Expense Data'!$H$3:$N$758,3,FALSE)</f>
        <v>31343</v>
      </c>
      <c r="P13" s="14">
        <f t="shared" si="6"/>
        <v>15671.5</v>
      </c>
      <c r="Q13" s="26">
        <f>VLOOKUP(N13,'TB - Expense Data'!$H$3:$N$758,7,FALSE)</f>
        <v>12137.81</v>
      </c>
      <c r="R13" s="92">
        <f t="shared" si="7"/>
        <v>-3533.6900000000005</v>
      </c>
      <c r="S13" s="48">
        <f t="shared" si="8"/>
        <v>-0.22548511629390935</v>
      </c>
      <c r="T13" s="131" t="s">
        <v>806</v>
      </c>
      <c r="U13" s="14">
        <f>VLOOKUP(T13,'TB - Expense Data'!$H$3:$N$758,3,FALSE)</f>
        <v>6630</v>
      </c>
      <c r="V13" s="14">
        <f t="shared" si="9"/>
        <v>3315</v>
      </c>
      <c r="W13" s="26">
        <f>VLOOKUP(T13,'TB - Expense Data'!$H$3:$N$758,7,FALSE)</f>
        <v>2570.96</v>
      </c>
      <c r="X13" s="92">
        <f t="shared" si="10"/>
        <v>-744.04</v>
      </c>
      <c r="Y13" s="48">
        <f t="shared" si="11"/>
        <v>-0.22444645550527903</v>
      </c>
      <c r="Z13" s="131" t="s">
        <v>979</v>
      </c>
      <c r="AA13" s="156">
        <f>VLOOKUP(Z13,'TB - Expense Data'!$H$3:$N$758,3,FALSE)</f>
        <v>0</v>
      </c>
      <c r="AB13" s="14">
        <f t="shared" si="12"/>
        <v>0</v>
      </c>
      <c r="AC13" s="26">
        <f>VLOOKUP(Z13,'TB - Expense Data'!$H$3:$N$758,7,FALSE)</f>
        <v>0</v>
      </c>
      <c r="AD13" s="92">
        <f t="shared" si="13"/>
        <v>0</v>
      </c>
      <c r="AE13" s="48" t="str">
        <f t="shared" si="14"/>
        <v xml:space="preserve">-    </v>
      </c>
      <c r="AF13" s="131" t="s">
        <v>979</v>
      </c>
      <c r="AG13" s="156">
        <f>VLOOKUP(AF13,'TB - Expense Data'!$H$3:$N$758,3,FALSE)</f>
        <v>0</v>
      </c>
      <c r="AH13" s="14">
        <f t="shared" si="15"/>
        <v>0</v>
      </c>
      <c r="AI13" s="26">
        <f>VLOOKUP(AF13,'TB - Expense Data'!$H$3:$N$758,7,FALSE)</f>
        <v>0</v>
      </c>
      <c r="AJ13" s="92">
        <f t="shared" si="16"/>
        <v>0</v>
      </c>
      <c r="AK13" s="48" t="str">
        <f t="shared" si="17"/>
        <v xml:space="preserve">-    </v>
      </c>
      <c r="AL13" s="156">
        <f t="shared" si="18"/>
        <v>60275</v>
      </c>
      <c r="AM13" s="14">
        <f t="shared" si="19"/>
        <v>30137.5</v>
      </c>
      <c r="AN13" s="26">
        <f t="shared" si="20"/>
        <v>23345.409999999996</v>
      </c>
      <c r="AO13" s="92">
        <f t="shared" si="21"/>
        <v>-6792.0900000000038</v>
      </c>
      <c r="AP13" s="48">
        <f t="shared" si="22"/>
        <v>-0.2253700539195356</v>
      </c>
    </row>
    <row r="14" spans="1:42" ht="15.75" x14ac:dyDescent="0.25">
      <c r="A14" s="13" t="s">
        <v>154</v>
      </c>
      <c r="B14" s="131" t="s">
        <v>646</v>
      </c>
      <c r="C14" s="14">
        <f>VLOOKUP(B14,'TB - Expense Data'!$H$3:$N$758,3,FALSE)</f>
        <v>4460</v>
      </c>
      <c r="D14" s="14">
        <f t="shared" si="0"/>
        <v>2230</v>
      </c>
      <c r="E14" s="26">
        <f>VLOOKUP(B14,'TB - Expense Data'!$H$3:$N$758,7,FALSE)</f>
        <v>1911.95</v>
      </c>
      <c r="F14" s="92">
        <f t="shared" si="1"/>
        <v>-318.04999999999995</v>
      </c>
      <c r="G14" s="48">
        <f t="shared" si="2"/>
        <v>-0.14262331838565021</v>
      </c>
      <c r="H14" s="131" t="s">
        <v>703</v>
      </c>
      <c r="I14" s="156">
        <f>VLOOKUP(H14,'TB - Expense Data'!$H$3:$N$758,3,FALSE)</f>
        <v>1230</v>
      </c>
      <c r="J14" s="14">
        <f t="shared" si="3"/>
        <v>615</v>
      </c>
      <c r="K14" s="26">
        <f>VLOOKUP(H14,'TB - Expense Data'!$H$3:$N$758,7,FALSE)</f>
        <v>532.14</v>
      </c>
      <c r="L14" s="92">
        <f t="shared" si="4"/>
        <v>-82.860000000000014</v>
      </c>
      <c r="M14" s="48">
        <f t="shared" si="5"/>
        <v>-0.13473170731707318</v>
      </c>
      <c r="N14" s="131" t="s">
        <v>761</v>
      </c>
      <c r="O14" s="156">
        <f>VLOOKUP(N14,'TB - Expense Data'!$H$3:$N$758,3,FALSE)</f>
        <v>7998</v>
      </c>
      <c r="P14" s="14">
        <f t="shared" si="6"/>
        <v>3999</v>
      </c>
      <c r="Q14" s="26">
        <f>VLOOKUP(N14,'TB - Expense Data'!$H$3:$N$758,7,FALSE)</f>
        <v>3436.54</v>
      </c>
      <c r="R14" s="92">
        <f t="shared" si="7"/>
        <v>-562.46</v>
      </c>
      <c r="S14" s="48">
        <f t="shared" si="8"/>
        <v>-0.14065016254063517</v>
      </c>
      <c r="T14" s="131" t="s">
        <v>819</v>
      </c>
      <c r="U14" s="14">
        <f>VLOOKUP(T14,'TB - Expense Data'!$H$3:$N$758,3,FALSE)</f>
        <v>1692</v>
      </c>
      <c r="V14" s="14">
        <f t="shared" si="9"/>
        <v>846</v>
      </c>
      <c r="W14" s="26">
        <f>VLOOKUP(T14,'TB - Expense Data'!$H$3:$N$758,7,FALSE)</f>
        <v>733.69</v>
      </c>
      <c r="X14" s="92">
        <f t="shared" si="10"/>
        <v>-112.30999999999995</v>
      </c>
      <c r="Y14" s="48">
        <f t="shared" si="11"/>
        <v>-0.13275413711583917</v>
      </c>
      <c r="Z14" s="131" t="s">
        <v>979</v>
      </c>
      <c r="AA14" s="156">
        <f>VLOOKUP(Z14,'TB - Expense Data'!$H$3:$N$758,3,FALSE)</f>
        <v>0</v>
      </c>
      <c r="AB14" s="14">
        <f t="shared" si="12"/>
        <v>0</v>
      </c>
      <c r="AC14" s="26">
        <f>VLOOKUP(Z14,'TB - Expense Data'!$H$3:$N$758,7,FALSE)</f>
        <v>0</v>
      </c>
      <c r="AD14" s="92">
        <f t="shared" si="13"/>
        <v>0</v>
      </c>
      <c r="AE14" s="48" t="str">
        <f t="shared" si="14"/>
        <v xml:space="preserve">-    </v>
      </c>
      <c r="AF14" s="131" t="s">
        <v>979</v>
      </c>
      <c r="AG14" s="156">
        <f>VLOOKUP(AF14,'TB - Expense Data'!$H$3:$N$758,3,FALSE)</f>
        <v>0</v>
      </c>
      <c r="AH14" s="14">
        <f t="shared" si="15"/>
        <v>0</v>
      </c>
      <c r="AI14" s="26">
        <f>VLOOKUP(AF14,'TB - Expense Data'!$H$3:$N$758,7,FALSE)</f>
        <v>0</v>
      </c>
      <c r="AJ14" s="92">
        <f t="shared" si="16"/>
        <v>0</v>
      </c>
      <c r="AK14" s="48" t="str">
        <f t="shared" si="17"/>
        <v xml:space="preserve">-    </v>
      </c>
      <c r="AL14" s="156">
        <f t="shared" si="18"/>
        <v>15380</v>
      </c>
      <c r="AM14" s="14">
        <f t="shared" si="19"/>
        <v>7690</v>
      </c>
      <c r="AN14" s="26">
        <f t="shared" si="20"/>
        <v>6614.32</v>
      </c>
      <c r="AO14" s="92">
        <f t="shared" si="21"/>
        <v>-1075.6800000000003</v>
      </c>
      <c r="AP14" s="48">
        <f t="shared" si="22"/>
        <v>-0.1398803641092328</v>
      </c>
    </row>
    <row r="15" spans="1:42" ht="15.75" x14ac:dyDescent="0.25">
      <c r="A15" s="13" t="s">
        <v>38</v>
      </c>
      <c r="B15" s="131" t="s">
        <v>647</v>
      </c>
      <c r="C15" s="14">
        <f>VLOOKUP(B15,'TB - Expense Data'!$H$3:$N$758,3,FALSE)</f>
        <v>57555</v>
      </c>
      <c r="D15" s="14">
        <f t="shared" si="0"/>
        <v>28777.5</v>
      </c>
      <c r="E15" s="26">
        <f>VLOOKUP(B15,'TB - Expense Data'!$H$3:$N$758,7,FALSE)</f>
        <v>8498</v>
      </c>
      <c r="F15" s="92">
        <f t="shared" si="1"/>
        <v>-20279.5</v>
      </c>
      <c r="G15" s="48">
        <f t="shared" si="2"/>
        <v>-0.70469985231517673</v>
      </c>
      <c r="H15" s="131" t="s">
        <v>704</v>
      </c>
      <c r="I15" s="156">
        <f>VLOOKUP(H15,'TB - Expense Data'!$H$3:$N$758,3,FALSE)</f>
        <v>15877</v>
      </c>
      <c r="J15" s="14">
        <f t="shared" si="3"/>
        <v>7938.5</v>
      </c>
      <c r="K15" s="26">
        <f>VLOOKUP(H15,'TB - Expense Data'!$H$3:$N$758,7,FALSE)</f>
        <v>6742.18</v>
      </c>
      <c r="L15" s="92">
        <f t="shared" si="4"/>
        <v>-1196.3199999999997</v>
      </c>
      <c r="M15" s="48">
        <f t="shared" si="5"/>
        <v>-0.15069849467783583</v>
      </c>
      <c r="N15" s="131" t="s">
        <v>762</v>
      </c>
      <c r="O15" s="156">
        <f>VLOOKUP(N15,'TB - Expense Data'!$H$3:$N$758,3,FALSE)</f>
        <v>103201</v>
      </c>
      <c r="P15" s="14">
        <f t="shared" si="6"/>
        <v>51600.5</v>
      </c>
      <c r="Q15" s="26">
        <f>VLOOKUP(N15,'TB - Expense Data'!$H$3:$N$758,7,FALSE)</f>
        <v>43616.55</v>
      </c>
      <c r="R15" s="92">
        <f t="shared" si="7"/>
        <v>-7983.9499999999971</v>
      </c>
      <c r="S15" s="48">
        <f t="shared" si="8"/>
        <v>-0.15472621389327618</v>
      </c>
      <c r="T15" s="131" t="s">
        <v>820</v>
      </c>
      <c r="U15" s="14">
        <f>VLOOKUP(T15,'TB - Expense Data'!$H$3:$N$758,3,FALSE)</f>
        <v>21831</v>
      </c>
      <c r="V15" s="14">
        <f t="shared" si="9"/>
        <v>10915.5</v>
      </c>
      <c r="W15" s="26">
        <f>VLOOKUP(T15,'TB - Expense Data'!$H$3:$N$758,7,FALSE)</f>
        <v>9120.33</v>
      </c>
      <c r="X15" s="92">
        <f t="shared" si="10"/>
        <v>-1795.17</v>
      </c>
      <c r="Y15" s="48">
        <f t="shared" si="11"/>
        <v>-0.16446062938023912</v>
      </c>
      <c r="Z15" s="131" t="s">
        <v>979</v>
      </c>
      <c r="AA15" s="156">
        <f>VLOOKUP(Z15,'TB - Expense Data'!$H$3:$N$758,3,FALSE)</f>
        <v>0</v>
      </c>
      <c r="AB15" s="14">
        <f t="shared" si="12"/>
        <v>0</v>
      </c>
      <c r="AC15" s="26">
        <f>VLOOKUP(Z15,'TB - Expense Data'!$H$3:$N$758,7,FALSE)</f>
        <v>0</v>
      </c>
      <c r="AD15" s="92">
        <f t="shared" si="13"/>
        <v>0</v>
      </c>
      <c r="AE15" s="48" t="str">
        <f t="shared" si="14"/>
        <v xml:space="preserve">-    </v>
      </c>
      <c r="AF15" s="131" t="s">
        <v>979</v>
      </c>
      <c r="AG15" s="156">
        <f>VLOOKUP(AF15,'TB - Expense Data'!$H$3:$N$758,3,FALSE)</f>
        <v>0</v>
      </c>
      <c r="AH15" s="14">
        <f t="shared" si="15"/>
        <v>0</v>
      </c>
      <c r="AI15" s="26">
        <f>VLOOKUP(AF15,'TB - Expense Data'!$H$3:$N$758,7,FALSE)</f>
        <v>0</v>
      </c>
      <c r="AJ15" s="92">
        <f t="shared" si="16"/>
        <v>0</v>
      </c>
      <c r="AK15" s="48" t="str">
        <f t="shared" si="17"/>
        <v xml:space="preserve">-    </v>
      </c>
      <c r="AL15" s="156">
        <f t="shared" si="18"/>
        <v>198464</v>
      </c>
      <c r="AM15" s="14">
        <f t="shared" si="19"/>
        <v>99232</v>
      </c>
      <c r="AN15" s="26">
        <f t="shared" si="20"/>
        <v>67977.06</v>
      </c>
      <c r="AO15" s="92">
        <f t="shared" si="21"/>
        <v>-31254.940000000002</v>
      </c>
      <c r="AP15" s="48">
        <f t="shared" si="22"/>
        <v>-0.31496835698161885</v>
      </c>
    </row>
    <row r="16" spans="1:42" ht="15.75" x14ac:dyDescent="0.25">
      <c r="A16" s="13" t="s">
        <v>77</v>
      </c>
      <c r="B16" s="131" t="s">
        <v>631</v>
      </c>
      <c r="C16" s="14">
        <f>VLOOKUP(B16,'TB - Expense Data'!$H$3:$N$758,3,FALSE)</f>
        <v>3548</v>
      </c>
      <c r="D16" s="14">
        <f t="shared" si="0"/>
        <v>1774</v>
      </c>
      <c r="E16" s="26">
        <f>VLOOKUP(B16,'TB - Expense Data'!$H$3:$N$758,7,FALSE)</f>
        <v>1253.6300000000001</v>
      </c>
      <c r="F16" s="92">
        <f t="shared" si="1"/>
        <v>-520.36999999999989</v>
      </c>
      <c r="G16" s="48">
        <f t="shared" si="2"/>
        <v>-0.29333145434047342</v>
      </c>
      <c r="H16" s="131" t="s">
        <v>688</v>
      </c>
      <c r="I16" s="156">
        <f>VLOOKUP(H16,'TB - Expense Data'!$H$3:$N$758,3,FALSE)</f>
        <v>979</v>
      </c>
      <c r="J16" s="14">
        <f t="shared" si="3"/>
        <v>489.5</v>
      </c>
      <c r="K16" s="26">
        <f>VLOOKUP(H16,'TB - Expense Data'!$H$3:$N$758,7,FALSE)</f>
        <v>352.19</v>
      </c>
      <c r="L16" s="92">
        <f t="shared" si="4"/>
        <v>-137.31</v>
      </c>
      <c r="M16" s="48">
        <f t="shared" si="5"/>
        <v>-0.28051072522982634</v>
      </c>
      <c r="N16" s="131" t="s">
        <v>743</v>
      </c>
      <c r="O16" s="156">
        <f>VLOOKUP(N16,'TB - Expense Data'!$H$3:$N$758,3,FALSE)</f>
        <v>6362</v>
      </c>
      <c r="P16" s="14">
        <f t="shared" si="6"/>
        <v>3181</v>
      </c>
      <c r="Q16" s="26">
        <f>VLOOKUP(N16,'TB - Expense Data'!$H$3:$N$758,7,FALSE)</f>
        <v>2222.9499999999998</v>
      </c>
      <c r="R16" s="92">
        <f t="shared" si="7"/>
        <v>-958.05000000000018</v>
      </c>
      <c r="S16" s="48">
        <f t="shared" si="8"/>
        <v>-0.30117887456774606</v>
      </c>
      <c r="T16" s="131" t="s">
        <v>802</v>
      </c>
      <c r="U16" s="14">
        <f>VLOOKUP(T16,'TB - Expense Data'!$H$3:$N$758,3,FALSE)</f>
        <v>1346</v>
      </c>
      <c r="V16" s="14">
        <f t="shared" si="9"/>
        <v>673</v>
      </c>
      <c r="W16" s="26">
        <f>VLOOKUP(T16,'TB - Expense Data'!$H$3:$N$758,7,FALSE)</f>
        <v>476.1</v>
      </c>
      <c r="X16" s="92">
        <f t="shared" si="10"/>
        <v>-196.89999999999998</v>
      </c>
      <c r="Y16" s="48">
        <f t="shared" si="11"/>
        <v>-0.29257057949479937</v>
      </c>
      <c r="Z16" s="131" t="s">
        <v>979</v>
      </c>
      <c r="AA16" s="156">
        <f>VLOOKUP(Z16,'TB - Expense Data'!$H$3:$N$758,3,FALSE)</f>
        <v>0</v>
      </c>
      <c r="AB16" s="14">
        <f t="shared" si="12"/>
        <v>0</v>
      </c>
      <c r="AC16" s="26">
        <f>VLOOKUP(Z16,'TB - Expense Data'!$H$3:$N$758,7,FALSE)</f>
        <v>0</v>
      </c>
      <c r="AD16" s="92">
        <f t="shared" si="13"/>
        <v>0</v>
      </c>
      <c r="AE16" s="48" t="str">
        <f t="shared" si="14"/>
        <v xml:space="preserve">-    </v>
      </c>
      <c r="AF16" s="131" t="s">
        <v>979</v>
      </c>
      <c r="AG16" s="156">
        <f>VLOOKUP(AF16,'TB - Expense Data'!$H$3:$N$758,3,FALSE)</f>
        <v>0</v>
      </c>
      <c r="AH16" s="14">
        <f t="shared" si="15"/>
        <v>0</v>
      </c>
      <c r="AI16" s="26">
        <f>VLOOKUP(AF16,'TB - Expense Data'!$H$3:$N$758,7,FALSE)</f>
        <v>0</v>
      </c>
      <c r="AJ16" s="92">
        <f t="shared" si="16"/>
        <v>0</v>
      </c>
      <c r="AK16" s="48" t="str">
        <f t="shared" si="17"/>
        <v xml:space="preserve">-    </v>
      </c>
      <c r="AL16" s="156">
        <f t="shared" si="18"/>
        <v>12235</v>
      </c>
      <c r="AM16" s="14">
        <f t="shared" si="19"/>
        <v>6117.5</v>
      </c>
      <c r="AN16" s="26">
        <f t="shared" si="20"/>
        <v>4304.87</v>
      </c>
      <c r="AO16" s="92">
        <f t="shared" si="21"/>
        <v>-1812.63</v>
      </c>
      <c r="AP16" s="48">
        <f t="shared" si="22"/>
        <v>-0.29630241111565181</v>
      </c>
    </row>
    <row r="17" spans="1:42" ht="15.75" x14ac:dyDescent="0.25">
      <c r="A17" s="13" t="s">
        <v>78</v>
      </c>
      <c r="B17" s="131" t="s">
        <v>664</v>
      </c>
      <c r="C17" s="14">
        <f>VLOOKUP(B17,'TB - Expense Data'!$H$3:$N$758,3,FALSE)</f>
        <v>659</v>
      </c>
      <c r="D17" s="14">
        <f t="shared" si="0"/>
        <v>329.5</v>
      </c>
      <c r="E17" s="26">
        <f>VLOOKUP(B17,'TB - Expense Data'!$H$3:$N$758,7,FALSE)</f>
        <v>349.54</v>
      </c>
      <c r="F17" s="92">
        <f t="shared" si="1"/>
        <v>20.04000000000002</v>
      </c>
      <c r="G17" s="48">
        <f t="shared" si="2"/>
        <v>6.0819423368740577E-2</v>
      </c>
      <c r="H17" s="131" t="s">
        <v>721</v>
      </c>
      <c r="I17" s="156">
        <f>VLOOKUP(H17,'TB - Expense Data'!$H$3:$N$758,3,FALSE)</f>
        <v>182</v>
      </c>
      <c r="J17" s="14">
        <f t="shared" si="3"/>
        <v>91</v>
      </c>
      <c r="K17" s="26">
        <f>VLOOKUP(H17,'TB - Expense Data'!$H$3:$N$758,7,FALSE)</f>
        <v>98.01</v>
      </c>
      <c r="L17" s="92">
        <f t="shared" si="4"/>
        <v>7.0100000000000051</v>
      </c>
      <c r="M17" s="48">
        <f t="shared" si="5"/>
        <v>7.7032967032967095E-2</v>
      </c>
      <c r="N17" s="131" t="s">
        <v>780</v>
      </c>
      <c r="O17" s="156">
        <f>VLOOKUP(N17,'TB - Expense Data'!$H$3:$N$758,3,FALSE)</f>
        <v>1181</v>
      </c>
      <c r="P17" s="14">
        <f t="shared" si="6"/>
        <v>590.5</v>
      </c>
      <c r="Q17" s="26">
        <f>VLOOKUP(N17,'TB - Expense Data'!$H$3:$N$758,7,FALSE)</f>
        <v>620.32000000000005</v>
      </c>
      <c r="R17" s="92">
        <f t="shared" si="7"/>
        <v>29.82000000000005</v>
      </c>
      <c r="S17" s="48">
        <f t="shared" si="8"/>
        <v>5.0499576629974681E-2</v>
      </c>
      <c r="T17" s="131" t="s">
        <v>837</v>
      </c>
      <c r="U17" s="14">
        <f>VLOOKUP(T17,'TB - Expense Data'!$H$3:$N$758,3,FALSE)</f>
        <v>250</v>
      </c>
      <c r="V17" s="14">
        <f t="shared" si="9"/>
        <v>125</v>
      </c>
      <c r="W17" s="26">
        <f>VLOOKUP(T17,'TB - Expense Data'!$H$3:$N$758,7,FALSE)</f>
        <v>132.24</v>
      </c>
      <c r="X17" s="92">
        <f t="shared" si="10"/>
        <v>7.2400000000000091</v>
      </c>
      <c r="Y17" s="48">
        <f t="shared" si="11"/>
        <v>5.7920000000000076E-2</v>
      </c>
      <c r="Z17" s="131" t="s">
        <v>979</v>
      </c>
      <c r="AA17" s="156">
        <f>VLOOKUP(Z17,'TB - Expense Data'!$H$3:$N$758,3,FALSE)</f>
        <v>0</v>
      </c>
      <c r="AB17" s="14">
        <f t="shared" si="12"/>
        <v>0</v>
      </c>
      <c r="AC17" s="26">
        <f>VLOOKUP(Z17,'TB - Expense Data'!$H$3:$N$758,7,FALSE)</f>
        <v>0</v>
      </c>
      <c r="AD17" s="92">
        <f t="shared" si="13"/>
        <v>0</v>
      </c>
      <c r="AE17" s="48" t="str">
        <f t="shared" si="14"/>
        <v xml:space="preserve">-    </v>
      </c>
      <c r="AF17" s="131" t="s">
        <v>979</v>
      </c>
      <c r="AG17" s="156">
        <f>VLOOKUP(AF17,'TB - Expense Data'!$H$3:$N$758,3,FALSE)</f>
        <v>0</v>
      </c>
      <c r="AH17" s="14">
        <f t="shared" si="15"/>
        <v>0</v>
      </c>
      <c r="AI17" s="26">
        <f>VLOOKUP(AF17,'TB - Expense Data'!$H$3:$N$758,7,FALSE)</f>
        <v>0</v>
      </c>
      <c r="AJ17" s="92">
        <f t="shared" si="16"/>
        <v>0</v>
      </c>
      <c r="AK17" s="48" t="str">
        <f t="shared" si="17"/>
        <v xml:space="preserve">-    </v>
      </c>
      <c r="AL17" s="156">
        <f t="shared" si="18"/>
        <v>2272</v>
      </c>
      <c r="AM17" s="14">
        <f t="shared" si="19"/>
        <v>1136</v>
      </c>
      <c r="AN17" s="26">
        <f t="shared" si="20"/>
        <v>1200.1100000000001</v>
      </c>
      <c r="AO17" s="92">
        <f t="shared" si="21"/>
        <v>64.110000000000127</v>
      </c>
      <c r="AP17" s="48">
        <f t="shared" si="22"/>
        <v>5.6434859154929691E-2</v>
      </c>
    </row>
    <row r="18" spans="1:42" ht="15.75" x14ac:dyDescent="0.25">
      <c r="A18" s="13" t="s">
        <v>79</v>
      </c>
      <c r="B18" s="131" t="s">
        <v>669</v>
      </c>
      <c r="C18" s="14">
        <f>VLOOKUP(B18,'TB - Expense Data'!$H$3:$N$758,3,FALSE)</f>
        <v>3167</v>
      </c>
      <c r="D18" s="14">
        <f t="shared" si="0"/>
        <v>1583.5</v>
      </c>
      <c r="E18" s="26">
        <f>VLOOKUP(B18,'TB - Expense Data'!$H$3:$N$758,7,FALSE)</f>
        <v>1133.58</v>
      </c>
      <c r="F18" s="92">
        <f t="shared" si="1"/>
        <v>-449.92000000000007</v>
      </c>
      <c r="G18" s="48">
        <f t="shared" si="2"/>
        <v>-0.28413009156930852</v>
      </c>
      <c r="H18" s="131" t="s">
        <v>724</v>
      </c>
      <c r="I18" s="156">
        <f>VLOOKUP(H18,'TB - Expense Data'!$H$3:$N$758,3,FALSE)</f>
        <v>874</v>
      </c>
      <c r="J18" s="14">
        <f t="shared" si="3"/>
        <v>437</v>
      </c>
      <c r="K18" s="26">
        <f>VLOOKUP(H18,'TB - Expense Data'!$H$3:$N$758,7,FALSE)</f>
        <v>318.91000000000003</v>
      </c>
      <c r="L18" s="92">
        <f t="shared" si="4"/>
        <v>-118.08999999999997</v>
      </c>
      <c r="M18" s="48">
        <f t="shared" si="5"/>
        <v>-0.270228832951945</v>
      </c>
      <c r="N18" s="131" t="s">
        <v>783</v>
      </c>
      <c r="O18" s="156">
        <f>VLOOKUP(N18,'TB - Expense Data'!$H$3:$N$758,3,FALSE)</f>
        <v>5678</v>
      </c>
      <c r="P18" s="14">
        <f t="shared" si="6"/>
        <v>2839</v>
      </c>
      <c r="Q18" s="26">
        <f>VLOOKUP(N18,'TB - Expense Data'!$H$3:$N$758,7,FALSE)</f>
        <v>2022.6</v>
      </c>
      <c r="R18" s="92">
        <f t="shared" si="7"/>
        <v>-816.40000000000009</v>
      </c>
      <c r="S18" s="48">
        <f t="shared" si="8"/>
        <v>-0.28756604438182459</v>
      </c>
      <c r="T18" s="131" t="s">
        <v>840</v>
      </c>
      <c r="U18" s="14">
        <f>VLOOKUP(T18,'TB - Expense Data'!$H$3:$N$758,3,FALSE)</f>
        <v>1201</v>
      </c>
      <c r="V18" s="14">
        <f t="shared" si="9"/>
        <v>600.5</v>
      </c>
      <c r="W18" s="26">
        <f>VLOOKUP(T18,'TB - Expense Data'!$H$3:$N$758,7,FALSE)</f>
        <v>434.31</v>
      </c>
      <c r="X18" s="92">
        <f t="shared" si="10"/>
        <v>-166.19</v>
      </c>
      <c r="Y18" s="48">
        <f t="shared" si="11"/>
        <v>-0.27675270607826813</v>
      </c>
      <c r="Z18" s="131" t="s">
        <v>979</v>
      </c>
      <c r="AA18" s="156">
        <f>VLOOKUP(Z18,'TB - Expense Data'!$H$3:$N$758,3,FALSE)</f>
        <v>0</v>
      </c>
      <c r="AB18" s="14">
        <f t="shared" si="12"/>
        <v>0</v>
      </c>
      <c r="AC18" s="26">
        <f>VLOOKUP(Z18,'TB - Expense Data'!$H$3:$N$758,7,FALSE)</f>
        <v>0</v>
      </c>
      <c r="AD18" s="92">
        <f t="shared" si="13"/>
        <v>0</v>
      </c>
      <c r="AE18" s="48" t="str">
        <f t="shared" si="14"/>
        <v xml:space="preserve">-    </v>
      </c>
      <c r="AF18" s="131" t="s">
        <v>979</v>
      </c>
      <c r="AG18" s="156">
        <f>VLOOKUP(AF18,'TB - Expense Data'!$H$3:$N$758,3,FALSE)</f>
        <v>0</v>
      </c>
      <c r="AH18" s="14">
        <f t="shared" si="15"/>
        <v>0</v>
      </c>
      <c r="AI18" s="26">
        <f>VLOOKUP(AF18,'TB - Expense Data'!$H$3:$N$758,7,FALSE)</f>
        <v>0</v>
      </c>
      <c r="AJ18" s="92">
        <f t="shared" si="16"/>
        <v>0</v>
      </c>
      <c r="AK18" s="48" t="str">
        <f t="shared" si="17"/>
        <v xml:space="preserve">-    </v>
      </c>
      <c r="AL18" s="156">
        <f t="shared" si="18"/>
        <v>10920</v>
      </c>
      <c r="AM18" s="14">
        <f t="shared" si="19"/>
        <v>5460</v>
      </c>
      <c r="AN18" s="26">
        <f t="shared" si="20"/>
        <v>3909.4</v>
      </c>
      <c r="AO18" s="92">
        <f t="shared" si="21"/>
        <v>-1550.6</v>
      </c>
      <c r="AP18" s="48">
        <f t="shared" si="22"/>
        <v>-0.28399267399267397</v>
      </c>
    </row>
    <row r="19" spans="1:42" ht="15.75" x14ac:dyDescent="0.25">
      <c r="A19" s="13" t="s">
        <v>1248</v>
      </c>
      <c r="B19" s="131" t="s">
        <v>644</v>
      </c>
      <c r="C19" s="14">
        <f>VLOOKUP(B19,'TB - Expense Data'!$H$3:$N$758,3,FALSE)</f>
        <v>1121</v>
      </c>
      <c r="D19" s="14">
        <f t="shared" si="0"/>
        <v>560.5</v>
      </c>
      <c r="E19" s="26">
        <f>VLOOKUP(B19,'TB - Expense Data'!$H$3:$N$758,7,FALSE)</f>
        <v>480.07</v>
      </c>
      <c r="F19" s="92">
        <f t="shared" si="1"/>
        <v>-80.430000000000007</v>
      </c>
      <c r="G19" s="48">
        <f t="shared" si="2"/>
        <v>-0.14349687778768958</v>
      </c>
      <c r="H19" s="131" t="s">
        <v>701</v>
      </c>
      <c r="I19" s="156">
        <f>VLOOKUP(H19,'TB - Expense Data'!$H$3:$N$758,3,FALSE)</f>
        <v>309</v>
      </c>
      <c r="J19" s="14">
        <f t="shared" si="3"/>
        <v>154.5</v>
      </c>
      <c r="K19" s="26">
        <f>VLOOKUP(H19,'TB - Expense Data'!$H$3:$N$758,7,FALSE)</f>
        <v>132.47999999999999</v>
      </c>
      <c r="L19" s="92">
        <f t="shared" si="4"/>
        <v>-22.02000000000001</v>
      </c>
      <c r="M19" s="48">
        <f t="shared" si="5"/>
        <v>-0.14252427184466027</v>
      </c>
      <c r="N19" s="131" t="s">
        <v>759</v>
      </c>
      <c r="O19" s="156">
        <f>VLOOKUP(N19,'TB - Expense Data'!$H$3:$N$758,3,FALSE)</f>
        <v>2011</v>
      </c>
      <c r="P19" s="14">
        <f t="shared" si="6"/>
        <v>1005.5</v>
      </c>
      <c r="Q19" s="26">
        <f>VLOOKUP(N19,'TB - Expense Data'!$H$3:$N$758,7,FALSE)</f>
        <v>860.82</v>
      </c>
      <c r="R19" s="92">
        <f t="shared" si="7"/>
        <v>-144.67999999999995</v>
      </c>
      <c r="S19" s="48">
        <f t="shared" si="8"/>
        <v>-0.14388861263053201</v>
      </c>
      <c r="T19" s="131" t="s">
        <v>817</v>
      </c>
      <c r="U19" s="14">
        <f>VLOOKUP(T19,'TB - Expense Data'!$H$3:$N$758,3,FALSE)</f>
        <v>425</v>
      </c>
      <c r="V19" s="14">
        <f t="shared" si="9"/>
        <v>212.5</v>
      </c>
      <c r="W19" s="26">
        <f>VLOOKUP(T19,'TB - Expense Data'!$H$3:$N$758,7,FALSE)</f>
        <v>182.09</v>
      </c>
      <c r="X19" s="92">
        <f t="shared" si="10"/>
        <v>-30.409999999999997</v>
      </c>
      <c r="Y19" s="48">
        <f t="shared" si="11"/>
        <v>-0.14310588235294117</v>
      </c>
      <c r="Z19" s="131" t="s">
        <v>979</v>
      </c>
      <c r="AA19" s="156">
        <f>VLOOKUP(Z19,'TB - Expense Data'!$H$3:$N$758,3,FALSE)</f>
        <v>0</v>
      </c>
      <c r="AB19" s="14">
        <f t="shared" si="12"/>
        <v>0</v>
      </c>
      <c r="AC19" s="26">
        <f>VLOOKUP(Z19,'TB - Expense Data'!$H$3:$N$758,7,FALSE)</f>
        <v>0</v>
      </c>
      <c r="AD19" s="92">
        <f t="shared" si="13"/>
        <v>0</v>
      </c>
      <c r="AE19" s="48" t="str">
        <f t="shared" si="14"/>
        <v xml:space="preserve">-    </v>
      </c>
      <c r="AF19" s="131" t="s">
        <v>979</v>
      </c>
      <c r="AG19" s="156">
        <f>VLOOKUP(AF19,'TB - Expense Data'!$H$3:$N$758,3,FALSE)</f>
        <v>0</v>
      </c>
      <c r="AH19" s="14">
        <f t="shared" si="15"/>
        <v>0</v>
      </c>
      <c r="AI19" s="26">
        <f>VLOOKUP(AF19,'TB - Expense Data'!$H$3:$N$758,7,FALSE)</f>
        <v>0</v>
      </c>
      <c r="AJ19" s="92">
        <f t="shared" si="16"/>
        <v>0</v>
      </c>
      <c r="AK19" s="48" t="str">
        <f t="shared" si="17"/>
        <v xml:space="preserve">-    </v>
      </c>
      <c r="AL19" s="156">
        <f t="shared" si="18"/>
        <v>3866</v>
      </c>
      <c r="AM19" s="14">
        <f t="shared" si="19"/>
        <v>1933</v>
      </c>
      <c r="AN19" s="26">
        <f t="shared" si="20"/>
        <v>1655.4599999999998</v>
      </c>
      <c r="AO19" s="92">
        <f t="shared" si="21"/>
        <v>-277.54000000000019</v>
      </c>
      <c r="AP19" s="48">
        <f t="shared" si="22"/>
        <v>-0.14357992757371971</v>
      </c>
    </row>
    <row r="20" spans="1:42" ht="15.75" x14ac:dyDescent="0.25">
      <c r="A20" s="13" t="s">
        <v>40</v>
      </c>
      <c r="B20" s="131" t="s">
        <v>661</v>
      </c>
      <c r="C20" s="14">
        <f>VLOOKUP(B20,'TB - Expense Data'!$H$3:$N$758,3,FALSE)</f>
        <v>1096</v>
      </c>
      <c r="D20" s="14">
        <f t="shared" si="0"/>
        <v>548</v>
      </c>
      <c r="E20" s="26">
        <f>VLOOKUP(B20,'TB - Expense Data'!$H$3:$N$758,7,FALSE)</f>
        <v>19.39</v>
      </c>
      <c r="F20" s="92">
        <f t="shared" si="1"/>
        <v>-528.61</v>
      </c>
      <c r="G20" s="48">
        <f t="shared" si="2"/>
        <v>-0.96461678832116793</v>
      </c>
      <c r="H20" s="131" t="s">
        <v>718</v>
      </c>
      <c r="I20" s="156">
        <f>VLOOKUP(H20,'TB - Expense Data'!$H$3:$N$758,3,FALSE)</f>
        <v>302</v>
      </c>
      <c r="J20" s="14">
        <f t="shared" si="3"/>
        <v>151</v>
      </c>
      <c r="K20" s="26">
        <f>VLOOKUP(H20,'TB - Expense Data'!$H$3:$N$758,7,FALSE)</f>
        <v>5.35</v>
      </c>
      <c r="L20" s="92">
        <f t="shared" si="4"/>
        <v>-145.65</v>
      </c>
      <c r="M20" s="48">
        <f t="shared" si="5"/>
        <v>-0.96456953642384113</v>
      </c>
      <c r="N20" s="131" t="s">
        <v>777</v>
      </c>
      <c r="O20" s="156">
        <f>VLOOKUP(N20,'TB - Expense Data'!$H$3:$N$758,3,FALSE)</f>
        <v>1966</v>
      </c>
      <c r="P20" s="14">
        <f t="shared" si="6"/>
        <v>983</v>
      </c>
      <c r="Q20" s="26">
        <f>VLOOKUP(N20,'TB - Expense Data'!$H$3:$N$758,7,FALSE)</f>
        <v>34.770000000000003</v>
      </c>
      <c r="R20" s="92">
        <f t="shared" si="7"/>
        <v>-948.23</v>
      </c>
      <c r="S20" s="48">
        <f t="shared" si="8"/>
        <v>-0.96462868769074261</v>
      </c>
      <c r="T20" s="131" t="s">
        <v>834</v>
      </c>
      <c r="U20" s="14">
        <f>VLOOKUP(T20,'TB - Expense Data'!$H$3:$N$758,3,FALSE)</f>
        <v>416</v>
      </c>
      <c r="V20" s="14">
        <f t="shared" si="9"/>
        <v>208</v>
      </c>
      <c r="W20" s="26">
        <f>VLOOKUP(T20,'TB - Expense Data'!$H$3:$N$758,7,FALSE)</f>
        <v>7.37</v>
      </c>
      <c r="X20" s="92">
        <f t="shared" si="10"/>
        <v>-200.63</v>
      </c>
      <c r="Y20" s="48">
        <f t="shared" si="11"/>
        <v>-0.9645673076923077</v>
      </c>
      <c r="Z20" s="131" t="s">
        <v>979</v>
      </c>
      <c r="AA20" s="156">
        <f>VLOOKUP(Z20,'TB - Expense Data'!$H$3:$N$758,3,FALSE)</f>
        <v>0</v>
      </c>
      <c r="AB20" s="14">
        <f t="shared" si="12"/>
        <v>0</v>
      </c>
      <c r="AC20" s="26">
        <f>VLOOKUP(Z20,'TB - Expense Data'!$H$3:$N$758,7,FALSE)</f>
        <v>0</v>
      </c>
      <c r="AD20" s="92">
        <f t="shared" si="13"/>
        <v>0</v>
      </c>
      <c r="AE20" s="48" t="str">
        <f t="shared" si="14"/>
        <v xml:space="preserve">-    </v>
      </c>
      <c r="AF20" s="131" t="s">
        <v>979</v>
      </c>
      <c r="AG20" s="156">
        <f>VLOOKUP(AF20,'TB - Expense Data'!$H$3:$N$758,3,FALSE)</f>
        <v>0</v>
      </c>
      <c r="AH20" s="14">
        <f t="shared" si="15"/>
        <v>0</v>
      </c>
      <c r="AI20" s="26">
        <f>VLOOKUP(AF20,'TB - Expense Data'!$H$3:$N$758,7,FALSE)</f>
        <v>0</v>
      </c>
      <c r="AJ20" s="92">
        <f t="shared" si="16"/>
        <v>0</v>
      </c>
      <c r="AK20" s="48" t="str">
        <f t="shared" si="17"/>
        <v xml:space="preserve">-    </v>
      </c>
      <c r="AL20" s="156">
        <f t="shared" si="18"/>
        <v>3780</v>
      </c>
      <c r="AM20" s="14">
        <f t="shared" si="19"/>
        <v>1890</v>
      </c>
      <c r="AN20" s="26">
        <f t="shared" si="20"/>
        <v>66.88000000000001</v>
      </c>
      <c r="AO20" s="92">
        <f t="shared" si="21"/>
        <v>-1823.12</v>
      </c>
      <c r="AP20" s="48">
        <f t="shared" si="22"/>
        <v>-0.96461375661375659</v>
      </c>
    </row>
    <row r="21" spans="1:42" ht="15.75" x14ac:dyDescent="0.25">
      <c r="A21" s="13" t="s">
        <v>41</v>
      </c>
      <c r="B21" s="131" t="s">
        <v>634</v>
      </c>
      <c r="C21" s="14">
        <f>VLOOKUP(B21,'TB - Expense Data'!$H$3:$N$758,3,FALSE)</f>
        <v>24</v>
      </c>
      <c r="D21" s="14">
        <f t="shared" si="0"/>
        <v>12</v>
      </c>
      <c r="E21" s="26">
        <f>VLOOKUP(B21,'TB - Expense Data'!$H$3:$N$758,7,FALSE)</f>
        <v>0.26</v>
      </c>
      <c r="F21" s="92">
        <f t="shared" si="1"/>
        <v>-11.74</v>
      </c>
      <c r="G21" s="48">
        <f t="shared" si="2"/>
        <v>-0.97833333333333339</v>
      </c>
      <c r="H21" s="131" t="s">
        <v>691</v>
      </c>
      <c r="I21" s="156">
        <f>VLOOKUP(H21,'TB - Expense Data'!$H$3:$N$758,3,FALSE)</f>
        <v>7.28</v>
      </c>
      <c r="J21" s="14">
        <f t="shared" si="3"/>
        <v>3.64</v>
      </c>
      <c r="K21" s="26">
        <f>VLOOKUP(H21,'TB - Expense Data'!$H$3:$N$758,7,FALSE)</f>
        <v>0.09</v>
      </c>
      <c r="L21" s="92">
        <f t="shared" si="4"/>
        <v>-3.5500000000000003</v>
      </c>
      <c r="M21" s="48">
        <f t="shared" si="5"/>
        <v>-0.97527472527472536</v>
      </c>
      <c r="N21" s="131" t="s">
        <v>746</v>
      </c>
      <c r="O21" s="156">
        <f>VLOOKUP(N21,'TB - Expense Data'!$H$3:$N$758,3,FALSE)</f>
        <v>44</v>
      </c>
      <c r="P21" s="14">
        <f t="shared" si="6"/>
        <v>22</v>
      </c>
      <c r="Q21" s="26">
        <f>VLOOKUP(N21,'TB - Expense Data'!$H$3:$N$758,7,FALSE)</f>
        <v>0.45</v>
      </c>
      <c r="R21" s="92">
        <f t="shared" si="7"/>
        <v>-21.55</v>
      </c>
      <c r="S21" s="48">
        <f t="shared" si="8"/>
        <v>-0.97954545454545461</v>
      </c>
      <c r="T21" s="131" t="s">
        <v>805</v>
      </c>
      <c r="U21" s="14">
        <f>VLOOKUP(T21,'TB - Expense Data'!$H$3:$N$758,3,FALSE)</f>
        <v>9</v>
      </c>
      <c r="V21" s="14">
        <f t="shared" si="9"/>
        <v>4.5</v>
      </c>
      <c r="W21" s="26">
        <f>VLOOKUP(T21,'TB - Expense Data'!$H$3:$N$758,7,FALSE)</f>
        <v>0.09</v>
      </c>
      <c r="X21" s="92">
        <f t="shared" si="10"/>
        <v>-4.41</v>
      </c>
      <c r="Y21" s="48">
        <f t="shared" si="11"/>
        <v>-0.98</v>
      </c>
      <c r="Z21" s="131" t="s">
        <v>979</v>
      </c>
      <c r="AA21" s="156">
        <f>VLOOKUP(Z21,'TB - Expense Data'!$H$3:$N$758,3,FALSE)</f>
        <v>0</v>
      </c>
      <c r="AB21" s="14">
        <f t="shared" si="12"/>
        <v>0</v>
      </c>
      <c r="AC21" s="26">
        <f>VLOOKUP(Z21,'TB - Expense Data'!$H$3:$N$758,7,FALSE)</f>
        <v>0</v>
      </c>
      <c r="AD21" s="92">
        <f t="shared" si="13"/>
        <v>0</v>
      </c>
      <c r="AE21" s="48" t="str">
        <f t="shared" si="14"/>
        <v xml:space="preserve">-    </v>
      </c>
      <c r="AF21" s="131" t="s">
        <v>979</v>
      </c>
      <c r="AG21" s="156">
        <f>VLOOKUP(AF21,'TB - Expense Data'!$H$3:$N$758,3,FALSE)</f>
        <v>0</v>
      </c>
      <c r="AH21" s="14">
        <f t="shared" si="15"/>
        <v>0</v>
      </c>
      <c r="AI21" s="26">
        <f>VLOOKUP(AF21,'TB - Expense Data'!$H$3:$N$758,7,FALSE)</f>
        <v>0</v>
      </c>
      <c r="AJ21" s="92">
        <f t="shared" si="16"/>
        <v>0</v>
      </c>
      <c r="AK21" s="48" t="str">
        <f t="shared" si="17"/>
        <v xml:space="preserve">-    </v>
      </c>
      <c r="AL21" s="156">
        <f t="shared" si="18"/>
        <v>84.28</v>
      </c>
      <c r="AM21" s="14">
        <f t="shared" si="19"/>
        <v>42.14</v>
      </c>
      <c r="AN21" s="26">
        <f t="shared" si="20"/>
        <v>0.89</v>
      </c>
      <c r="AO21" s="92">
        <f t="shared" si="21"/>
        <v>-41.25</v>
      </c>
      <c r="AP21" s="48">
        <f t="shared" si="22"/>
        <v>-0.97887992406264834</v>
      </c>
    </row>
    <row r="22" spans="1:42" ht="15.75" x14ac:dyDescent="0.25">
      <c r="A22" s="13" t="s">
        <v>155</v>
      </c>
      <c r="B22" s="131" t="s">
        <v>626</v>
      </c>
      <c r="C22" s="14">
        <f>VLOOKUP(B22,'TB - Expense Data'!$H$3:$N$758,3,FALSE)</f>
        <v>2088</v>
      </c>
      <c r="D22" s="14">
        <f t="shared" si="0"/>
        <v>1044</v>
      </c>
      <c r="E22" s="26">
        <f>VLOOKUP(B22,'TB - Expense Data'!$H$3:$N$758,7,FALSE)</f>
        <v>725</v>
      </c>
      <c r="F22" s="92">
        <f t="shared" si="1"/>
        <v>-319</v>
      </c>
      <c r="G22" s="48">
        <f t="shared" si="2"/>
        <v>-0.30555555555555558</v>
      </c>
      <c r="H22" s="131" t="s">
        <v>683</v>
      </c>
      <c r="I22" s="156">
        <f>VLOOKUP(H22,'TB - Expense Data'!$H$3:$N$758,3,FALSE)</f>
        <v>576</v>
      </c>
      <c r="J22" s="14">
        <f t="shared" si="3"/>
        <v>288</v>
      </c>
      <c r="K22" s="26">
        <f>VLOOKUP(H22,'TB - Expense Data'!$H$3:$N$758,7,FALSE)</f>
        <v>200</v>
      </c>
      <c r="L22" s="92">
        <f t="shared" si="4"/>
        <v>-88</v>
      </c>
      <c r="M22" s="48">
        <f t="shared" si="5"/>
        <v>-0.30555555555555558</v>
      </c>
      <c r="N22" s="131" t="s">
        <v>738</v>
      </c>
      <c r="O22" s="156">
        <f>VLOOKUP(N22,'TB - Expense Data'!$H$3:$N$758,3,FALSE)</f>
        <v>3744</v>
      </c>
      <c r="P22" s="14">
        <f t="shared" si="6"/>
        <v>1872</v>
      </c>
      <c r="Q22" s="26">
        <f>VLOOKUP(N22,'TB - Expense Data'!$H$3:$N$758,7,FALSE)</f>
        <v>1300</v>
      </c>
      <c r="R22" s="92">
        <f t="shared" si="7"/>
        <v>-572</v>
      </c>
      <c r="S22" s="48">
        <f t="shared" si="8"/>
        <v>-0.30555555555555558</v>
      </c>
      <c r="T22" s="131" t="s">
        <v>797</v>
      </c>
      <c r="U22" s="14">
        <f>VLOOKUP(T22,'TB - Expense Data'!$H$3:$N$758,3,FALSE)</f>
        <v>792</v>
      </c>
      <c r="V22" s="14">
        <f t="shared" si="9"/>
        <v>396</v>
      </c>
      <c r="W22" s="26">
        <f>VLOOKUP(T22,'TB - Expense Data'!$H$3:$N$758,7,FALSE)</f>
        <v>275</v>
      </c>
      <c r="X22" s="92">
        <f t="shared" si="10"/>
        <v>-121</v>
      </c>
      <c r="Y22" s="48">
        <f t="shared" si="11"/>
        <v>-0.30555555555555558</v>
      </c>
      <c r="Z22" s="131" t="s">
        <v>979</v>
      </c>
      <c r="AA22" s="156">
        <f>VLOOKUP(Z22,'TB - Expense Data'!$H$3:$N$758,3,FALSE)</f>
        <v>0</v>
      </c>
      <c r="AB22" s="14">
        <f t="shared" si="12"/>
        <v>0</v>
      </c>
      <c r="AC22" s="26">
        <f>VLOOKUP(Z22,'TB - Expense Data'!$H$3:$N$758,7,FALSE)</f>
        <v>0</v>
      </c>
      <c r="AD22" s="92">
        <f t="shared" si="13"/>
        <v>0</v>
      </c>
      <c r="AE22" s="48" t="str">
        <f t="shared" si="14"/>
        <v xml:space="preserve">-    </v>
      </c>
      <c r="AF22" s="131" t="s">
        <v>979</v>
      </c>
      <c r="AG22" s="156">
        <f>VLOOKUP(AF22,'TB - Expense Data'!$H$3:$N$758,3,FALSE)</f>
        <v>0</v>
      </c>
      <c r="AH22" s="14">
        <f t="shared" si="15"/>
        <v>0</v>
      </c>
      <c r="AI22" s="26">
        <f>VLOOKUP(AF22,'TB - Expense Data'!$H$3:$N$758,7,FALSE)</f>
        <v>0</v>
      </c>
      <c r="AJ22" s="92">
        <f t="shared" si="16"/>
        <v>0</v>
      </c>
      <c r="AK22" s="48" t="str">
        <f t="shared" si="17"/>
        <v xml:space="preserve">-    </v>
      </c>
      <c r="AL22" s="156">
        <f t="shared" si="18"/>
        <v>7200</v>
      </c>
      <c r="AM22" s="14">
        <f t="shared" si="19"/>
        <v>3600</v>
      </c>
      <c r="AN22" s="26">
        <f t="shared" si="20"/>
        <v>2500</v>
      </c>
      <c r="AO22" s="92">
        <f t="shared" si="21"/>
        <v>-1100</v>
      </c>
      <c r="AP22" s="48">
        <f t="shared" si="22"/>
        <v>-0.30555555555555558</v>
      </c>
    </row>
    <row r="23" spans="1:42" ht="15.75" x14ac:dyDescent="0.25">
      <c r="A23" s="13" t="s">
        <v>42</v>
      </c>
      <c r="B23" s="131" t="s">
        <v>632</v>
      </c>
      <c r="C23" s="14">
        <f>VLOOKUP(B23,'TB - Expense Data'!$H$3:$N$758,3,FALSE)</f>
        <v>917</v>
      </c>
      <c r="D23" s="14">
        <f t="shared" si="0"/>
        <v>458.5</v>
      </c>
      <c r="E23" s="26">
        <f>VLOOKUP(B23,'TB - Expense Data'!$H$3:$N$758,7,FALSE)</f>
        <v>335.74</v>
      </c>
      <c r="F23" s="92">
        <f t="shared" si="1"/>
        <v>-122.75999999999999</v>
      </c>
      <c r="G23" s="48">
        <f t="shared" si="2"/>
        <v>-0.26774263904034895</v>
      </c>
      <c r="H23" s="131" t="s">
        <v>689</v>
      </c>
      <c r="I23" s="156">
        <f>VLOOKUP(H23,'TB - Expense Data'!$H$3:$N$758,3,FALSE)</f>
        <v>253</v>
      </c>
      <c r="J23" s="14">
        <f t="shared" si="3"/>
        <v>126.5</v>
      </c>
      <c r="K23" s="26">
        <f>VLOOKUP(H23,'TB - Expense Data'!$H$3:$N$758,7,FALSE)</f>
        <v>92.63</v>
      </c>
      <c r="L23" s="92">
        <f t="shared" si="4"/>
        <v>-33.870000000000005</v>
      </c>
      <c r="M23" s="48">
        <f t="shared" si="5"/>
        <v>-0.26774703557312257</v>
      </c>
      <c r="N23" s="131" t="s">
        <v>744</v>
      </c>
      <c r="O23" s="156">
        <f>VLOOKUP(N23,'TB - Expense Data'!$H$3:$N$758,3,FALSE)</f>
        <v>1645</v>
      </c>
      <c r="P23" s="14">
        <f t="shared" si="6"/>
        <v>822.5</v>
      </c>
      <c r="Q23" s="26">
        <f>VLOOKUP(N23,'TB - Expense Data'!$H$3:$N$758,7,FALSE)</f>
        <v>601.99</v>
      </c>
      <c r="R23" s="92">
        <f t="shared" si="7"/>
        <v>-220.51</v>
      </c>
      <c r="S23" s="48">
        <f t="shared" si="8"/>
        <v>-0.26809726443768994</v>
      </c>
      <c r="T23" s="131" t="s">
        <v>803</v>
      </c>
      <c r="U23" s="14">
        <f>VLOOKUP(T23,'TB - Expense Data'!$H$3:$N$758,3,FALSE)</f>
        <v>368.06</v>
      </c>
      <c r="V23" s="14">
        <f t="shared" si="9"/>
        <v>184.03</v>
      </c>
      <c r="W23" s="26">
        <f>VLOOKUP(T23,'TB - Expense Data'!$H$3:$N$758,7,FALSE)</f>
        <v>127.34</v>
      </c>
      <c r="X23" s="92">
        <f t="shared" si="10"/>
        <v>-56.69</v>
      </c>
      <c r="Y23" s="48">
        <f t="shared" si="11"/>
        <v>-0.30804760093463018</v>
      </c>
      <c r="Z23" s="131" t="s">
        <v>979</v>
      </c>
      <c r="AA23" s="156">
        <f>VLOOKUP(Z23,'TB - Expense Data'!$H$3:$N$758,3,FALSE)</f>
        <v>0</v>
      </c>
      <c r="AB23" s="14">
        <f t="shared" si="12"/>
        <v>0</v>
      </c>
      <c r="AC23" s="26">
        <f>VLOOKUP(Z23,'TB - Expense Data'!$H$3:$N$758,7,FALSE)</f>
        <v>0</v>
      </c>
      <c r="AD23" s="92">
        <f t="shared" si="13"/>
        <v>0</v>
      </c>
      <c r="AE23" s="48" t="str">
        <f t="shared" si="14"/>
        <v xml:space="preserve">-    </v>
      </c>
      <c r="AF23" s="131" t="s">
        <v>979</v>
      </c>
      <c r="AG23" s="156">
        <f>VLOOKUP(AF23,'TB - Expense Data'!$H$3:$N$758,3,FALSE)</f>
        <v>0</v>
      </c>
      <c r="AH23" s="14">
        <f t="shared" si="15"/>
        <v>0</v>
      </c>
      <c r="AI23" s="26">
        <f>VLOOKUP(AF23,'TB - Expense Data'!$H$3:$N$758,7,FALSE)</f>
        <v>0</v>
      </c>
      <c r="AJ23" s="92">
        <f t="shared" si="16"/>
        <v>0</v>
      </c>
      <c r="AK23" s="48" t="str">
        <f t="shared" si="17"/>
        <v xml:space="preserve">-    </v>
      </c>
      <c r="AL23" s="156">
        <f t="shared" si="18"/>
        <v>3183.06</v>
      </c>
      <c r="AM23" s="14">
        <f t="shared" si="19"/>
        <v>1591.53</v>
      </c>
      <c r="AN23" s="26">
        <f t="shared" si="20"/>
        <v>1157.7</v>
      </c>
      <c r="AO23" s="92">
        <f t="shared" si="21"/>
        <v>-433.82999999999993</v>
      </c>
      <c r="AP23" s="48">
        <f t="shared" si="22"/>
        <v>-0.27258675614031774</v>
      </c>
    </row>
    <row r="24" spans="1:42" ht="15.75" x14ac:dyDescent="0.25">
      <c r="A24" s="498" t="s">
        <v>3441</v>
      </c>
      <c r="B24" s="499" t="s">
        <v>624</v>
      </c>
      <c r="C24" s="14">
        <f>VLOOKUP(B24,'TB - Expense Data'!$H$3:$N$758,3,FALSE)</f>
        <v>26725</v>
      </c>
      <c r="D24" s="14">
        <f t="shared" si="0"/>
        <v>13362.5</v>
      </c>
      <c r="E24" s="26">
        <f>VLOOKUP(B24,'TB - Expense Data'!$H$3:$N$758,7,FALSE)</f>
        <v>10194.02</v>
      </c>
      <c r="F24" s="92">
        <f t="shared" si="1"/>
        <v>-3168.4799999999996</v>
      </c>
      <c r="G24" s="48">
        <f t="shared" si="2"/>
        <v>-0.23711730589335825</v>
      </c>
      <c r="H24" s="499" t="s">
        <v>681</v>
      </c>
      <c r="I24" s="156">
        <f>VLOOKUP(H24,'TB - Expense Data'!$H$3:$N$758,3,FALSE)</f>
        <v>7372</v>
      </c>
      <c r="J24" s="14">
        <f t="shared" si="3"/>
        <v>3686</v>
      </c>
      <c r="K24" s="26">
        <f>VLOOKUP(H24,'TB - Expense Data'!$H$3:$N$758,7,FALSE)</f>
        <v>2836.32</v>
      </c>
      <c r="L24" s="92">
        <f t="shared" si="4"/>
        <v>-849.67999999999984</v>
      </c>
      <c r="M24" s="48">
        <f t="shared" si="5"/>
        <v>-0.23051546391752573</v>
      </c>
      <c r="N24" s="499" t="s">
        <v>736</v>
      </c>
      <c r="O24" s="156">
        <f>VLOOKUP(N24,'TB - Expense Data'!$H$3:$N$758,3,FALSE)</f>
        <v>47921</v>
      </c>
      <c r="P24" s="14">
        <f t="shared" si="6"/>
        <v>23960.5</v>
      </c>
      <c r="Q24" s="26">
        <f>VLOOKUP(N24,'TB - Expense Data'!$H$3:$N$758,7,FALSE)</f>
        <v>18319.64</v>
      </c>
      <c r="R24" s="92">
        <f t="shared" si="7"/>
        <v>-5640.8600000000006</v>
      </c>
      <c r="S24" s="48">
        <f t="shared" si="8"/>
        <v>-0.23542330084931451</v>
      </c>
      <c r="T24" s="499" t="s">
        <v>795</v>
      </c>
      <c r="U24" s="14">
        <f>VLOOKUP(T24,'TB - Expense Data'!$H$3:$N$758,3,FALSE)</f>
        <v>10137</v>
      </c>
      <c r="V24" s="14">
        <f t="shared" si="9"/>
        <v>5068.5</v>
      </c>
      <c r="W24" s="26">
        <f>VLOOKUP(T24,'TB - Expense Data'!$H$3:$N$758,7,FALSE)</f>
        <v>3910.22</v>
      </c>
      <c r="X24" s="92">
        <f t="shared" si="10"/>
        <v>-1158.2800000000002</v>
      </c>
      <c r="Y24" s="48">
        <f t="shared" si="11"/>
        <v>-0.22852520469566937</v>
      </c>
      <c r="Z24" s="131" t="s">
        <v>979</v>
      </c>
      <c r="AA24" s="156">
        <f>VLOOKUP(Z24,'TB - Expense Data'!$H$3:$N$758,3,FALSE)</f>
        <v>0</v>
      </c>
      <c r="AB24" s="14">
        <f t="shared" si="12"/>
        <v>0</v>
      </c>
      <c r="AC24" s="26">
        <f>VLOOKUP(Z24,'TB - Expense Data'!$H$3:$N$758,7,FALSE)</f>
        <v>0</v>
      </c>
      <c r="AD24" s="92">
        <f t="shared" si="13"/>
        <v>0</v>
      </c>
      <c r="AE24" s="48" t="str">
        <f t="shared" si="14"/>
        <v xml:space="preserve">-    </v>
      </c>
      <c r="AF24" s="131" t="s">
        <v>979</v>
      </c>
      <c r="AG24" s="156">
        <f>VLOOKUP(AF24,'TB - Expense Data'!$H$3:$N$758,3,FALSE)</f>
        <v>0</v>
      </c>
      <c r="AH24" s="14">
        <f t="shared" si="15"/>
        <v>0</v>
      </c>
      <c r="AI24" s="26">
        <f>VLOOKUP(AF24,'TB - Expense Data'!$H$3:$N$758,7,FALSE)</f>
        <v>0</v>
      </c>
      <c r="AJ24" s="92">
        <f t="shared" si="16"/>
        <v>0</v>
      </c>
      <c r="AK24" s="48" t="str">
        <f t="shared" si="17"/>
        <v xml:space="preserve">-    </v>
      </c>
      <c r="AL24" s="156">
        <f t="shared" si="18"/>
        <v>92155</v>
      </c>
      <c r="AM24" s="14">
        <f t="shared" si="19"/>
        <v>46077.5</v>
      </c>
      <c r="AN24" s="26">
        <f t="shared" si="20"/>
        <v>35260.199999999997</v>
      </c>
      <c r="AO24" s="92">
        <f t="shared" si="21"/>
        <v>-10817.300000000003</v>
      </c>
      <c r="AP24" s="48">
        <f t="shared" si="22"/>
        <v>-0.23476317074494066</v>
      </c>
    </row>
    <row r="25" spans="1:42" ht="15.75" x14ac:dyDescent="0.25">
      <c r="A25" s="498" t="s">
        <v>3442</v>
      </c>
      <c r="B25" s="499" t="s">
        <v>625</v>
      </c>
      <c r="C25" s="14">
        <f>VLOOKUP(B25,'TB - Expense Data'!$H$3:$N$758,3,FALSE)</f>
        <v>22077</v>
      </c>
      <c r="D25" s="14">
        <f t="shared" si="0"/>
        <v>11038.5</v>
      </c>
      <c r="E25" s="26">
        <f>VLOOKUP(B25,'TB - Expense Data'!$H$3:$N$758,7,FALSE)</f>
        <v>8460.35</v>
      </c>
      <c r="F25" s="92">
        <f t="shared" si="1"/>
        <v>-2578.1499999999996</v>
      </c>
      <c r="G25" s="48">
        <f t="shared" si="2"/>
        <v>-0.23355981338044116</v>
      </c>
      <c r="H25" s="499" t="s">
        <v>682</v>
      </c>
      <c r="I25" s="156">
        <f>VLOOKUP(H25,'TB - Expense Data'!$H$3:$N$758,3,FALSE)</f>
        <v>6090</v>
      </c>
      <c r="J25" s="14">
        <f t="shared" si="3"/>
        <v>3045</v>
      </c>
      <c r="K25" s="26">
        <f>VLOOKUP(H25,'TB - Expense Data'!$H$3:$N$758,7,FALSE)</f>
        <v>2354.36</v>
      </c>
      <c r="L25" s="92">
        <f t="shared" si="4"/>
        <v>-690.63999999999987</v>
      </c>
      <c r="M25" s="48">
        <f t="shared" si="5"/>
        <v>-0.22681116584564856</v>
      </c>
      <c r="N25" s="499" t="s">
        <v>737</v>
      </c>
      <c r="O25" s="156">
        <f>VLOOKUP(N25,'TB - Expense Data'!$H$3:$N$758,3,FALSE)</f>
        <v>39587</v>
      </c>
      <c r="P25" s="14">
        <f t="shared" si="6"/>
        <v>19793.5</v>
      </c>
      <c r="Q25" s="26">
        <f>VLOOKUP(N25,'TB - Expense Data'!$H$3:$N$758,7,FALSE)</f>
        <v>15204.95</v>
      </c>
      <c r="R25" s="92">
        <f t="shared" si="7"/>
        <v>-4588.5499999999993</v>
      </c>
      <c r="S25" s="48">
        <f t="shared" si="8"/>
        <v>-0.23182105236567557</v>
      </c>
      <c r="T25" s="499" t="s">
        <v>796</v>
      </c>
      <c r="U25" s="14">
        <f>VLOOKUP(T25,'TB - Expense Data'!$H$3:$N$758,3,FALSE)</f>
        <v>8374</v>
      </c>
      <c r="V25" s="14">
        <f t="shared" si="9"/>
        <v>4187</v>
      </c>
      <c r="W25" s="26">
        <f>VLOOKUP(T25,'TB - Expense Data'!$H$3:$N$758,7,FALSE)</f>
        <v>3245.89</v>
      </c>
      <c r="X25" s="92">
        <f t="shared" si="10"/>
        <v>-941.11000000000013</v>
      </c>
      <c r="Y25" s="48">
        <f t="shared" si="11"/>
        <v>-0.22476952471936951</v>
      </c>
      <c r="Z25" s="131" t="s">
        <v>979</v>
      </c>
      <c r="AA25" s="156">
        <f>VLOOKUP(Z25,'TB - Expense Data'!$H$3:$N$758,3,FALSE)</f>
        <v>0</v>
      </c>
      <c r="AB25" s="14">
        <f t="shared" si="12"/>
        <v>0</v>
      </c>
      <c r="AC25" s="26">
        <f>VLOOKUP(Z25,'TB - Expense Data'!$H$3:$N$758,7,FALSE)</f>
        <v>0</v>
      </c>
      <c r="AD25" s="92">
        <f t="shared" si="13"/>
        <v>0</v>
      </c>
      <c r="AE25" s="48" t="str">
        <f t="shared" si="14"/>
        <v xml:space="preserve">-    </v>
      </c>
      <c r="AF25" s="131" t="s">
        <v>979</v>
      </c>
      <c r="AG25" s="156">
        <f>VLOOKUP(AF25,'TB - Expense Data'!$H$3:$N$758,3,FALSE)</f>
        <v>0</v>
      </c>
      <c r="AH25" s="14">
        <f t="shared" si="15"/>
        <v>0</v>
      </c>
      <c r="AI25" s="26">
        <f>VLOOKUP(AF25,'TB - Expense Data'!$H$3:$N$758,7,FALSE)</f>
        <v>0</v>
      </c>
      <c r="AJ25" s="92">
        <f t="shared" si="16"/>
        <v>0</v>
      </c>
      <c r="AK25" s="48" t="str">
        <f t="shared" si="17"/>
        <v xml:space="preserve">-    </v>
      </c>
      <c r="AL25" s="156">
        <f t="shared" si="18"/>
        <v>76128</v>
      </c>
      <c r="AM25" s="14">
        <f t="shared" si="19"/>
        <v>38064</v>
      </c>
      <c r="AN25" s="26">
        <f t="shared" si="20"/>
        <v>29265.550000000003</v>
      </c>
      <c r="AO25" s="92">
        <f t="shared" si="21"/>
        <v>-8798.4499999999971</v>
      </c>
      <c r="AP25" s="48">
        <f t="shared" si="22"/>
        <v>-0.23114885456073972</v>
      </c>
    </row>
    <row r="26" spans="1:42" s="505" customFormat="1" ht="15.75" x14ac:dyDescent="0.25">
      <c r="A26" s="498" t="s">
        <v>2254</v>
      </c>
      <c r="B26" s="499" t="s">
        <v>2253</v>
      </c>
      <c r="C26" s="14">
        <f>VLOOKUP(B26,'TB - Expense Data'!$H$3:$N$758,3,FALSE)</f>
        <v>0</v>
      </c>
      <c r="D26" s="14">
        <f t="shared" si="0"/>
        <v>0</v>
      </c>
      <c r="E26" s="26">
        <f>VLOOKUP(B26,'TB - Expense Data'!$H$3:$N$758,7,FALSE)</f>
        <v>340.86</v>
      </c>
      <c r="F26" s="92">
        <f t="shared" si="1"/>
        <v>340.86</v>
      </c>
      <c r="G26" s="48">
        <v>1</v>
      </c>
      <c r="H26" s="499" t="s">
        <v>2487</v>
      </c>
      <c r="I26" s="156">
        <f>VLOOKUP(H26,'TB - Expense Data'!$H$3:$N$758,3,FALSE)</f>
        <v>0</v>
      </c>
      <c r="J26" s="14">
        <f t="shared" si="3"/>
        <v>0</v>
      </c>
      <c r="K26" s="26">
        <f>VLOOKUP(H26,'TB - Expense Data'!$H$3:$N$758,7,FALSE)</f>
        <v>94.1</v>
      </c>
      <c r="L26" s="92">
        <f t="shared" si="4"/>
        <v>94.1</v>
      </c>
      <c r="M26" s="48">
        <v>1</v>
      </c>
      <c r="N26" s="499" t="s">
        <v>2721</v>
      </c>
      <c r="O26" s="156">
        <f>VLOOKUP(N26,'TB - Expense Data'!$H$3:$N$758,3,FALSE)</f>
        <v>0</v>
      </c>
      <c r="P26" s="14">
        <f t="shared" si="6"/>
        <v>0</v>
      </c>
      <c r="Q26" s="26">
        <f>VLOOKUP(N26,'TB - Expense Data'!$H$3:$N$758,7,FALSE)</f>
        <v>611.32000000000005</v>
      </c>
      <c r="R26" s="92">
        <f t="shared" si="7"/>
        <v>611.32000000000005</v>
      </c>
      <c r="S26" s="48">
        <v>1</v>
      </c>
      <c r="T26" s="499" t="s">
        <v>2950</v>
      </c>
      <c r="U26" s="14">
        <f>VLOOKUP(T26,'TB - Expense Data'!$H$3:$N$758,3,FALSE)</f>
        <v>0</v>
      </c>
      <c r="V26" s="14">
        <f t="shared" si="9"/>
        <v>0</v>
      </c>
      <c r="W26" s="26">
        <f>VLOOKUP(T26,'TB - Expense Data'!$H$3:$N$758,7,FALSE)</f>
        <v>129.29</v>
      </c>
      <c r="X26" s="92">
        <f t="shared" si="10"/>
        <v>129.29</v>
      </c>
      <c r="Y26" s="48">
        <v>1</v>
      </c>
      <c r="Z26" s="131" t="s">
        <v>979</v>
      </c>
      <c r="AA26" s="156">
        <f>VLOOKUP(Z26,'TB - Expense Data'!$H$3:$N$758,3,FALSE)</f>
        <v>0</v>
      </c>
      <c r="AB26" s="14">
        <f t="shared" si="12"/>
        <v>0</v>
      </c>
      <c r="AC26" s="26">
        <f>VLOOKUP(Z26,'TB - Expense Data'!$H$3:$N$758,7,FALSE)</f>
        <v>0</v>
      </c>
      <c r="AD26" s="92">
        <f t="shared" si="13"/>
        <v>0</v>
      </c>
      <c r="AE26" s="48" t="str">
        <f t="shared" si="14"/>
        <v xml:space="preserve">-    </v>
      </c>
      <c r="AF26" s="131" t="s">
        <v>979</v>
      </c>
      <c r="AG26" s="156">
        <f>VLOOKUP(AF26,'TB - Expense Data'!$H$3:$N$758,3,FALSE)</f>
        <v>0</v>
      </c>
      <c r="AH26" s="14">
        <f t="shared" si="15"/>
        <v>0</v>
      </c>
      <c r="AI26" s="26">
        <f>VLOOKUP(AF26,'TB - Expense Data'!$H$3:$N$758,7,FALSE)</f>
        <v>0</v>
      </c>
      <c r="AJ26" s="92">
        <f t="shared" si="16"/>
        <v>0</v>
      </c>
      <c r="AK26" s="48" t="str">
        <f t="shared" si="17"/>
        <v xml:space="preserve">-    </v>
      </c>
      <c r="AL26" s="156">
        <f t="shared" si="18"/>
        <v>0</v>
      </c>
      <c r="AM26" s="14">
        <f t="shared" si="19"/>
        <v>0</v>
      </c>
      <c r="AN26" s="26">
        <f t="shared" si="20"/>
        <v>1175.5700000000002</v>
      </c>
      <c r="AO26" s="92">
        <f t="shared" si="21"/>
        <v>1175.5700000000002</v>
      </c>
      <c r="AP26" s="48">
        <v>1</v>
      </c>
    </row>
    <row r="27" spans="1:42" s="505" customFormat="1" ht="15.75" x14ac:dyDescent="0.25">
      <c r="A27" s="498" t="s">
        <v>2256</v>
      </c>
      <c r="B27" s="499" t="s">
        <v>2255</v>
      </c>
      <c r="C27" s="14">
        <f>VLOOKUP(B27,'TB - Expense Data'!$H$3:$N$758,3,FALSE)</f>
        <v>0</v>
      </c>
      <c r="D27" s="14">
        <f t="shared" si="0"/>
        <v>0</v>
      </c>
      <c r="E27" s="26">
        <f>VLOOKUP(B27,'TB - Expense Data'!$H$3:$N$758,7,FALSE)</f>
        <v>433.93</v>
      </c>
      <c r="F27" s="92">
        <f t="shared" si="1"/>
        <v>433.93</v>
      </c>
      <c r="G27" s="48">
        <v>1</v>
      </c>
      <c r="H27" s="499" t="s">
        <v>2488</v>
      </c>
      <c r="I27" s="156">
        <f>VLOOKUP(H27,'TB - Expense Data'!$H$3:$N$758,3,FALSE)</f>
        <v>0</v>
      </c>
      <c r="J27" s="14">
        <f t="shared" si="3"/>
        <v>0</v>
      </c>
      <c r="K27" s="26">
        <f>VLOOKUP(H27,'TB - Expense Data'!$H$3:$N$758,7,FALSE)</f>
        <v>119.62</v>
      </c>
      <c r="L27" s="92">
        <f t="shared" si="4"/>
        <v>119.62</v>
      </c>
      <c r="M27" s="48">
        <v>1</v>
      </c>
      <c r="N27" s="499" t="s">
        <v>2722</v>
      </c>
      <c r="O27" s="156">
        <f>VLOOKUP(N27,'TB - Expense Data'!$H$3:$N$758,3,FALSE)</f>
        <v>0</v>
      </c>
      <c r="P27" s="14">
        <f t="shared" si="6"/>
        <v>0</v>
      </c>
      <c r="Q27" s="26">
        <f>VLOOKUP(N27,'TB - Expense Data'!$H$3:$N$758,7,FALSE)</f>
        <v>778.18</v>
      </c>
      <c r="R27" s="92">
        <f t="shared" si="7"/>
        <v>778.18</v>
      </c>
      <c r="S27" s="48">
        <v>1</v>
      </c>
      <c r="T27" s="499" t="s">
        <v>2951</v>
      </c>
      <c r="U27" s="14">
        <f>VLOOKUP(T27,'TB - Expense Data'!$H$3:$N$758,3,FALSE)</f>
        <v>0</v>
      </c>
      <c r="V27" s="14">
        <f t="shared" si="9"/>
        <v>0</v>
      </c>
      <c r="W27" s="26">
        <f>VLOOKUP(T27,'TB - Expense Data'!$H$3:$N$758,7,FALSE)</f>
        <v>164.51</v>
      </c>
      <c r="X27" s="92">
        <f t="shared" si="10"/>
        <v>164.51</v>
      </c>
      <c r="Y27" s="48">
        <v>1</v>
      </c>
      <c r="Z27" s="131" t="s">
        <v>979</v>
      </c>
      <c r="AA27" s="156">
        <f>VLOOKUP(Z27,'TB - Expense Data'!$H$3:$N$758,3,FALSE)</f>
        <v>0</v>
      </c>
      <c r="AB27" s="14">
        <f t="shared" si="12"/>
        <v>0</v>
      </c>
      <c r="AC27" s="26">
        <f>VLOOKUP(Z27,'TB - Expense Data'!$H$3:$N$758,7,FALSE)</f>
        <v>0</v>
      </c>
      <c r="AD27" s="92">
        <f t="shared" si="13"/>
        <v>0</v>
      </c>
      <c r="AE27" s="48" t="str">
        <f t="shared" si="14"/>
        <v xml:space="preserve">-    </v>
      </c>
      <c r="AF27" s="131" t="s">
        <v>979</v>
      </c>
      <c r="AG27" s="156">
        <f>VLOOKUP(AF27,'TB - Expense Data'!$H$3:$N$758,3,FALSE)</f>
        <v>0</v>
      </c>
      <c r="AH27" s="14">
        <f t="shared" si="15"/>
        <v>0</v>
      </c>
      <c r="AI27" s="26">
        <f>VLOOKUP(AF27,'TB - Expense Data'!$H$3:$N$758,7,FALSE)</f>
        <v>0</v>
      </c>
      <c r="AJ27" s="92">
        <f t="shared" si="16"/>
        <v>0</v>
      </c>
      <c r="AK27" s="48" t="str">
        <f t="shared" si="17"/>
        <v xml:space="preserve">-    </v>
      </c>
      <c r="AL27" s="156">
        <f t="shared" si="18"/>
        <v>0</v>
      </c>
      <c r="AM27" s="14">
        <f t="shared" si="19"/>
        <v>0</v>
      </c>
      <c r="AN27" s="26">
        <f t="shared" si="20"/>
        <v>1496.24</v>
      </c>
      <c r="AO27" s="92">
        <f t="shared" si="21"/>
        <v>1496.24</v>
      </c>
      <c r="AP27" s="48">
        <v>1</v>
      </c>
    </row>
    <row r="28" spans="1:42" ht="15.75" x14ac:dyDescent="0.25">
      <c r="A28" s="13" t="s">
        <v>1079</v>
      </c>
      <c r="B28" s="131" t="s">
        <v>1078</v>
      </c>
      <c r="C28" s="14">
        <f>VLOOKUP(B28,'TB - Expense Data'!$H$3:$N$758,3,FALSE)</f>
        <v>38228.959999999999</v>
      </c>
      <c r="D28" s="14">
        <f t="shared" si="0"/>
        <v>19114.48</v>
      </c>
      <c r="E28" s="26">
        <f>VLOOKUP(B28,'TB - Expense Data'!$H$3:$N$758,7,FALSE)</f>
        <v>37434.589999999997</v>
      </c>
      <c r="F28" s="92">
        <f t="shared" si="1"/>
        <v>18320.109999999997</v>
      </c>
      <c r="G28" s="48">
        <f t="shared" si="2"/>
        <v>0.95844145380884005</v>
      </c>
      <c r="H28" s="131" t="s">
        <v>1081</v>
      </c>
      <c r="I28" s="156">
        <f>VLOOKUP(H28,'TB - Expense Data'!$H$3:$N$758,3,FALSE)</f>
        <v>10545.92</v>
      </c>
      <c r="J28" s="14">
        <f t="shared" si="3"/>
        <v>5272.96</v>
      </c>
      <c r="K28" s="26">
        <f>VLOOKUP(H28,'TB - Expense Data'!$H$3:$N$758,7,FALSE)</f>
        <v>10326.780000000001</v>
      </c>
      <c r="L28" s="92">
        <f t="shared" si="4"/>
        <v>5053.8200000000006</v>
      </c>
      <c r="M28" s="48">
        <f t="shared" si="5"/>
        <v>0.95844079985435138</v>
      </c>
      <c r="N28" s="131" t="s">
        <v>1082</v>
      </c>
      <c r="O28" s="156">
        <f>VLOOKUP(N28,'TB - Expense Data'!$H$3:$N$758,3,FALSE)</f>
        <v>68548.479999999996</v>
      </c>
      <c r="P28" s="14">
        <f t="shared" si="6"/>
        <v>34274.239999999998</v>
      </c>
      <c r="Q28" s="26">
        <f>VLOOKUP(N28,'TB - Expense Data'!$H$3:$N$758,7,FALSE)</f>
        <v>67124.09</v>
      </c>
      <c r="R28" s="92">
        <f t="shared" si="7"/>
        <v>32849.85</v>
      </c>
      <c r="S28" s="48">
        <f t="shared" si="8"/>
        <v>0.95844138338297213</v>
      </c>
      <c r="T28" s="131" t="s">
        <v>1084</v>
      </c>
      <c r="U28" s="14">
        <f>VLOOKUP(T28,'TB - Expense Data'!$H$3:$N$758,3,FALSE)</f>
        <v>14500.64</v>
      </c>
      <c r="V28" s="14">
        <f t="shared" si="9"/>
        <v>7250.32</v>
      </c>
      <c r="W28" s="26">
        <f>VLOOKUP(T28,'TB - Expense Data'!$H$3:$N$758,7,FALSE)</f>
        <v>14199.33</v>
      </c>
      <c r="X28" s="92">
        <f t="shared" si="10"/>
        <v>6949.01</v>
      </c>
      <c r="Y28" s="48">
        <f t="shared" si="11"/>
        <v>0.95844183429145202</v>
      </c>
      <c r="Z28" s="131" t="s">
        <v>979</v>
      </c>
      <c r="AA28" s="156">
        <f>VLOOKUP(Z28,'TB - Expense Data'!$H$3:$N$758,3,FALSE)</f>
        <v>0</v>
      </c>
      <c r="AB28" s="14">
        <f t="shared" si="12"/>
        <v>0</v>
      </c>
      <c r="AC28" s="26">
        <f>VLOOKUP(Z28,'TB - Expense Data'!$H$3:$N$758,7,FALSE)</f>
        <v>0</v>
      </c>
      <c r="AD28" s="92">
        <f t="shared" si="13"/>
        <v>0</v>
      </c>
      <c r="AE28" s="48" t="str">
        <f t="shared" si="14"/>
        <v xml:space="preserve">-    </v>
      </c>
      <c r="AF28" s="131" t="s">
        <v>979</v>
      </c>
      <c r="AG28" s="156">
        <f>VLOOKUP(AF28,'TB - Expense Data'!$H$3:$N$758,3,FALSE)</f>
        <v>0</v>
      </c>
      <c r="AH28" s="14">
        <f t="shared" si="15"/>
        <v>0</v>
      </c>
      <c r="AI28" s="26">
        <f>VLOOKUP(AF28,'TB - Expense Data'!$H$3:$N$758,7,FALSE)</f>
        <v>0</v>
      </c>
      <c r="AJ28" s="92">
        <f t="shared" si="16"/>
        <v>0</v>
      </c>
      <c r="AK28" s="48" t="str">
        <f t="shared" si="17"/>
        <v xml:space="preserve">-    </v>
      </c>
      <c r="AL28" s="156">
        <f t="shared" si="18"/>
        <v>131824</v>
      </c>
      <c r="AM28" s="14">
        <f t="shared" si="19"/>
        <v>65912</v>
      </c>
      <c r="AN28" s="26">
        <f t="shared" si="20"/>
        <v>129084.79</v>
      </c>
      <c r="AO28" s="92">
        <f t="shared" si="21"/>
        <v>63172.789999999994</v>
      </c>
      <c r="AP28" s="48">
        <f t="shared" si="22"/>
        <v>0.95844140672411693</v>
      </c>
    </row>
    <row r="29" spans="1:42" ht="15.75" x14ac:dyDescent="0.25">
      <c r="A29" s="13" t="s">
        <v>183</v>
      </c>
      <c r="B29" s="131" t="s">
        <v>651</v>
      </c>
      <c r="C29" s="14">
        <f>VLOOKUP(B29,'TB - Expense Data'!$H$3:$N$758,3,FALSE)</f>
        <v>15370</v>
      </c>
      <c r="D29" s="14">
        <f t="shared" si="0"/>
        <v>7685</v>
      </c>
      <c r="E29" s="26">
        <f>VLOOKUP(B29,'TB - Expense Data'!$H$3:$N$758,7,FALSE)</f>
        <v>0</v>
      </c>
      <c r="F29" s="92">
        <f t="shared" si="1"/>
        <v>-7685</v>
      </c>
      <c r="G29" s="48">
        <f t="shared" si="2"/>
        <v>-1</v>
      </c>
      <c r="H29" s="131" t="s">
        <v>708</v>
      </c>
      <c r="I29" s="156">
        <f>VLOOKUP(H29,'TB - Expense Data'!$H$3:$N$758,3,FALSE)</f>
        <v>4240</v>
      </c>
      <c r="J29" s="14">
        <f t="shared" si="3"/>
        <v>2120</v>
      </c>
      <c r="K29" s="26">
        <f>VLOOKUP(H29,'TB - Expense Data'!$H$3:$N$758,7,FALSE)</f>
        <v>0</v>
      </c>
      <c r="L29" s="92">
        <f t="shared" si="4"/>
        <v>-2120</v>
      </c>
      <c r="M29" s="48">
        <f t="shared" si="5"/>
        <v>-1</v>
      </c>
      <c r="N29" s="131" t="s">
        <v>767</v>
      </c>
      <c r="O29" s="156">
        <f>VLOOKUP(N29,'TB - Expense Data'!$H$3:$N$758,3,FALSE)</f>
        <v>27560</v>
      </c>
      <c r="P29" s="14">
        <f t="shared" si="6"/>
        <v>13780</v>
      </c>
      <c r="Q29" s="26">
        <f>VLOOKUP(N29,'TB - Expense Data'!$H$3:$N$758,7,FALSE)</f>
        <v>0</v>
      </c>
      <c r="R29" s="92">
        <f t="shared" si="7"/>
        <v>-13780</v>
      </c>
      <c r="S29" s="48">
        <f t="shared" si="8"/>
        <v>-1</v>
      </c>
      <c r="T29" s="131" t="s">
        <v>824</v>
      </c>
      <c r="U29" s="14">
        <f>VLOOKUP(T29,'TB - Expense Data'!$H$3:$N$758,3,FALSE)</f>
        <v>5830</v>
      </c>
      <c r="V29" s="14">
        <f t="shared" si="9"/>
        <v>2915</v>
      </c>
      <c r="W29" s="26">
        <f>VLOOKUP(T29,'TB - Expense Data'!$H$3:$N$758,7,FALSE)</f>
        <v>0</v>
      </c>
      <c r="X29" s="92">
        <f t="shared" si="10"/>
        <v>-2915</v>
      </c>
      <c r="Y29" s="48">
        <f t="shared" si="11"/>
        <v>-1</v>
      </c>
      <c r="Z29" s="131" t="s">
        <v>979</v>
      </c>
      <c r="AA29" s="156">
        <f>VLOOKUP(Z29,'TB - Expense Data'!$H$3:$N$758,3,FALSE)</f>
        <v>0</v>
      </c>
      <c r="AB29" s="14">
        <f t="shared" si="12"/>
        <v>0</v>
      </c>
      <c r="AC29" s="26">
        <f>VLOOKUP(Z29,'TB - Expense Data'!$H$3:$N$758,7,FALSE)</f>
        <v>0</v>
      </c>
      <c r="AD29" s="92">
        <f t="shared" si="13"/>
        <v>0</v>
      </c>
      <c r="AE29" s="48" t="str">
        <f t="shared" si="14"/>
        <v xml:space="preserve">-    </v>
      </c>
      <c r="AF29" s="131" t="s">
        <v>979</v>
      </c>
      <c r="AG29" s="156">
        <f>VLOOKUP(AF29,'TB - Expense Data'!$H$3:$N$758,3,FALSE)</f>
        <v>0</v>
      </c>
      <c r="AH29" s="14">
        <f t="shared" si="15"/>
        <v>0</v>
      </c>
      <c r="AI29" s="26">
        <f>VLOOKUP(AF29,'TB - Expense Data'!$H$3:$N$758,7,FALSE)</f>
        <v>0</v>
      </c>
      <c r="AJ29" s="92">
        <f t="shared" si="16"/>
        <v>0</v>
      </c>
      <c r="AK29" s="48" t="str">
        <f t="shared" si="17"/>
        <v xml:space="preserve">-    </v>
      </c>
      <c r="AL29" s="156">
        <f t="shared" si="18"/>
        <v>53000</v>
      </c>
      <c r="AM29" s="14">
        <f t="shared" si="19"/>
        <v>26500</v>
      </c>
      <c r="AN29" s="26">
        <f t="shared" si="20"/>
        <v>0</v>
      </c>
      <c r="AO29" s="92">
        <f t="shared" si="21"/>
        <v>-26500</v>
      </c>
      <c r="AP29" s="48">
        <f t="shared" si="22"/>
        <v>-1</v>
      </c>
    </row>
    <row r="30" spans="1:42" ht="15.75" x14ac:dyDescent="0.25">
      <c r="A30" s="13"/>
      <c r="B30" s="131"/>
      <c r="C30" s="156"/>
      <c r="D30" s="14"/>
      <c r="E30" s="14"/>
      <c r="F30" s="236"/>
      <c r="G30" s="58"/>
      <c r="H30" s="131"/>
      <c r="I30" s="156"/>
      <c r="J30" s="14"/>
      <c r="K30" s="14"/>
      <c r="L30" s="236"/>
      <c r="M30" s="58"/>
      <c r="N30" s="131"/>
      <c r="O30" s="156"/>
      <c r="P30" s="14"/>
      <c r="Q30" s="14"/>
      <c r="R30" s="236"/>
      <c r="S30" s="58"/>
      <c r="T30" s="131"/>
      <c r="U30" s="156"/>
      <c r="V30" s="14"/>
      <c r="W30" s="14"/>
      <c r="X30" s="236"/>
      <c r="Y30" s="58"/>
      <c r="Z30" s="131"/>
      <c r="AA30" s="156"/>
      <c r="AB30" s="14"/>
      <c r="AC30" s="14"/>
      <c r="AD30" s="236"/>
      <c r="AE30" s="58"/>
      <c r="AF30" s="131"/>
      <c r="AG30" s="156"/>
      <c r="AH30" s="14"/>
      <c r="AI30" s="14"/>
      <c r="AJ30" s="236"/>
      <c r="AK30" s="58"/>
      <c r="AL30" s="156"/>
      <c r="AM30" s="14"/>
      <c r="AN30" s="14"/>
      <c r="AO30" s="239"/>
      <c r="AP30" s="58"/>
    </row>
    <row r="31" spans="1:42" ht="15.75" x14ac:dyDescent="0.25">
      <c r="A31" s="30" t="s">
        <v>45</v>
      </c>
      <c r="B31" s="131"/>
      <c r="C31" s="157">
        <f>SUM(C9:C30)</f>
        <v>502141</v>
      </c>
      <c r="D31" s="23">
        <f>SUM(D9:D30)</f>
        <v>251070.5</v>
      </c>
      <c r="E31" s="23">
        <f>SUM(E9:E30)</f>
        <v>212960.24</v>
      </c>
      <c r="F31" s="238">
        <f>E31-D31</f>
        <v>-38110.260000000009</v>
      </c>
      <c r="G31" s="59">
        <f>IF(AND(D31&lt;&gt;0,F31&lt;&gt;0,ISNUMBER(D31),ISNUMBER(F31)),F31/D31,"-    ")</f>
        <v>-0.15179107063553865</v>
      </c>
      <c r="H31" s="131"/>
      <c r="I31" s="157">
        <f>SUM(I9:I30)</f>
        <v>138521.28</v>
      </c>
      <c r="J31" s="23">
        <f>SUM(J9:J30)</f>
        <v>69260.639999999999</v>
      </c>
      <c r="K31" s="23">
        <f>SUM(K9:K30)</f>
        <v>63968.44</v>
      </c>
      <c r="L31" s="238">
        <f>K31-J31</f>
        <v>-5292.1999999999971</v>
      </c>
      <c r="M31" s="59">
        <f>IF(AND(J31&lt;&gt;0,L31&lt;&gt;0,ISNUMBER(J31),ISNUMBER(L31)),L31/J31,"-    ")</f>
        <v>-7.6409920555166641E-2</v>
      </c>
      <c r="N31" s="131"/>
      <c r="O31" s="157">
        <f>SUM(O9:O30)</f>
        <v>900394</v>
      </c>
      <c r="P31" s="23">
        <f>SUM(P9:P30)</f>
        <v>450197</v>
      </c>
      <c r="Q31" s="23">
        <f>SUM(Q9:Q30)</f>
        <v>410385.24000000011</v>
      </c>
      <c r="R31" s="238">
        <f>Q31-P31</f>
        <v>-39811.759999999893</v>
      </c>
      <c r="S31" s="59">
        <f>IF(AND(P31&lt;&gt;0,R31&lt;&gt;0,ISNUMBER(P31),ISNUMBER(R31)),R31/P31,"-    ")</f>
        <v>-8.8431864272751473E-2</v>
      </c>
      <c r="T31" s="131"/>
      <c r="U31" s="157">
        <f>SUM(U9:U30)</f>
        <v>190487.06</v>
      </c>
      <c r="V31" s="23">
        <f>SUM(V9:V30)</f>
        <v>95243.53</v>
      </c>
      <c r="W31" s="23">
        <f>SUM(W9:W30)</f>
        <v>87343.51999999999</v>
      </c>
      <c r="X31" s="238">
        <f>W31-V31</f>
        <v>-7900.0100000000093</v>
      </c>
      <c r="Y31" s="59">
        <f>IF(AND(V31&lt;&gt;0,X31&lt;&gt;0,ISNUMBER(V31),ISNUMBER(X31)),X31/V31,"-    ")</f>
        <v>-8.2945371722362757E-2</v>
      </c>
      <c r="Z31" s="131"/>
      <c r="AA31" s="157">
        <f>SUM(AA9:AA30)</f>
        <v>0</v>
      </c>
      <c r="AB31" s="23">
        <f>SUM(AB9:AB30)</f>
        <v>0</v>
      </c>
      <c r="AC31" s="23">
        <f>SUM(AC9:AC30)</f>
        <v>0</v>
      </c>
      <c r="AD31" s="238">
        <f>AC31-AB31</f>
        <v>0</v>
      </c>
      <c r="AE31" s="59" t="str">
        <f>IF(AND(AB31&lt;&gt;0,AD31&lt;&gt;0,ISNUMBER(AB31),ISNUMBER(AD31)),AD31/AB31,"-    ")</f>
        <v xml:space="preserve">-    </v>
      </c>
      <c r="AF31" s="131"/>
      <c r="AG31" s="157">
        <f>SUM(AG9:AG30)</f>
        <v>0</v>
      </c>
      <c r="AH31" s="23">
        <f>SUM(AH9:AH30)</f>
        <v>0</v>
      </c>
      <c r="AI31" s="23">
        <f>SUM(AI9:AI30)</f>
        <v>0</v>
      </c>
      <c r="AJ31" s="238">
        <f>AI31-AH31</f>
        <v>0</v>
      </c>
      <c r="AK31" s="59" t="str">
        <f>IF(AND(AH31&lt;&gt;0,AJ31&lt;&gt;0,ISNUMBER(AH31),ISNUMBER(AJ31)),AJ31/AH31,"-    ")</f>
        <v xml:space="preserve">-    </v>
      </c>
      <c r="AL31" s="157">
        <f>SUM(AL9:AL30)</f>
        <v>1731543.34</v>
      </c>
      <c r="AM31" s="23">
        <f>SUM(AM9:AM30)</f>
        <v>865771.67</v>
      </c>
      <c r="AN31" s="23">
        <f>SUM(AN9:AN30)</f>
        <v>774657.44</v>
      </c>
      <c r="AO31" s="238">
        <f>AN31-AM31</f>
        <v>-91114.230000000098</v>
      </c>
      <c r="AP31" s="59">
        <f>IF(AND(AM31&lt;&gt;0,AO31&lt;&gt;0,ISNUMBER(AM31),ISNUMBER(AO31)),AO31/AM31,"-    ")</f>
        <v>-0.10524048448016333</v>
      </c>
    </row>
    <row r="32" spans="1:42" ht="15.75" x14ac:dyDescent="0.25">
      <c r="A32" s="13"/>
      <c r="B32" s="131"/>
      <c r="C32" s="156"/>
      <c r="D32" s="14"/>
      <c r="E32" s="14"/>
      <c r="F32" s="236"/>
      <c r="G32" s="58"/>
      <c r="H32" s="131"/>
      <c r="I32" s="156"/>
      <c r="J32" s="14"/>
      <c r="K32" s="14"/>
      <c r="L32" s="236"/>
      <c r="M32" s="58"/>
      <c r="N32" s="131"/>
      <c r="O32" s="156"/>
      <c r="P32" s="14"/>
      <c r="Q32" s="14"/>
      <c r="R32" s="236"/>
      <c r="S32" s="58"/>
      <c r="T32" s="131"/>
      <c r="U32" s="156"/>
      <c r="V32" s="14"/>
      <c r="W32" s="14"/>
      <c r="X32" s="236"/>
      <c r="Y32" s="58"/>
      <c r="Z32" s="131"/>
      <c r="AA32" s="156"/>
      <c r="AB32" s="14"/>
      <c r="AC32" s="14"/>
      <c r="AD32" s="236"/>
      <c r="AE32" s="58"/>
      <c r="AF32" s="131"/>
      <c r="AG32" s="156"/>
      <c r="AH32" s="14"/>
      <c r="AI32" s="14"/>
      <c r="AJ32" s="236"/>
      <c r="AK32" s="58"/>
      <c r="AL32" s="156"/>
      <c r="AM32" s="14"/>
      <c r="AN32" s="14"/>
      <c r="AO32" s="239"/>
      <c r="AP32" s="58"/>
    </row>
    <row r="33" spans="1:42" ht="15.75" x14ac:dyDescent="0.25">
      <c r="A33" s="13" t="s">
        <v>156</v>
      </c>
      <c r="B33" s="131" t="s">
        <v>643</v>
      </c>
      <c r="C33" s="14">
        <f>VLOOKUP(B33,'TB - Expense Data'!$H$3:$N$758,3,FALSE)</f>
        <v>27550</v>
      </c>
      <c r="D33" s="14">
        <f>C33/2</f>
        <v>13775</v>
      </c>
      <c r="E33" s="26">
        <f>VLOOKUP(B33,'TB - Expense Data'!$H$3:$N$758,7,FALSE)</f>
        <v>14947.67</v>
      </c>
      <c r="F33" s="92">
        <f>E33-D33</f>
        <v>1172.67</v>
      </c>
      <c r="G33" s="48">
        <f>IF(AND(D33&lt;&gt;0,F33&lt;&gt;0,ISNUMBER(D33),ISNUMBER(F33)),F33/D33,"-    ")</f>
        <v>8.5130308529945561E-2</v>
      </c>
      <c r="H33" s="131" t="s">
        <v>700</v>
      </c>
      <c r="I33" s="156">
        <f>VLOOKUP(H33,'TB - Expense Data'!$H$3:$N$758,3,FALSE)</f>
        <v>7600</v>
      </c>
      <c r="J33" s="14">
        <f>I33/2</f>
        <v>3800</v>
      </c>
      <c r="K33" s="26">
        <f>VLOOKUP(H33,'TB - Expense Data'!$H$3:$N$758,7,FALSE)</f>
        <v>3731.04</v>
      </c>
      <c r="L33" s="92">
        <f>K33-J33</f>
        <v>-68.960000000000036</v>
      </c>
      <c r="M33" s="48">
        <f>IF(AND(J33&lt;&gt;0,L33&lt;&gt;0,ISNUMBER(J33),ISNUMBER(L33)),L33/J33,"-    ")</f>
        <v>-1.8147368421052641E-2</v>
      </c>
      <c r="N33" s="131" t="s">
        <v>758</v>
      </c>
      <c r="O33" s="156">
        <f>VLOOKUP(N33,'TB - Expense Data'!$H$3:$N$758,3,FALSE)</f>
        <v>49400</v>
      </c>
      <c r="P33" s="14">
        <f>O33/2</f>
        <v>24700</v>
      </c>
      <c r="Q33" s="26">
        <f>VLOOKUP(N33,'TB - Expense Data'!$H$3:$N$758,7,FALSE)</f>
        <v>25642.799999999999</v>
      </c>
      <c r="R33" s="92">
        <f>Q33-P33</f>
        <v>942.79999999999927</v>
      </c>
      <c r="S33" s="48">
        <f>IF(AND(P33&lt;&gt;0,R33&lt;&gt;0,ISNUMBER(P33),ISNUMBER(R33)),R33/P33,"-    ")</f>
        <v>3.8170040485829927E-2</v>
      </c>
      <c r="T33" s="131" t="s">
        <v>816</v>
      </c>
      <c r="U33" s="14">
        <f>VLOOKUP(T33,'TB - Expense Data'!$H$3:$N$758,3,FALSE)</f>
        <v>10450</v>
      </c>
      <c r="V33" s="14">
        <f>U33/2</f>
        <v>5225</v>
      </c>
      <c r="W33" s="26">
        <f>VLOOKUP(T33,'TB - Expense Data'!$H$3:$N$758,7,FALSE)</f>
        <v>5477.94</v>
      </c>
      <c r="X33" s="92">
        <f>W33-V33</f>
        <v>252.9399999999996</v>
      </c>
      <c r="Y33" s="48">
        <f>IF(AND(V33&lt;&gt;0,X33&lt;&gt;0,ISNUMBER(V33),ISNUMBER(X33)),X33/V33,"-    ")</f>
        <v>4.8409569377990354E-2</v>
      </c>
      <c r="Z33" s="131" t="s">
        <v>979</v>
      </c>
      <c r="AA33" s="156">
        <f>VLOOKUP(Z33,'TB - Expense Data'!$H$3:$N$758,3,FALSE)</f>
        <v>0</v>
      </c>
      <c r="AB33" s="14">
        <f>AA33/2</f>
        <v>0</v>
      </c>
      <c r="AC33" s="26">
        <f>VLOOKUP(Z33,'TB - Expense Data'!$H$3:$N$758,7,FALSE)</f>
        <v>0</v>
      </c>
      <c r="AD33" s="92">
        <f>AC33-AB33</f>
        <v>0</v>
      </c>
      <c r="AE33" s="48" t="str">
        <f>IF(AND(AB33&lt;&gt;0,AD33&lt;&gt;0,ISNUMBER(AB33),ISNUMBER(AD33)),AD33/AB33,"-    ")</f>
        <v xml:space="preserve">-    </v>
      </c>
      <c r="AF33" s="131" t="s">
        <v>979</v>
      </c>
      <c r="AG33" s="156">
        <f>VLOOKUP(AF33,'TB - Expense Data'!$H$3:$N$758,3,FALSE)</f>
        <v>0</v>
      </c>
      <c r="AH33" s="14">
        <f>AG33/2</f>
        <v>0</v>
      </c>
      <c r="AI33" s="26">
        <f>VLOOKUP(AF33,'TB - Expense Data'!$H$3:$N$758,7,FALSE)</f>
        <v>0</v>
      </c>
      <c r="AJ33" s="92">
        <f>AI33-AH33</f>
        <v>0</v>
      </c>
      <c r="AK33" s="48" t="str">
        <f>IF(AND(AH33&lt;&gt;0,AJ33&lt;&gt;0,ISNUMBER(AH33),ISNUMBER(AJ33)),AJ33/AH33,"-    ")</f>
        <v xml:space="preserve">-    </v>
      </c>
      <c r="AL33" s="156">
        <f>C33+I33+O33+U33+AA33+AG33</f>
        <v>95000</v>
      </c>
      <c r="AM33" s="14">
        <f>D33+J33+P33+V33+AB33+AH33</f>
        <v>47500</v>
      </c>
      <c r="AN33" s="26">
        <f>E33+K33+Q33+W33+AC33+AI33</f>
        <v>49799.45</v>
      </c>
      <c r="AO33" s="239">
        <f>AN33-AM33</f>
        <v>2299.4499999999971</v>
      </c>
      <c r="AP33" s="58">
        <f>IF(AND(AM33&lt;&gt;0,AO33&lt;&gt;0,ISNUMBER(AM33),ISNUMBER(AO33)),AO33/AM33,"-    ")</f>
        <v>4.8409473684210468E-2</v>
      </c>
    </row>
    <row r="34" spans="1:42" ht="15.75" x14ac:dyDescent="0.25">
      <c r="A34" s="13" t="s">
        <v>157</v>
      </c>
      <c r="B34" s="131" t="s">
        <v>657</v>
      </c>
      <c r="C34" s="14">
        <f>VLOOKUP(B34,'TB - Expense Data'!$H$3:$N$758,3,FALSE)</f>
        <v>7250</v>
      </c>
      <c r="D34" s="14">
        <f t="shared" ref="D34:D79" si="23">C34/2</f>
        <v>3625</v>
      </c>
      <c r="E34" s="26">
        <f>VLOOKUP(B34,'TB - Expense Data'!$H$3:$N$758,7,FALSE)</f>
        <v>2460.6</v>
      </c>
      <c r="F34" s="92">
        <f t="shared" ref="F34:F79" si="24">E34-D34</f>
        <v>-1164.4000000000001</v>
      </c>
      <c r="G34" s="48">
        <f t="shared" ref="G34:G79" si="25">IF(AND(D34&lt;&gt;0,F34&lt;&gt;0,ISNUMBER(D34),ISNUMBER(F34)),F34/D34,"-    ")</f>
        <v>-0.32121379310344828</v>
      </c>
      <c r="H34" s="131" t="s">
        <v>714</v>
      </c>
      <c r="I34" s="156">
        <f>VLOOKUP(H34,'TB - Expense Data'!$H$3:$N$758,3,FALSE)</f>
        <v>2000</v>
      </c>
      <c r="J34" s="14">
        <f t="shared" ref="J34:J79" si="26">I34/2</f>
        <v>1000</v>
      </c>
      <c r="K34" s="26">
        <f>VLOOKUP(H34,'TB - Expense Data'!$H$3:$N$758,7,FALSE)</f>
        <v>369.12</v>
      </c>
      <c r="L34" s="92">
        <f t="shared" ref="L34:L79" si="27">K34-J34</f>
        <v>-630.88</v>
      </c>
      <c r="M34" s="48">
        <f t="shared" ref="M34:M79" si="28">IF(AND(J34&lt;&gt;0,L34&lt;&gt;0,ISNUMBER(J34),ISNUMBER(L34)),L34/J34,"-    ")</f>
        <v>-0.63088</v>
      </c>
      <c r="N34" s="131" t="s">
        <v>773</v>
      </c>
      <c r="O34" s="156">
        <f>VLOOKUP(N34,'TB - Expense Data'!$H$3:$N$758,3,FALSE)</f>
        <v>13000</v>
      </c>
      <c r="P34" s="14">
        <f t="shared" ref="P34:P79" si="29">O34/2</f>
        <v>6500</v>
      </c>
      <c r="Q34" s="26">
        <f>VLOOKUP(N34,'TB - Expense Data'!$H$3:$N$758,7,FALSE)</f>
        <v>7996.98</v>
      </c>
      <c r="R34" s="92">
        <f t="shared" ref="R34:R79" si="30">Q34-P34</f>
        <v>1496.9799999999996</v>
      </c>
      <c r="S34" s="48">
        <f t="shared" ref="S34:S79" si="31">IF(AND(P34&lt;&gt;0,R34&lt;&gt;0,ISNUMBER(P34),ISNUMBER(R34)),R34/P34,"-    ")</f>
        <v>0.23030461538461533</v>
      </c>
      <c r="T34" s="131" t="s">
        <v>830</v>
      </c>
      <c r="U34" s="14">
        <f>VLOOKUP(T34,'TB - Expense Data'!$H$3:$N$758,3,FALSE)</f>
        <v>2750</v>
      </c>
      <c r="V34" s="14">
        <f t="shared" ref="V34:V79" si="32">U34/2</f>
        <v>1375</v>
      </c>
      <c r="W34" s="26">
        <f>VLOOKUP(T34,'TB - Expense Data'!$H$3:$N$758,7,FALSE)</f>
        <v>1476.36</v>
      </c>
      <c r="X34" s="92">
        <f t="shared" ref="X34:X79" si="33">W34-V34</f>
        <v>101.3599999999999</v>
      </c>
      <c r="Y34" s="48">
        <f t="shared" ref="Y34:Y79" si="34">IF(AND(V34&lt;&gt;0,X34&lt;&gt;0,ISNUMBER(V34),ISNUMBER(X34)),X34/V34,"-    ")</f>
        <v>7.3716363636363566E-2</v>
      </c>
      <c r="Z34" s="131" t="s">
        <v>979</v>
      </c>
      <c r="AA34" s="156">
        <f>VLOOKUP(Z34,'TB - Expense Data'!$H$3:$N$758,3,FALSE)</f>
        <v>0</v>
      </c>
      <c r="AB34" s="14">
        <f t="shared" ref="AB34:AB79" si="35">AA34/2</f>
        <v>0</v>
      </c>
      <c r="AC34" s="26">
        <f>VLOOKUP(Z34,'TB - Expense Data'!$H$3:$N$758,7,FALSE)</f>
        <v>0</v>
      </c>
      <c r="AD34" s="92">
        <f t="shared" ref="AD34:AD79" si="36">AC34-AB34</f>
        <v>0</v>
      </c>
      <c r="AE34" s="48" t="str">
        <f t="shared" ref="AE34:AE79" si="37">IF(AND(AB34&lt;&gt;0,AD34&lt;&gt;0,ISNUMBER(AB34),ISNUMBER(AD34)),AD34/AB34,"-    ")</f>
        <v xml:space="preserve">-    </v>
      </c>
      <c r="AF34" s="131" t="s">
        <v>979</v>
      </c>
      <c r="AG34" s="156">
        <f>VLOOKUP(AF34,'TB - Expense Data'!$H$3:$N$758,3,FALSE)</f>
        <v>0</v>
      </c>
      <c r="AH34" s="14">
        <f t="shared" ref="AH34:AH79" si="38">AG34/2</f>
        <v>0</v>
      </c>
      <c r="AI34" s="26">
        <f>VLOOKUP(AF34,'TB - Expense Data'!$H$3:$N$758,7,FALSE)</f>
        <v>0</v>
      </c>
      <c r="AJ34" s="92">
        <f t="shared" ref="AJ34:AJ79" si="39">AI34-AH34</f>
        <v>0</v>
      </c>
      <c r="AK34" s="48" t="str">
        <f t="shared" ref="AK34:AK79" si="40">IF(AND(AH34&lt;&gt;0,AJ34&lt;&gt;0,ISNUMBER(AH34),ISNUMBER(AJ34)),AJ34/AH34,"-    ")</f>
        <v xml:space="preserve">-    </v>
      </c>
      <c r="AL34" s="156">
        <f t="shared" ref="AL34:AL45" si="41">C34+I34+O34+U34+AA34+AG34</f>
        <v>25000</v>
      </c>
      <c r="AM34" s="14">
        <f t="shared" ref="AM34:AM45" si="42">D34+J34+P34+V34+AB34+AH34</f>
        <v>12500</v>
      </c>
      <c r="AN34" s="26">
        <f t="shared" ref="AN34:AN45" si="43">E34+K34+Q34+W34+AC34+AI34</f>
        <v>12303.06</v>
      </c>
      <c r="AO34" s="239">
        <f t="shared" ref="AO34:AO45" si="44">AN34-AM34</f>
        <v>-196.94000000000051</v>
      </c>
      <c r="AP34" s="58">
        <f t="shared" ref="AP34:AP45" si="45">IF(AND(AM34&lt;&gt;0,AO34&lt;&gt;0,ISNUMBER(AM34),ISNUMBER(AO34)),AO34/AM34,"-    ")</f>
        <v>-1.5755200000000042E-2</v>
      </c>
    </row>
    <row r="35" spans="1:42" ht="15.75" x14ac:dyDescent="0.25">
      <c r="A35" s="13" t="s">
        <v>158</v>
      </c>
      <c r="B35" s="131" t="s">
        <v>617</v>
      </c>
      <c r="C35" s="14">
        <f>VLOOKUP(B35,'TB - Expense Data'!$H$3:$N$758,3,FALSE)</f>
        <v>1740</v>
      </c>
      <c r="D35" s="14">
        <f t="shared" si="23"/>
        <v>870</v>
      </c>
      <c r="E35" s="26">
        <f>VLOOKUP(B35,'TB - Expense Data'!$H$3:$N$758,7,FALSE)</f>
        <v>869.7</v>
      </c>
      <c r="F35" s="92">
        <f t="shared" si="24"/>
        <v>-0.29999999999995453</v>
      </c>
      <c r="G35" s="48">
        <f t="shared" si="25"/>
        <v>-3.4482758620684427E-4</v>
      </c>
      <c r="H35" s="131" t="s">
        <v>675</v>
      </c>
      <c r="I35" s="156">
        <f>VLOOKUP(H35,'TB - Expense Data'!$H$3:$N$758,3,FALSE)</f>
        <v>480</v>
      </c>
      <c r="J35" s="14">
        <f t="shared" si="26"/>
        <v>240</v>
      </c>
      <c r="K35" s="26">
        <f>VLOOKUP(H35,'TB - Expense Data'!$H$3:$N$758,7,FALSE)</f>
        <v>260.94</v>
      </c>
      <c r="L35" s="92">
        <f t="shared" si="27"/>
        <v>20.939999999999998</v>
      </c>
      <c r="M35" s="48">
        <f t="shared" si="28"/>
        <v>8.7249999999999994E-2</v>
      </c>
      <c r="N35" s="131" t="s">
        <v>730</v>
      </c>
      <c r="O35" s="156">
        <f>VLOOKUP(N35,'TB - Expense Data'!$H$3:$N$758,3,FALSE)</f>
        <v>3120</v>
      </c>
      <c r="P35" s="14">
        <f t="shared" si="29"/>
        <v>1560</v>
      </c>
      <c r="Q35" s="26">
        <f>VLOOKUP(N35,'TB - Expense Data'!$H$3:$N$758,7,FALSE)</f>
        <v>1449.48</v>
      </c>
      <c r="R35" s="92">
        <f t="shared" si="30"/>
        <v>-110.51999999999998</v>
      </c>
      <c r="S35" s="48">
        <f t="shared" si="31"/>
        <v>-7.0846153846153836E-2</v>
      </c>
      <c r="T35" s="131" t="s">
        <v>789</v>
      </c>
      <c r="U35" s="14">
        <f>VLOOKUP(T35,'TB - Expense Data'!$H$3:$N$758,3,FALSE)</f>
        <v>660</v>
      </c>
      <c r="V35" s="14">
        <f t="shared" si="32"/>
        <v>330</v>
      </c>
      <c r="W35" s="26">
        <f>VLOOKUP(T35,'TB - Expense Data'!$H$3:$N$758,7,FALSE)</f>
        <v>318.89999999999998</v>
      </c>
      <c r="X35" s="92">
        <f t="shared" si="33"/>
        <v>-11.100000000000023</v>
      </c>
      <c r="Y35" s="48">
        <f t="shared" si="34"/>
        <v>-3.3636363636363707E-2</v>
      </c>
      <c r="Z35" s="131" t="s">
        <v>979</v>
      </c>
      <c r="AA35" s="156">
        <f>VLOOKUP(Z35,'TB - Expense Data'!$H$3:$N$758,3,FALSE)</f>
        <v>0</v>
      </c>
      <c r="AB35" s="14">
        <f t="shared" si="35"/>
        <v>0</v>
      </c>
      <c r="AC35" s="26">
        <f>VLOOKUP(Z35,'TB - Expense Data'!$H$3:$N$758,7,FALSE)</f>
        <v>0</v>
      </c>
      <c r="AD35" s="92">
        <f t="shared" si="36"/>
        <v>0</v>
      </c>
      <c r="AE35" s="48" t="str">
        <f t="shared" si="37"/>
        <v xml:space="preserve">-    </v>
      </c>
      <c r="AF35" s="131" t="s">
        <v>979</v>
      </c>
      <c r="AG35" s="156">
        <f>VLOOKUP(AF35,'TB - Expense Data'!$H$3:$N$758,3,FALSE)</f>
        <v>0</v>
      </c>
      <c r="AH35" s="14">
        <f t="shared" si="38"/>
        <v>0</v>
      </c>
      <c r="AI35" s="26">
        <f>VLOOKUP(AF35,'TB - Expense Data'!$H$3:$N$758,7,FALSE)</f>
        <v>0</v>
      </c>
      <c r="AJ35" s="92">
        <f t="shared" si="39"/>
        <v>0</v>
      </c>
      <c r="AK35" s="48" t="str">
        <f t="shared" si="40"/>
        <v xml:space="preserve">-    </v>
      </c>
      <c r="AL35" s="156">
        <f t="shared" si="41"/>
        <v>6000</v>
      </c>
      <c r="AM35" s="14">
        <f t="shared" si="42"/>
        <v>3000</v>
      </c>
      <c r="AN35" s="26">
        <f t="shared" si="43"/>
        <v>2899.02</v>
      </c>
      <c r="AO35" s="239">
        <f t="shared" si="44"/>
        <v>-100.98000000000002</v>
      </c>
      <c r="AP35" s="58">
        <f t="shared" si="45"/>
        <v>-3.3660000000000009E-2</v>
      </c>
    </row>
    <row r="36" spans="1:42" ht="15.75" hidden="1" outlineLevel="1" x14ac:dyDescent="0.25">
      <c r="A36" s="13" t="s">
        <v>846</v>
      </c>
      <c r="B36" s="131" t="s">
        <v>979</v>
      </c>
      <c r="C36" s="14">
        <f>VLOOKUP(B36,'TB - Expense Data'!$H$3:$N$758,3,FALSE)</f>
        <v>0</v>
      </c>
      <c r="D36" s="14">
        <f t="shared" si="23"/>
        <v>0</v>
      </c>
      <c r="E36" s="26">
        <f>VLOOKUP(B36,'TB - Expense Data'!$H$3:$N$758,7,FALSE)</f>
        <v>0</v>
      </c>
      <c r="F36" s="92">
        <f t="shared" si="24"/>
        <v>0</v>
      </c>
      <c r="G36" s="48" t="str">
        <f t="shared" si="25"/>
        <v xml:space="preserve">-    </v>
      </c>
      <c r="H36" s="131" t="s">
        <v>979</v>
      </c>
      <c r="I36" s="156">
        <f>VLOOKUP(H36,'TB - Expense Data'!$H$3:$N$758,3,FALSE)</f>
        <v>0</v>
      </c>
      <c r="J36" s="14">
        <f t="shared" si="26"/>
        <v>0</v>
      </c>
      <c r="K36" s="26">
        <f>VLOOKUP(H36,'TB - Expense Data'!$H$3:$N$758,7,FALSE)</f>
        <v>0</v>
      </c>
      <c r="L36" s="92">
        <f t="shared" si="27"/>
        <v>0</v>
      </c>
      <c r="M36" s="48" t="str">
        <f t="shared" si="28"/>
        <v xml:space="preserve">-    </v>
      </c>
      <c r="N36" s="131" t="s">
        <v>1083</v>
      </c>
      <c r="O36" s="156">
        <f>VLOOKUP(N36,'TB - Expense Data'!$H$3:$N$758,3,FALSE)</f>
        <v>0</v>
      </c>
      <c r="P36" s="14">
        <f t="shared" si="29"/>
        <v>0</v>
      </c>
      <c r="Q36" s="26">
        <f>VLOOKUP(N36,'TB - Expense Data'!$H$3:$N$758,7,FALSE)</f>
        <v>0</v>
      </c>
      <c r="R36" s="92">
        <f t="shared" si="30"/>
        <v>0</v>
      </c>
      <c r="S36" s="48" t="str">
        <f t="shared" si="31"/>
        <v xml:space="preserve">-    </v>
      </c>
      <c r="T36" s="131" t="s">
        <v>1085</v>
      </c>
      <c r="U36" s="14">
        <f>VLOOKUP(T36,'TB - Expense Data'!$H$3:$N$758,3,FALSE)</f>
        <v>0</v>
      </c>
      <c r="V36" s="14">
        <f t="shared" si="32"/>
        <v>0</v>
      </c>
      <c r="W36" s="26">
        <f>VLOOKUP(T36,'TB - Expense Data'!$H$3:$N$758,7,FALSE)</f>
        <v>0</v>
      </c>
      <c r="X36" s="92">
        <f t="shared" si="33"/>
        <v>0</v>
      </c>
      <c r="Y36" s="48" t="str">
        <f t="shared" si="34"/>
        <v xml:space="preserve">-    </v>
      </c>
      <c r="Z36" s="131" t="s">
        <v>979</v>
      </c>
      <c r="AA36" s="156">
        <f>VLOOKUP(Z36,'TB - Expense Data'!$H$3:$N$758,3,FALSE)</f>
        <v>0</v>
      </c>
      <c r="AB36" s="14">
        <f t="shared" si="35"/>
        <v>0</v>
      </c>
      <c r="AC36" s="26">
        <f>VLOOKUP(Z36,'TB - Expense Data'!$H$3:$N$758,7,FALSE)</f>
        <v>0</v>
      </c>
      <c r="AD36" s="92">
        <f t="shared" si="36"/>
        <v>0</v>
      </c>
      <c r="AE36" s="48" t="str">
        <f t="shared" si="37"/>
        <v xml:space="preserve">-    </v>
      </c>
      <c r="AF36" s="131" t="s">
        <v>979</v>
      </c>
      <c r="AG36" s="156">
        <f>VLOOKUP(AF36,'TB - Expense Data'!$H$3:$N$758,3,FALSE)</f>
        <v>0</v>
      </c>
      <c r="AH36" s="14">
        <f t="shared" si="38"/>
        <v>0</v>
      </c>
      <c r="AI36" s="26">
        <f>VLOOKUP(AF36,'TB - Expense Data'!$H$3:$N$758,7,FALSE)</f>
        <v>0</v>
      </c>
      <c r="AJ36" s="92">
        <f t="shared" si="39"/>
        <v>0</v>
      </c>
      <c r="AK36" s="48" t="str">
        <f t="shared" si="40"/>
        <v xml:space="preserve">-    </v>
      </c>
      <c r="AL36" s="156">
        <f t="shared" si="41"/>
        <v>0</v>
      </c>
      <c r="AM36" s="14">
        <f t="shared" si="42"/>
        <v>0</v>
      </c>
      <c r="AN36" s="26">
        <f t="shared" si="43"/>
        <v>0</v>
      </c>
      <c r="AO36" s="239">
        <f t="shared" si="44"/>
        <v>0</v>
      </c>
      <c r="AP36" s="58" t="str">
        <f t="shared" si="45"/>
        <v xml:space="preserve">-    </v>
      </c>
    </row>
    <row r="37" spans="1:42" ht="15.75" hidden="1" outlineLevel="1" x14ac:dyDescent="0.25">
      <c r="A37" s="13" t="s">
        <v>1073</v>
      </c>
      <c r="B37" s="131" t="s">
        <v>1059</v>
      </c>
      <c r="C37" s="14">
        <f>VLOOKUP(B37,'TB - Expense Data'!$H$3:$N$758,3,FALSE)</f>
        <v>0</v>
      </c>
      <c r="D37" s="14">
        <f t="shared" si="23"/>
        <v>0</v>
      </c>
      <c r="E37" s="26">
        <f>VLOOKUP(B37,'TB - Expense Data'!$H$3:$N$758,7,FALSE)</f>
        <v>0</v>
      </c>
      <c r="F37" s="92">
        <f t="shared" si="24"/>
        <v>0</v>
      </c>
      <c r="G37" s="48" t="str">
        <f t="shared" si="25"/>
        <v xml:space="preserve">-    </v>
      </c>
      <c r="H37" s="131" t="s">
        <v>1064</v>
      </c>
      <c r="I37" s="156">
        <f>VLOOKUP(H37,'TB - Expense Data'!$H$3:$N$758,3,FALSE)</f>
        <v>0</v>
      </c>
      <c r="J37" s="14">
        <f t="shared" si="26"/>
        <v>0</v>
      </c>
      <c r="K37" s="26">
        <f>VLOOKUP(H37,'TB - Expense Data'!$H$3:$N$758,7,FALSE)</f>
        <v>0</v>
      </c>
      <c r="L37" s="92">
        <f t="shared" si="27"/>
        <v>0</v>
      </c>
      <c r="M37" s="48" t="str">
        <f t="shared" si="28"/>
        <v xml:space="preserve">-    </v>
      </c>
      <c r="N37" s="131" t="s">
        <v>1067</v>
      </c>
      <c r="O37" s="156">
        <f>VLOOKUP(N37,'TB - Expense Data'!$H$3:$N$758,3,FALSE)</f>
        <v>0</v>
      </c>
      <c r="P37" s="14">
        <f t="shared" si="29"/>
        <v>0</v>
      </c>
      <c r="Q37" s="26">
        <f>VLOOKUP(N37,'TB - Expense Data'!$H$3:$N$758,7,FALSE)</f>
        <v>0</v>
      </c>
      <c r="R37" s="92">
        <f t="shared" si="30"/>
        <v>0</v>
      </c>
      <c r="S37" s="48" t="str">
        <f t="shared" si="31"/>
        <v xml:space="preserve">-    </v>
      </c>
      <c r="T37" s="131" t="s">
        <v>1070</v>
      </c>
      <c r="U37" s="14">
        <f>VLOOKUP(T37,'TB - Expense Data'!$H$3:$N$758,3,FALSE)</f>
        <v>0</v>
      </c>
      <c r="V37" s="14">
        <f t="shared" si="32"/>
        <v>0</v>
      </c>
      <c r="W37" s="26">
        <f>VLOOKUP(T37,'TB - Expense Data'!$H$3:$N$758,7,FALSE)</f>
        <v>0</v>
      </c>
      <c r="X37" s="92">
        <f t="shared" si="33"/>
        <v>0</v>
      </c>
      <c r="Y37" s="48" t="str">
        <f t="shared" si="34"/>
        <v xml:space="preserve">-    </v>
      </c>
      <c r="Z37" s="131" t="s">
        <v>979</v>
      </c>
      <c r="AA37" s="156">
        <f>VLOOKUP(Z37,'TB - Expense Data'!$H$3:$N$758,3,FALSE)</f>
        <v>0</v>
      </c>
      <c r="AB37" s="14">
        <f t="shared" si="35"/>
        <v>0</v>
      </c>
      <c r="AC37" s="26">
        <f>VLOOKUP(Z37,'TB - Expense Data'!$H$3:$N$758,7,FALSE)</f>
        <v>0</v>
      </c>
      <c r="AD37" s="92">
        <f t="shared" si="36"/>
        <v>0</v>
      </c>
      <c r="AE37" s="48" t="str">
        <f t="shared" si="37"/>
        <v xml:space="preserve">-    </v>
      </c>
      <c r="AF37" s="131" t="s">
        <v>979</v>
      </c>
      <c r="AG37" s="156">
        <f>VLOOKUP(AF37,'TB - Expense Data'!$H$3:$N$758,3,FALSE)</f>
        <v>0</v>
      </c>
      <c r="AH37" s="14">
        <f t="shared" si="38"/>
        <v>0</v>
      </c>
      <c r="AI37" s="26">
        <f>VLOOKUP(AF37,'TB - Expense Data'!$H$3:$N$758,7,FALSE)</f>
        <v>0</v>
      </c>
      <c r="AJ37" s="92">
        <f t="shared" si="39"/>
        <v>0</v>
      </c>
      <c r="AK37" s="48" t="str">
        <f t="shared" si="40"/>
        <v xml:space="preserve">-    </v>
      </c>
      <c r="AL37" s="156">
        <f t="shared" si="41"/>
        <v>0</v>
      </c>
      <c r="AM37" s="14">
        <f t="shared" si="42"/>
        <v>0</v>
      </c>
      <c r="AN37" s="26">
        <f t="shared" si="43"/>
        <v>0</v>
      </c>
      <c r="AO37" s="239">
        <f t="shared" si="44"/>
        <v>0</v>
      </c>
      <c r="AP37" s="58" t="str">
        <f t="shared" si="45"/>
        <v xml:space="preserve">-    </v>
      </c>
    </row>
    <row r="38" spans="1:42" ht="15.75" collapsed="1" x14ac:dyDescent="0.25">
      <c r="A38" s="13" t="s">
        <v>159</v>
      </c>
      <c r="B38" s="131" t="s">
        <v>649</v>
      </c>
      <c r="C38" s="14">
        <f>VLOOKUP(B38,'TB - Expense Data'!$H$3:$N$758,3,FALSE)</f>
        <v>4350</v>
      </c>
      <c r="D38" s="14">
        <f t="shared" si="23"/>
        <v>2175</v>
      </c>
      <c r="E38" s="26">
        <f>VLOOKUP(B38,'TB - Expense Data'!$H$3:$N$758,7,FALSE)</f>
        <v>1902.47</v>
      </c>
      <c r="F38" s="92">
        <f t="shared" si="24"/>
        <v>-272.52999999999997</v>
      </c>
      <c r="G38" s="48">
        <f t="shared" si="25"/>
        <v>-0.12530114942528733</v>
      </c>
      <c r="H38" s="131" t="s">
        <v>706</v>
      </c>
      <c r="I38" s="156">
        <f>VLOOKUP(H38,'TB - Expense Data'!$H$3:$N$758,3,FALSE)</f>
        <v>1200</v>
      </c>
      <c r="J38" s="14">
        <f t="shared" si="26"/>
        <v>600</v>
      </c>
      <c r="K38" s="26">
        <f>VLOOKUP(H38,'TB - Expense Data'!$H$3:$N$758,7,FALSE)</f>
        <v>497.4</v>
      </c>
      <c r="L38" s="92">
        <f t="shared" si="27"/>
        <v>-102.60000000000002</v>
      </c>
      <c r="M38" s="48">
        <f t="shared" si="28"/>
        <v>-0.17100000000000004</v>
      </c>
      <c r="N38" s="131" t="s">
        <v>765</v>
      </c>
      <c r="O38" s="156">
        <f>VLOOKUP(N38,'TB - Expense Data'!$H$3:$N$758,3,FALSE)</f>
        <v>7800</v>
      </c>
      <c r="P38" s="14">
        <f t="shared" si="29"/>
        <v>3900</v>
      </c>
      <c r="Q38" s="26">
        <f>VLOOKUP(N38,'TB - Expense Data'!$H$3:$N$758,7,FALSE)</f>
        <v>3343.39</v>
      </c>
      <c r="R38" s="92">
        <f t="shared" si="30"/>
        <v>-556.61000000000013</v>
      </c>
      <c r="S38" s="48">
        <f t="shared" si="31"/>
        <v>-0.14272051282051285</v>
      </c>
      <c r="T38" s="131" t="s">
        <v>822</v>
      </c>
      <c r="U38" s="14">
        <f>VLOOKUP(T38,'TB - Expense Data'!$H$3:$N$758,3,FALSE)</f>
        <v>1650</v>
      </c>
      <c r="V38" s="14">
        <f t="shared" si="32"/>
        <v>825</v>
      </c>
      <c r="W38" s="26">
        <f>VLOOKUP(T38,'TB - Expense Data'!$H$3:$N$758,7,FALSE)</f>
        <v>683.96</v>
      </c>
      <c r="X38" s="92">
        <f t="shared" si="33"/>
        <v>-141.03999999999996</v>
      </c>
      <c r="Y38" s="48">
        <f t="shared" si="34"/>
        <v>-0.17095757575757572</v>
      </c>
      <c r="Z38" s="131" t="s">
        <v>979</v>
      </c>
      <c r="AA38" s="156">
        <f>VLOOKUP(Z38,'TB - Expense Data'!$H$3:$N$758,3,FALSE)</f>
        <v>0</v>
      </c>
      <c r="AB38" s="14">
        <f t="shared" si="35"/>
        <v>0</v>
      </c>
      <c r="AC38" s="26">
        <f>VLOOKUP(Z38,'TB - Expense Data'!$H$3:$N$758,7,FALSE)</f>
        <v>0</v>
      </c>
      <c r="AD38" s="92">
        <f t="shared" si="36"/>
        <v>0</v>
      </c>
      <c r="AE38" s="48" t="str">
        <f t="shared" si="37"/>
        <v xml:space="preserve">-    </v>
      </c>
      <c r="AF38" s="131" t="s">
        <v>979</v>
      </c>
      <c r="AG38" s="156">
        <f>VLOOKUP(AF38,'TB - Expense Data'!$H$3:$N$758,3,FALSE)</f>
        <v>0</v>
      </c>
      <c r="AH38" s="14">
        <f t="shared" si="38"/>
        <v>0</v>
      </c>
      <c r="AI38" s="26">
        <f>VLOOKUP(AF38,'TB - Expense Data'!$H$3:$N$758,7,FALSE)</f>
        <v>0</v>
      </c>
      <c r="AJ38" s="92">
        <f t="shared" si="39"/>
        <v>0</v>
      </c>
      <c r="AK38" s="48" t="str">
        <f t="shared" si="40"/>
        <v xml:space="preserve">-    </v>
      </c>
      <c r="AL38" s="156">
        <f t="shared" si="41"/>
        <v>15000</v>
      </c>
      <c r="AM38" s="14">
        <f t="shared" si="42"/>
        <v>7500</v>
      </c>
      <c r="AN38" s="26">
        <f t="shared" si="43"/>
        <v>6427.22</v>
      </c>
      <c r="AO38" s="239">
        <f t="shared" si="44"/>
        <v>-1072.7799999999997</v>
      </c>
      <c r="AP38" s="58">
        <f t="shared" si="45"/>
        <v>-0.14303733333333329</v>
      </c>
    </row>
    <row r="39" spans="1:42" ht="15.75" x14ac:dyDescent="0.25">
      <c r="A39" s="13" t="s">
        <v>160</v>
      </c>
      <c r="B39" s="131" t="s">
        <v>623</v>
      </c>
      <c r="C39" s="14">
        <f>VLOOKUP(B39,'TB - Expense Data'!$H$3:$N$758,3,FALSE)</f>
        <v>1305</v>
      </c>
      <c r="D39" s="14">
        <f t="shared" si="23"/>
        <v>652.5</v>
      </c>
      <c r="E39" s="26">
        <f>VLOOKUP(B39,'TB - Expense Data'!$H$3:$N$758,7,FALSE)</f>
        <v>4697.3999999999996</v>
      </c>
      <c r="F39" s="92">
        <f t="shared" si="24"/>
        <v>4044.8999999999996</v>
      </c>
      <c r="G39" s="48">
        <f t="shared" si="25"/>
        <v>6.1990804597701148</v>
      </c>
      <c r="H39" s="131" t="s">
        <v>680</v>
      </c>
      <c r="I39" s="156">
        <f>VLOOKUP(H39,'TB - Expense Data'!$H$3:$N$758,3,FALSE)</f>
        <v>360</v>
      </c>
      <c r="J39" s="14">
        <f t="shared" si="26"/>
        <v>180</v>
      </c>
      <c r="K39" s="26">
        <f>VLOOKUP(H39,'TB - Expense Data'!$H$3:$N$758,7,FALSE)</f>
        <v>1295.8399999999999</v>
      </c>
      <c r="L39" s="92">
        <f t="shared" si="27"/>
        <v>1115.8399999999999</v>
      </c>
      <c r="M39" s="48">
        <f t="shared" si="28"/>
        <v>6.1991111111111108</v>
      </c>
      <c r="N39" s="131" t="s">
        <v>735</v>
      </c>
      <c r="O39" s="156">
        <f>VLOOKUP(N39,'TB - Expense Data'!$H$3:$N$758,3,FALSE)</f>
        <v>2340</v>
      </c>
      <c r="P39" s="14">
        <f t="shared" si="29"/>
        <v>1170</v>
      </c>
      <c r="Q39" s="26">
        <f>VLOOKUP(N39,'TB - Expense Data'!$H$3:$N$758,7,FALSE)</f>
        <v>8422.9</v>
      </c>
      <c r="R39" s="92">
        <f t="shared" si="30"/>
        <v>7252.9</v>
      </c>
      <c r="S39" s="48">
        <f t="shared" si="31"/>
        <v>6.1990598290598289</v>
      </c>
      <c r="T39" s="131" t="s">
        <v>794</v>
      </c>
      <c r="U39" s="14">
        <f>VLOOKUP(T39,'TB - Expense Data'!$H$3:$N$758,3,FALSE)</f>
        <v>495</v>
      </c>
      <c r="V39" s="14">
        <f t="shared" si="32"/>
        <v>247.5</v>
      </c>
      <c r="W39" s="26">
        <f>VLOOKUP(T39,'TB - Expense Data'!$H$3:$N$758,7,FALSE)</f>
        <v>1781.77</v>
      </c>
      <c r="X39" s="92">
        <f t="shared" si="33"/>
        <v>1534.27</v>
      </c>
      <c r="Y39" s="48">
        <f t="shared" si="34"/>
        <v>6.1990707070707067</v>
      </c>
      <c r="Z39" s="131" t="s">
        <v>979</v>
      </c>
      <c r="AA39" s="156">
        <f>VLOOKUP(Z39,'TB - Expense Data'!$H$3:$N$758,3,FALSE)</f>
        <v>0</v>
      </c>
      <c r="AB39" s="14">
        <f t="shared" si="35"/>
        <v>0</v>
      </c>
      <c r="AC39" s="26">
        <f>VLOOKUP(Z39,'TB - Expense Data'!$H$3:$N$758,7,FALSE)</f>
        <v>0</v>
      </c>
      <c r="AD39" s="92">
        <f t="shared" si="36"/>
        <v>0</v>
      </c>
      <c r="AE39" s="48" t="str">
        <f t="shared" si="37"/>
        <v xml:space="preserve">-    </v>
      </c>
      <c r="AF39" s="131" t="s">
        <v>979</v>
      </c>
      <c r="AG39" s="156">
        <f>VLOOKUP(AF39,'TB - Expense Data'!$H$3:$N$758,3,FALSE)</f>
        <v>0</v>
      </c>
      <c r="AH39" s="14">
        <f t="shared" si="38"/>
        <v>0</v>
      </c>
      <c r="AI39" s="26">
        <f>VLOOKUP(AF39,'TB - Expense Data'!$H$3:$N$758,7,FALSE)</f>
        <v>0</v>
      </c>
      <c r="AJ39" s="92">
        <f t="shared" si="39"/>
        <v>0</v>
      </c>
      <c r="AK39" s="48" t="str">
        <f t="shared" si="40"/>
        <v xml:space="preserve">-    </v>
      </c>
      <c r="AL39" s="156">
        <f t="shared" si="41"/>
        <v>4500</v>
      </c>
      <c r="AM39" s="14">
        <f t="shared" si="42"/>
        <v>2250</v>
      </c>
      <c r="AN39" s="26">
        <f t="shared" si="43"/>
        <v>16197.91</v>
      </c>
      <c r="AO39" s="239">
        <f t="shared" si="44"/>
        <v>13947.91</v>
      </c>
      <c r="AP39" s="58">
        <f t="shared" si="45"/>
        <v>6.1990711111111114</v>
      </c>
    </row>
    <row r="40" spans="1:42" ht="15.75" x14ac:dyDescent="0.25">
      <c r="A40" s="13" t="s">
        <v>161</v>
      </c>
      <c r="B40" s="131" t="s">
        <v>662</v>
      </c>
      <c r="C40" s="14">
        <f>VLOOKUP(B40,'TB - Expense Data'!$H$3:$N$758,3,FALSE)</f>
        <v>1856</v>
      </c>
      <c r="D40" s="14">
        <f t="shared" si="23"/>
        <v>928</v>
      </c>
      <c r="E40" s="26">
        <f>VLOOKUP(B40,'TB - Expense Data'!$H$3:$N$758,7,FALSE)</f>
        <v>922.67</v>
      </c>
      <c r="F40" s="92">
        <f t="shared" si="24"/>
        <v>-5.3300000000000409</v>
      </c>
      <c r="G40" s="48">
        <f t="shared" si="25"/>
        <v>-5.7435344827586644E-3</v>
      </c>
      <c r="H40" s="131" t="s">
        <v>719</v>
      </c>
      <c r="I40" s="156">
        <f>VLOOKUP(H40,'TB - Expense Data'!$H$3:$N$758,3,FALSE)</f>
        <v>512</v>
      </c>
      <c r="J40" s="14">
        <f t="shared" si="26"/>
        <v>256</v>
      </c>
      <c r="K40" s="26">
        <f>VLOOKUP(H40,'TB - Expense Data'!$H$3:$N$758,7,FALSE)</f>
        <v>258.35000000000002</v>
      </c>
      <c r="L40" s="92">
        <f t="shared" si="27"/>
        <v>2.3500000000000227</v>
      </c>
      <c r="M40" s="48">
        <f t="shared" si="28"/>
        <v>9.1796875000000888E-3</v>
      </c>
      <c r="N40" s="131" t="s">
        <v>778</v>
      </c>
      <c r="O40" s="156">
        <f>VLOOKUP(N40,'TB - Expense Data'!$H$3:$N$758,3,FALSE)</f>
        <v>3328</v>
      </c>
      <c r="P40" s="14">
        <f t="shared" si="29"/>
        <v>1664</v>
      </c>
      <c r="Q40" s="26">
        <f>VLOOKUP(N40,'TB - Expense Data'!$H$3:$N$758,7,FALSE)</f>
        <v>1634.36</v>
      </c>
      <c r="R40" s="92">
        <f t="shared" si="30"/>
        <v>-29.6400000000001</v>
      </c>
      <c r="S40" s="48">
        <f t="shared" si="31"/>
        <v>-1.7812500000000061E-2</v>
      </c>
      <c r="T40" s="131" t="s">
        <v>835</v>
      </c>
      <c r="U40" s="14">
        <f>VLOOKUP(T40,'TB - Expense Data'!$H$3:$N$758,3,FALSE)</f>
        <v>704</v>
      </c>
      <c r="V40" s="14">
        <f t="shared" si="32"/>
        <v>352</v>
      </c>
      <c r="W40" s="26">
        <f>VLOOKUP(T40,'TB - Expense Data'!$H$3:$N$758,7,FALSE)</f>
        <v>348</v>
      </c>
      <c r="X40" s="92">
        <f t="shared" si="33"/>
        <v>-4</v>
      </c>
      <c r="Y40" s="48">
        <f t="shared" si="34"/>
        <v>-1.1363636363636364E-2</v>
      </c>
      <c r="Z40" s="131" t="s">
        <v>979</v>
      </c>
      <c r="AA40" s="156">
        <f>VLOOKUP(Z40,'TB - Expense Data'!$H$3:$N$758,3,FALSE)</f>
        <v>0</v>
      </c>
      <c r="AB40" s="14">
        <f t="shared" si="35"/>
        <v>0</v>
      </c>
      <c r="AC40" s="26">
        <f>VLOOKUP(Z40,'TB - Expense Data'!$H$3:$N$758,7,FALSE)</f>
        <v>0</v>
      </c>
      <c r="AD40" s="92">
        <f t="shared" si="36"/>
        <v>0</v>
      </c>
      <c r="AE40" s="48" t="str">
        <f t="shared" si="37"/>
        <v xml:space="preserve">-    </v>
      </c>
      <c r="AF40" s="131" t="s">
        <v>979</v>
      </c>
      <c r="AG40" s="156">
        <f>VLOOKUP(AF40,'TB - Expense Data'!$H$3:$N$758,3,FALSE)</f>
        <v>0</v>
      </c>
      <c r="AH40" s="14">
        <f t="shared" si="38"/>
        <v>0</v>
      </c>
      <c r="AI40" s="26">
        <f>VLOOKUP(AF40,'TB - Expense Data'!$H$3:$N$758,7,FALSE)</f>
        <v>0</v>
      </c>
      <c r="AJ40" s="92">
        <f t="shared" si="39"/>
        <v>0</v>
      </c>
      <c r="AK40" s="48" t="str">
        <f t="shared" si="40"/>
        <v xml:space="preserve">-    </v>
      </c>
      <c r="AL40" s="156">
        <f t="shared" si="41"/>
        <v>6400</v>
      </c>
      <c r="AM40" s="14">
        <f t="shared" si="42"/>
        <v>3200</v>
      </c>
      <c r="AN40" s="26">
        <f t="shared" si="43"/>
        <v>3163.38</v>
      </c>
      <c r="AO40" s="239">
        <f t="shared" si="44"/>
        <v>-36.619999999999891</v>
      </c>
      <c r="AP40" s="58">
        <f t="shared" si="45"/>
        <v>-1.1443749999999966E-2</v>
      </c>
    </row>
    <row r="41" spans="1:42" ht="15.75" x14ac:dyDescent="0.25">
      <c r="A41" s="13" t="s">
        <v>162</v>
      </c>
      <c r="B41" s="131" t="s">
        <v>616</v>
      </c>
      <c r="C41" s="14">
        <f>VLOOKUP(B41,'TB - Expense Data'!$H$3:$N$758,3,FALSE)</f>
        <v>725</v>
      </c>
      <c r="D41" s="14">
        <f t="shared" si="23"/>
        <v>362.5</v>
      </c>
      <c r="E41" s="26">
        <f>VLOOKUP(B41,'TB - Expense Data'!$H$3:$N$758,7,FALSE)</f>
        <v>297.26</v>
      </c>
      <c r="F41" s="92">
        <f t="shared" si="24"/>
        <v>-65.240000000000009</v>
      </c>
      <c r="G41" s="48">
        <f t="shared" si="25"/>
        <v>-0.17997241379310347</v>
      </c>
      <c r="H41" s="131" t="s">
        <v>674</v>
      </c>
      <c r="I41" s="156">
        <f>VLOOKUP(H41,'TB - Expense Data'!$H$3:$N$758,3,FALSE)</f>
        <v>200</v>
      </c>
      <c r="J41" s="14">
        <f t="shared" si="26"/>
        <v>100</v>
      </c>
      <c r="K41" s="26">
        <f>VLOOKUP(H41,'TB - Expense Data'!$H$3:$N$758,7,FALSE)</f>
        <v>82</v>
      </c>
      <c r="L41" s="92">
        <f t="shared" si="27"/>
        <v>-18</v>
      </c>
      <c r="M41" s="48">
        <f t="shared" si="28"/>
        <v>-0.18</v>
      </c>
      <c r="N41" s="131" t="s">
        <v>729</v>
      </c>
      <c r="O41" s="156">
        <f>VLOOKUP(N41,'TB - Expense Data'!$H$3:$N$758,3,FALSE)</f>
        <v>1300</v>
      </c>
      <c r="P41" s="14">
        <f t="shared" si="29"/>
        <v>650</v>
      </c>
      <c r="Q41" s="26">
        <f>VLOOKUP(N41,'TB - Expense Data'!$H$3:$N$758,7,FALSE)</f>
        <v>533.02</v>
      </c>
      <c r="R41" s="92">
        <f t="shared" si="30"/>
        <v>-116.98000000000002</v>
      </c>
      <c r="S41" s="48">
        <f t="shared" si="31"/>
        <v>-0.1799692307692308</v>
      </c>
      <c r="T41" s="131" t="s">
        <v>788</v>
      </c>
      <c r="U41" s="14">
        <f>VLOOKUP(T41,'TB - Expense Data'!$H$3:$N$758,3,FALSE)</f>
        <v>275</v>
      </c>
      <c r="V41" s="14">
        <f t="shared" si="32"/>
        <v>137.5</v>
      </c>
      <c r="W41" s="26">
        <f>VLOOKUP(T41,'TB - Expense Data'!$H$3:$N$758,7,FALSE)</f>
        <v>112.76</v>
      </c>
      <c r="X41" s="92">
        <f t="shared" si="33"/>
        <v>-24.739999999999995</v>
      </c>
      <c r="Y41" s="48">
        <f t="shared" si="34"/>
        <v>-0.17992727272727269</v>
      </c>
      <c r="Z41" s="131" t="s">
        <v>979</v>
      </c>
      <c r="AA41" s="156">
        <f>VLOOKUP(Z41,'TB - Expense Data'!$H$3:$N$758,3,FALSE)</f>
        <v>0</v>
      </c>
      <c r="AB41" s="14">
        <f t="shared" si="35"/>
        <v>0</v>
      </c>
      <c r="AC41" s="26">
        <f>VLOOKUP(Z41,'TB - Expense Data'!$H$3:$N$758,7,FALSE)</f>
        <v>0</v>
      </c>
      <c r="AD41" s="92">
        <f t="shared" si="36"/>
        <v>0</v>
      </c>
      <c r="AE41" s="48" t="str">
        <f t="shared" si="37"/>
        <v xml:space="preserve">-    </v>
      </c>
      <c r="AF41" s="131" t="s">
        <v>979</v>
      </c>
      <c r="AG41" s="156">
        <f>VLOOKUP(AF41,'TB - Expense Data'!$H$3:$N$758,3,FALSE)</f>
        <v>0</v>
      </c>
      <c r="AH41" s="14">
        <f t="shared" si="38"/>
        <v>0</v>
      </c>
      <c r="AI41" s="26">
        <f>VLOOKUP(AF41,'TB - Expense Data'!$H$3:$N$758,7,FALSE)</f>
        <v>0</v>
      </c>
      <c r="AJ41" s="92">
        <f t="shared" si="39"/>
        <v>0</v>
      </c>
      <c r="AK41" s="48" t="str">
        <f t="shared" si="40"/>
        <v xml:space="preserve">-    </v>
      </c>
      <c r="AL41" s="156">
        <f t="shared" si="41"/>
        <v>2500</v>
      </c>
      <c r="AM41" s="14">
        <f t="shared" si="42"/>
        <v>1250</v>
      </c>
      <c r="AN41" s="26">
        <f t="shared" si="43"/>
        <v>1025.04</v>
      </c>
      <c r="AO41" s="239">
        <f t="shared" si="44"/>
        <v>-224.96000000000004</v>
      </c>
      <c r="AP41" s="58">
        <f t="shared" si="45"/>
        <v>-0.17996800000000002</v>
      </c>
    </row>
    <row r="42" spans="1:42" ht="15.75" x14ac:dyDescent="0.25">
      <c r="A42" s="13" t="s">
        <v>83</v>
      </c>
      <c r="B42" s="131" t="s">
        <v>654</v>
      </c>
      <c r="C42" s="14">
        <f>VLOOKUP(B42,'TB - Expense Data'!$H$3:$N$758,3,FALSE)</f>
        <v>13050</v>
      </c>
      <c r="D42" s="14">
        <f t="shared" si="23"/>
        <v>6525</v>
      </c>
      <c r="E42" s="26">
        <f>VLOOKUP(B42,'TB - Expense Data'!$H$3:$N$758,7,FALSE)</f>
        <v>5953.59</v>
      </c>
      <c r="F42" s="92">
        <f t="shared" si="24"/>
        <v>-571.40999999999985</v>
      </c>
      <c r="G42" s="48">
        <f t="shared" si="25"/>
        <v>-8.7572413793103432E-2</v>
      </c>
      <c r="H42" s="131" t="s">
        <v>711</v>
      </c>
      <c r="I42" s="156">
        <f>VLOOKUP(H42,'TB - Expense Data'!$H$3:$N$758,3,FALSE)</f>
        <v>3600</v>
      </c>
      <c r="J42" s="14">
        <f t="shared" si="26"/>
        <v>1800</v>
      </c>
      <c r="K42" s="26">
        <f>VLOOKUP(H42,'TB - Expense Data'!$H$3:$N$758,7,FALSE)</f>
        <v>1569.64</v>
      </c>
      <c r="L42" s="92">
        <f t="shared" si="27"/>
        <v>-230.3599999999999</v>
      </c>
      <c r="M42" s="48">
        <f t="shared" si="28"/>
        <v>-0.12797777777777772</v>
      </c>
      <c r="N42" s="131" t="s">
        <v>770</v>
      </c>
      <c r="O42" s="156">
        <f>VLOOKUP(N42,'TB - Expense Data'!$H$3:$N$758,3,FALSE)</f>
        <v>23400</v>
      </c>
      <c r="P42" s="14">
        <f t="shared" si="29"/>
        <v>11700</v>
      </c>
      <c r="Q42" s="26">
        <f>VLOOKUP(N42,'TB - Expense Data'!$H$3:$N$758,7,FALSE)</f>
        <v>10324.040000000001</v>
      </c>
      <c r="R42" s="92">
        <f t="shared" si="30"/>
        <v>-1375.9599999999991</v>
      </c>
      <c r="S42" s="48">
        <f t="shared" si="31"/>
        <v>-0.11760341880341874</v>
      </c>
      <c r="T42" s="131" t="s">
        <v>827</v>
      </c>
      <c r="U42" s="14">
        <f>VLOOKUP(T42,'TB - Expense Data'!$H$3:$N$758,3,FALSE)</f>
        <v>4950</v>
      </c>
      <c r="V42" s="14">
        <f t="shared" si="32"/>
        <v>2475</v>
      </c>
      <c r="W42" s="26">
        <f>VLOOKUP(T42,'TB - Expense Data'!$H$3:$N$758,7,FALSE)</f>
        <v>2158.25</v>
      </c>
      <c r="X42" s="92">
        <f t="shared" si="33"/>
        <v>-316.75</v>
      </c>
      <c r="Y42" s="48">
        <f t="shared" si="34"/>
        <v>-0.12797979797979797</v>
      </c>
      <c r="Z42" s="131" t="s">
        <v>979</v>
      </c>
      <c r="AA42" s="156">
        <f>VLOOKUP(Z42,'TB - Expense Data'!$H$3:$N$758,3,FALSE)</f>
        <v>0</v>
      </c>
      <c r="AB42" s="14">
        <f t="shared" si="35"/>
        <v>0</v>
      </c>
      <c r="AC42" s="26">
        <f>VLOOKUP(Z42,'TB - Expense Data'!$H$3:$N$758,7,FALSE)</f>
        <v>0</v>
      </c>
      <c r="AD42" s="92">
        <f t="shared" si="36"/>
        <v>0</v>
      </c>
      <c r="AE42" s="48" t="str">
        <f t="shared" si="37"/>
        <v xml:space="preserve">-    </v>
      </c>
      <c r="AF42" s="131" t="s">
        <v>979</v>
      </c>
      <c r="AG42" s="156">
        <f>VLOOKUP(AF42,'TB - Expense Data'!$H$3:$N$758,3,FALSE)</f>
        <v>0</v>
      </c>
      <c r="AH42" s="14">
        <f t="shared" si="38"/>
        <v>0</v>
      </c>
      <c r="AI42" s="26">
        <f>VLOOKUP(AF42,'TB - Expense Data'!$H$3:$N$758,7,FALSE)</f>
        <v>0</v>
      </c>
      <c r="AJ42" s="92">
        <f t="shared" si="39"/>
        <v>0</v>
      </c>
      <c r="AK42" s="48" t="str">
        <f t="shared" si="40"/>
        <v xml:space="preserve">-    </v>
      </c>
      <c r="AL42" s="156">
        <f t="shared" si="41"/>
        <v>45000</v>
      </c>
      <c r="AM42" s="14">
        <f t="shared" si="42"/>
        <v>22500</v>
      </c>
      <c r="AN42" s="26">
        <f t="shared" si="43"/>
        <v>20005.52</v>
      </c>
      <c r="AO42" s="239">
        <f t="shared" si="44"/>
        <v>-2494.4799999999996</v>
      </c>
      <c r="AP42" s="58">
        <f t="shared" si="45"/>
        <v>-0.11086577777777776</v>
      </c>
    </row>
    <row r="43" spans="1:42" ht="15.75" x14ac:dyDescent="0.25">
      <c r="A43" s="13" t="s">
        <v>163</v>
      </c>
      <c r="B43" s="131" t="s">
        <v>658</v>
      </c>
      <c r="C43" s="14">
        <f>VLOOKUP(B43,'TB - Expense Data'!$H$3:$N$758,3,FALSE)</f>
        <v>7540</v>
      </c>
      <c r="D43" s="14">
        <f t="shared" si="23"/>
        <v>3770</v>
      </c>
      <c r="E43" s="26">
        <f>VLOOKUP(B43,'TB - Expense Data'!$H$3:$N$758,7,FALSE)</f>
        <v>3909.83</v>
      </c>
      <c r="F43" s="92">
        <f t="shared" si="24"/>
        <v>139.82999999999993</v>
      </c>
      <c r="G43" s="48">
        <f t="shared" si="25"/>
        <v>3.7090185676392551E-2</v>
      </c>
      <c r="H43" s="131" t="s">
        <v>715</v>
      </c>
      <c r="I43" s="156">
        <f>VLOOKUP(H43,'TB - Expense Data'!$H$3:$N$758,3,FALSE)</f>
        <v>2080</v>
      </c>
      <c r="J43" s="14">
        <f t="shared" si="26"/>
        <v>1040</v>
      </c>
      <c r="K43" s="26">
        <f>VLOOKUP(H43,'TB - Expense Data'!$H$3:$N$758,7,FALSE)</f>
        <v>1078.6400000000001</v>
      </c>
      <c r="L43" s="92">
        <f t="shared" si="27"/>
        <v>38.6400000000001</v>
      </c>
      <c r="M43" s="48">
        <f t="shared" si="28"/>
        <v>3.7153846153846252E-2</v>
      </c>
      <c r="N43" s="131" t="s">
        <v>774</v>
      </c>
      <c r="O43" s="156">
        <f>VLOOKUP(N43,'TB - Expense Data'!$H$3:$N$758,3,FALSE)</f>
        <v>13520</v>
      </c>
      <c r="P43" s="14">
        <f t="shared" si="29"/>
        <v>6760</v>
      </c>
      <c r="Q43" s="26">
        <f>VLOOKUP(N43,'TB - Expense Data'!$H$3:$N$758,7,FALSE)</f>
        <v>7010.68</v>
      </c>
      <c r="R43" s="92">
        <f t="shared" si="30"/>
        <v>250.68000000000029</v>
      </c>
      <c r="S43" s="48">
        <f t="shared" si="31"/>
        <v>3.7082840236686433E-2</v>
      </c>
      <c r="T43" s="131" t="s">
        <v>831</v>
      </c>
      <c r="U43" s="14">
        <f>VLOOKUP(T43,'TB - Expense Data'!$H$3:$N$758,3,FALSE)</f>
        <v>2860</v>
      </c>
      <c r="V43" s="14">
        <f t="shared" si="32"/>
        <v>1430</v>
      </c>
      <c r="W43" s="26">
        <f>VLOOKUP(T43,'TB - Expense Data'!$H$3:$N$758,7,FALSE)</f>
        <v>1482.95</v>
      </c>
      <c r="X43" s="92">
        <f t="shared" si="33"/>
        <v>52.950000000000045</v>
      </c>
      <c r="Y43" s="48">
        <f t="shared" si="34"/>
        <v>3.7027972027972061E-2</v>
      </c>
      <c r="Z43" s="131" t="s">
        <v>979</v>
      </c>
      <c r="AA43" s="156">
        <f>VLOOKUP(Z43,'TB - Expense Data'!$H$3:$N$758,3,FALSE)</f>
        <v>0</v>
      </c>
      <c r="AB43" s="14">
        <f t="shared" si="35"/>
        <v>0</v>
      </c>
      <c r="AC43" s="26">
        <f>VLOOKUP(Z43,'TB - Expense Data'!$H$3:$N$758,7,FALSE)</f>
        <v>0</v>
      </c>
      <c r="AD43" s="92">
        <f t="shared" si="36"/>
        <v>0</v>
      </c>
      <c r="AE43" s="48" t="str">
        <f t="shared" si="37"/>
        <v xml:space="preserve">-    </v>
      </c>
      <c r="AF43" s="131" t="s">
        <v>979</v>
      </c>
      <c r="AG43" s="156">
        <f>VLOOKUP(AF43,'TB - Expense Data'!$H$3:$N$758,3,FALSE)</f>
        <v>0</v>
      </c>
      <c r="AH43" s="14">
        <f t="shared" si="38"/>
        <v>0</v>
      </c>
      <c r="AI43" s="26">
        <f>VLOOKUP(AF43,'TB - Expense Data'!$H$3:$N$758,7,FALSE)</f>
        <v>0</v>
      </c>
      <c r="AJ43" s="92">
        <f t="shared" si="39"/>
        <v>0</v>
      </c>
      <c r="AK43" s="48" t="str">
        <f t="shared" si="40"/>
        <v xml:space="preserve">-    </v>
      </c>
      <c r="AL43" s="156">
        <f t="shared" si="41"/>
        <v>26000</v>
      </c>
      <c r="AM43" s="14">
        <f t="shared" si="42"/>
        <v>13000</v>
      </c>
      <c r="AN43" s="26">
        <f t="shared" si="43"/>
        <v>13482.100000000002</v>
      </c>
      <c r="AO43" s="239">
        <f t="shared" si="44"/>
        <v>482.10000000000218</v>
      </c>
      <c r="AP43" s="58">
        <f t="shared" si="45"/>
        <v>3.7084615384615549E-2</v>
      </c>
    </row>
    <row r="44" spans="1:42" ht="15.75" x14ac:dyDescent="0.25">
      <c r="A44" s="13" t="s">
        <v>70</v>
      </c>
      <c r="B44" s="131" t="s">
        <v>655</v>
      </c>
      <c r="C44" s="14">
        <f>VLOOKUP(B44,'TB - Expense Data'!$H$3:$N$758,3,FALSE)</f>
        <v>16820</v>
      </c>
      <c r="D44" s="14">
        <f t="shared" si="23"/>
        <v>8410</v>
      </c>
      <c r="E44" s="26">
        <f>VLOOKUP(B44,'TB - Expense Data'!$H$3:$N$758,7,FALSE)</f>
        <v>7027.79</v>
      </c>
      <c r="F44" s="92">
        <f t="shared" si="24"/>
        <v>-1382.21</v>
      </c>
      <c r="G44" s="48">
        <f t="shared" si="25"/>
        <v>-0.16435315101070155</v>
      </c>
      <c r="H44" s="131" t="s">
        <v>712</v>
      </c>
      <c r="I44" s="156">
        <f>VLOOKUP(H44,'TB - Expense Data'!$H$3:$N$758,3,FALSE)</f>
        <v>4640</v>
      </c>
      <c r="J44" s="14">
        <f t="shared" si="26"/>
        <v>2320</v>
      </c>
      <c r="K44" s="26">
        <f>VLOOKUP(H44,'TB - Expense Data'!$H$3:$N$758,7,FALSE)</f>
        <v>7143.33</v>
      </c>
      <c r="L44" s="92">
        <f t="shared" si="27"/>
        <v>4823.33</v>
      </c>
      <c r="M44" s="48">
        <f t="shared" si="28"/>
        <v>2.0790215517241379</v>
      </c>
      <c r="N44" s="131" t="s">
        <v>771</v>
      </c>
      <c r="O44" s="156">
        <f>VLOOKUP(N44,'TB - Expense Data'!$H$3:$N$758,3,FALSE)</f>
        <v>30160</v>
      </c>
      <c r="P44" s="14">
        <f t="shared" si="29"/>
        <v>15080</v>
      </c>
      <c r="Q44" s="26">
        <f>VLOOKUP(N44,'TB - Expense Data'!$H$3:$N$758,7,FALSE)</f>
        <v>5511.35</v>
      </c>
      <c r="R44" s="92">
        <f t="shared" si="30"/>
        <v>-9568.65</v>
      </c>
      <c r="S44" s="48">
        <f t="shared" si="31"/>
        <v>-0.63452586206896544</v>
      </c>
      <c r="T44" s="131" t="s">
        <v>828</v>
      </c>
      <c r="U44" s="14">
        <f>VLOOKUP(T44,'TB - Expense Data'!$H$3:$N$758,3,FALSE)</f>
        <v>6380</v>
      </c>
      <c r="V44" s="14">
        <f t="shared" si="32"/>
        <v>3190</v>
      </c>
      <c r="W44" s="26">
        <f>VLOOKUP(T44,'TB - Expense Data'!$H$3:$N$758,7,FALSE)</f>
        <v>4907.7299999999996</v>
      </c>
      <c r="X44" s="92">
        <f t="shared" si="33"/>
        <v>1717.7299999999996</v>
      </c>
      <c r="Y44" s="48">
        <f t="shared" si="34"/>
        <v>0.53847335423197473</v>
      </c>
      <c r="Z44" s="131" t="s">
        <v>979</v>
      </c>
      <c r="AA44" s="156">
        <f>VLOOKUP(Z44,'TB - Expense Data'!$H$3:$N$758,3,FALSE)</f>
        <v>0</v>
      </c>
      <c r="AB44" s="14">
        <f t="shared" si="35"/>
        <v>0</v>
      </c>
      <c r="AC44" s="26">
        <f>VLOOKUP(Z44,'TB - Expense Data'!$H$3:$N$758,7,FALSE)</f>
        <v>0</v>
      </c>
      <c r="AD44" s="92">
        <f t="shared" si="36"/>
        <v>0</v>
      </c>
      <c r="AE44" s="48" t="str">
        <f t="shared" si="37"/>
        <v xml:space="preserve">-    </v>
      </c>
      <c r="AF44" s="131" t="s">
        <v>979</v>
      </c>
      <c r="AG44" s="156">
        <f>VLOOKUP(AF44,'TB - Expense Data'!$H$3:$N$758,3,FALSE)</f>
        <v>0</v>
      </c>
      <c r="AH44" s="14">
        <f t="shared" si="38"/>
        <v>0</v>
      </c>
      <c r="AI44" s="26">
        <f>VLOOKUP(AF44,'TB - Expense Data'!$H$3:$N$758,7,FALSE)</f>
        <v>0</v>
      </c>
      <c r="AJ44" s="92">
        <f t="shared" si="39"/>
        <v>0</v>
      </c>
      <c r="AK44" s="48" t="str">
        <f t="shared" si="40"/>
        <v xml:space="preserve">-    </v>
      </c>
      <c r="AL44" s="156">
        <f t="shared" si="41"/>
        <v>58000</v>
      </c>
      <c r="AM44" s="14">
        <f t="shared" si="42"/>
        <v>29000</v>
      </c>
      <c r="AN44" s="26">
        <f t="shared" si="43"/>
        <v>24590.2</v>
      </c>
      <c r="AO44" s="239">
        <f t="shared" si="44"/>
        <v>-4409.7999999999993</v>
      </c>
      <c r="AP44" s="58">
        <f t="shared" si="45"/>
        <v>-0.15206206896551722</v>
      </c>
    </row>
    <row r="45" spans="1:42" ht="15.75" x14ac:dyDescent="0.25">
      <c r="A45" s="13" t="s">
        <v>47</v>
      </c>
      <c r="B45" s="131" t="s">
        <v>656</v>
      </c>
      <c r="C45" s="14">
        <f>VLOOKUP(B45,'TB - Expense Data'!$H$3:$N$758,3,FALSE)</f>
        <v>1450</v>
      </c>
      <c r="D45" s="14">
        <f t="shared" si="23"/>
        <v>725</v>
      </c>
      <c r="E45" s="26">
        <f>VLOOKUP(B45,'TB - Expense Data'!$H$3:$N$758,7,FALSE)</f>
        <v>1423.65</v>
      </c>
      <c r="F45" s="92">
        <f t="shared" si="24"/>
        <v>698.65000000000009</v>
      </c>
      <c r="G45" s="48">
        <f t="shared" si="25"/>
        <v>0.96365517241379328</v>
      </c>
      <c r="H45" s="131" t="s">
        <v>713</v>
      </c>
      <c r="I45" s="156">
        <f>VLOOKUP(H45,'TB - Expense Data'!$H$3:$N$758,3,FALSE)</f>
        <v>400</v>
      </c>
      <c r="J45" s="14">
        <f t="shared" si="26"/>
        <v>200</v>
      </c>
      <c r="K45" s="26">
        <f>VLOOKUP(H45,'TB - Expense Data'!$H$3:$N$758,7,FALSE)</f>
        <v>773.41</v>
      </c>
      <c r="L45" s="92">
        <f t="shared" si="27"/>
        <v>573.41</v>
      </c>
      <c r="M45" s="48">
        <f t="shared" si="28"/>
        <v>2.8670499999999999</v>
      </c>
      <c r="N45" s="131" t="s">
        <v>772</v>
      </c>
      <c r="O45" s="156">
        <f>VLOOKUP(N45,'TB - Expense Data'!$H$3:$N$758,3,FALSE)</f>
        <v>2600</v>
      </c>
      <c r="P45" s="14">
        <f t="shared" si="29"/>
        <v>1300</v>
      </c>
      <c r="Q45" s="26">
        <f>VLOOKUP(N45,'TB - Expense Data'!$H$3:$N$758,7,FALSE)</f>
        <v>1875.46</v>
      </c>
      <c r="R45" s="92">
        <f t="shared" si="30"/>
        <v>575.46</v>
      </c>
      <c r="S45" s="48">
        <f t="shared" si="31"/>
        <v>0.4426615384615385</v>
      </c>
      <c r="T45" s="131" t="s">
        <v>829</v>
      </c>
      <c r="U45" s="14">
        <f>VLOOKUP(T45,'TB - Expense Data'!$H$3:$N$758,3,FALSE)</f>
        <v>550</v>
      </c>
      <c r="V45" s="14">
        <f t="shared" si="32"/>
        <v>275</v>
      </c>
      <c r="W45" s="26">
        <f>VLOOKUP(T45,'TB - Expense Data'!$H$3:$N$758,7,FALSE)</f>
        <v>606</v>
      </c>
      <c r="X45" s="92">
        <f t="shared" si="33"/>
        <v>331</v>
      </c>
      <c r="Y45" s="48">
        <f t="shared" si="34"/>
        <v>1.2036363636363636</v>
      </c>
      <c r="Z45" s="131" t="s">
        <v>979</v>
      </c>
      <c r="AA45" s="156">
        <f>VLOOKUP(Z45,'TB - Expense Data'!$H$3:$N$758,3,FALSE)</f>
        <v>0</v>
      </c>
      <c r="AB45" s="14">
        <f t="shared" si="35"/>
        <v>0</v>
      </c>
      <c r="AC45" s="26">
        <f>VLOOKUP(Z45,'TB - Expense Data'!$H$3:$N$758,7,FALSE)</f>
        <v>0</v>
      </c>
      <c r="AD45" s="92">
        <f t="shared" si="36"/>
        <v>0</v>
      </c>
      <c r="AE45" s="48" t="str">
        <f t="shared" si="37"/>
        <v xml:space="preserve">-    </v>
      </c>
      <c r="AF45" s="131" t="s">
        <v>979</v>
      </c>
      <c r="AG45" s="156">
        <f>VLOOKUP(AF45,'TB - Expense Data'!$H$3:$N$758,3,FALSE)</f>
        <v>0</v>
      </c>
      <c r="AH45" s="14">
        <f t="shared" si="38"/>
        <v>0</v>
      </c>
      <c r="AI45" s="26">
        <f>VLOOKUP(AF45,'TB - Expense Data'!$H$3:$N$758,7,FALSE)</f>
        <v>0</v>
      </c>
      <c r="AJ45" s="92">
        <f t="shared" si="39"/>
        <v>0</v>
      </c>
      <c r="AK45" s="48" t="str">
        <f t="shared" si="40"/>
        <v xml:space="preserve">-    </v>
      </c>
      <c r="AL45" s="156">
        <f t="shared" si="41"/>
        <v>5000</v>
      </c>
      <c r="AM45" s="14">
        <f t="shared" si="42"/>
        <v>2500</v>
      </c>
      <c r="AN45" s="26">
        <f t="shared" si="43"/>
        <v>4678.5200000000004</v>
      </c>
      <c r="AO45" s="239">
        <f t="shared" si="44"/>
        <v>2178.5200000000004</v>
      </c>
      <c r="AP45" s="58">
        <f t="shared" si="45"/>
        <v>0.87140800000000018</v>
      </c>
    </row>
    <row r="46" spans="1:42" ht="15.75" x14ac:dyDescent="0.25">
      <c r="A46" s="13" t="s">
        <v>48</v>
      </c>
      <c r="B46" s="131" t="s">
        <v>650</v>
      </c>
      <c r="C46" s="14">
        <f>VLOOKUP(B46,'TB - Expense Data'!$H$3:$N$758,3,FALSE)</f>
        <v>2175</v>
      </c>
      <c r="D46" s="14">
        <f t="shared" si="23"/>
        <v>1087.5</v>
      </c>
      <c r="E46" s="26">
        <f>VLOOKUP(B46,'TB - Expense Data'!$H$3:$N$758,7,FALSE)</f>
        <v>259.43</v>
      </c>
      <c r="F46" s="92">
        <f t="shared" si="24"/>
        <v>-828.06999999999994</v>
      </c>
      <c r="G46" s="48">
        <f t="shared" si="25"/>
        <v>-0.76144367816091951</v>
      </c>
      <c r="H46" s="131" t="s">
        <v>707</v>
      </c>
      <c r="I46" s="156">
        <f>VLOOKUP(H46,'TB - Expense Data'!$H$3:$N$758,3,FALSE)</f>
        <v>600</v>
      </c>
      <c r="J46" s="14">
        <f t="shared" si="26"/>
        <v>300</v>
      </c>
      <c r="K46" s="26">
        <f>VLOOKUP(H46,'TB - Expense Data'!$H$3:$N$758,7,FALSE)</f>
        <v>145.01</v>
      </c>
      <c r="L46" s="92">
        <f t="shared" si="27"/>
        <v>-154.99</v>
      </c>
      <c r="M46" s="48">
        <f t="shared" si="28"/>
        <v>-0.51663333333333339</v>
      </c>
      <c r="N46" s="131" t="s">
        <v>766</v>
      </c>
      <c r="O46" s="156">
        <f>VLOOKUP(N46,'TB - Expense Data'!$H$3:$N$758,3,FALSE)</f>
        <v>3900</v>
      </c>
      <c r="P46" s="14">
        <f t="shared" si="29"/>
        <v>1950</v>
      </c>
      <c r="Q46" s="26">
        <f>VLOOKUP(N46,'TB - Expense Data'!$H$3:$N$758,7,FALSE)</f>
        <v>953.65</v>
      </c>
      <c r="R46" s="92">
        <f t="shared" si="30"/>
        <v>-996.35</v>
      </c>
      <c r="S46" s="48">
        <f t="shared" si="31"/>
        <v>-0.51094871794871799</v>
      </c>
      <c r="T46" s="131" t="s">
        <v>823</v>
      </c>
      <c r="U46" s="14">
        <f>VLOOKUP(T46,'TB - Expense Data'!$H$3:$N$758,3,FALSE)</f>
        <v>825</v>
      </c>
      <c r="V46" s="14">
        <f t="shared" si="32"/>
        <v>412.5</v>
      </c>
      <c r="W46" s="26">
        <f>VLOOKUP(T46,'TB - Expense Data'!$H$3:$N$758,7,FALSE)</f>
        <v>128.35</v>
      </c>
      <c r="X46" s="92">
        <f t="shared" si="33"/>
        <v>-284.14999999999998</v>
      </c>
      <c r="Y46" s="48">
        <f t="shared" si="34"/>
        <v>-0.68884848484848482</v>
      </c>
      <c r="Z46" s="131" t="s">
        <v>979</v>
      </c>
      <c r="AA46" s="156">
        <f>VLOOKUP(Z46,'TB - Expense Data'!$H$3:$N$758,3,FALSE)</f>
        <v>0</v>
      </c>
      <c r="AB46" s="14">
        <f t="shared" si="35"/>
        <v>0</v>
      </c>
      <c r="AC46" s="26">
        <f>VLOOKUP(Z46,'TB - Expense Data'!$H$3:$N$758,7,FALSE)</f>
        <v>0</v>
      </c>
      <c r="AD46" s="92">
        <f t="shared" si="36"/>
        <v>0</v>
      </c>
      <c r="AE46" s="48" t="str">
        <f t="shared" si="37"/>
        <v xml:space="preserve">-    </v>
      </c>
      <c r="AF46" s="131" t="s">
        <v>979</v>
      </c>
      <c r="AG46" s="156">
        <f>VLOOKUP(AF46,'TB - Expense Data'!$H$3:$N$758,3,FALSE)</f>
        <v>0</v>
      </c>
      <c r="AH46" s="14">
        <f t="shared" si="38"/>
        <v>0</v>
      </c>
      <c r="AI46" s="26">
        <f>VLOOKUP(AF46,'TB - Expense Data'!$H$3:$N$758,7,FALSE)</f>
        <v>0</v>
      </c>
      <c r="AJ46" s="92">
        <f t="shared" si="39"/>
        <v>0</v>
      </c>
      <c r="AK46" s="48" t="str">
        <f t="shared" si="40"/>
        <v xml:space="preserve">-    </v>
      </c>
      <c r="AL46" s="156">
        <f t="shared" ref="AL46:AL65" si="46">C46+I46+O46+U46+AA46+AG46</f>
        <v>7500</v>
      </c>
      <c r="AM46" s="14">
        <f t="shared" ref="AM46:AM65" si="47">D46+J46+P46+V46+AB46+AH46</f>
        <v>3750</v>
      </c>
      <c r="AN46" s="26">
        <f t="shared" ref="AN46:AN65" si="48">E46+K46+Q46+W46+AC46+AI46</f>
        <v>1486.4399999999998</v>
      </c>
      <c r="AO46" s="239">
        <f t="shared" ref="AO46:AO65" si="49">AN46-AM46</f>
        <v>-2263.5600000000004</v>
      </c>
      <c r="AP46" s="58">
        <f t="shared" ref="AP46:AP65" si="50">IF(AND(AM46&lt;&gt;0,AO46&lt;&gt;0,ISNUMBER(AM46),ISNUMBER(AO46)),AO46/AM46,"-    ")</f>
        <v>-0.60361600000000015</v>
      </c>
    </row>
    <row r="47" spans="1:42" ht="15.75" x14ac:dyDescent="0.25">
      <c r="A47" s="13" t="s">
        <v>49</v>
      </c>
      <c r="B47" s="131" t="s">
        <v>636</v>
      </c>
      <c r="C47" s="14">
        <f>VLOOKUP(B47,'TB - Expense Data'!$H$3:$N$758,3,FALSE)</f>
        <v>5800</v>
      </c>
      <c r="D47" s="14">
        <f t="shared" si="23"/>
        <v>2900</v>
      </c>
      <c r="E47" s="26">
        <f>VLOOKUP(B47,'TB - Expense Data'!$H$3:$N$758,7,FALSE)</f>
        <v>1424.84</v>
      </c>
      <c r="F47" s="92">
        <f t="shared" si="24"/>
        <v>-1475.16</v>
      </c>
      <c r="G47" s="48">
        <f t="shared" si="25"/>
        <v>-0.50867586206896553</v>
      </c>
      <c r="H47" s="131" t="s">
        <v>693</v>
      </c>
      <c r="I47" s="156">
        <f>VLOOKUP(H47,'TB - Expense Data'!$H$3:$N$758,3,FALSE)</f>
        <v>1600</v>
      </c>
      <c r="J47" s="14">
        <f t="shared" si="26"/>
        <v>800</v>
      </c>
      <c r="K47" s="26">
        <f>VLOOKUP(H47,'TB - Expense Data'!$H$3:$N$758,7,FALSE)</f>
        <v>393.11</v>
      </c>
      <c r="L47" s="92">
        <f t="shared" si="27"/>
        <v>-406.89</v>
      </c>
      <c r="M47" s="48">
        <f t="shared" si="28"/>
        <v>-0.50861250000000002</v>
      </c>
      <c r="N47" s="131" t="s">
        <v>750</v>
      </c>
      <c r="O47" s="156">
        <f>VLOOKUP(N47,'TB - Expense Data'!$H$3:$N$758,3,FALSE)</f>
        <v>10400</v>
      </c>
      <c r="P47" s="14">
        <f t="shared" si="29"/>
        <v>5200</v>
      </c>
      <c r="Q47" s="26">
        <f>VLOOKUP(N47,'TB - Expense Data'!$H$3:$N$758,7,FALSE)</f>
        <v>2555.1799999999998</v>
      </c>
      <c r="R47" s="92">
        <f t="shared" si="30"/>
        <v>-2644.82</v>
      </c>
      <c r="S47" s="48">
        <f t="shared" si="31"/>
        <v>-0.50861923076923077</v>
      </c>
      <c r="T47" s="131" t="s">
        <v>808</v>
      </c>
      <c r="U47" s="14">
        <f>VLOOKUP(T47,'TB - Expense Data'!$H$3:$N$758,3,FALSE)</f>
        <v>2200</v>
      </c>
      <c r="V47" s="14">
        <f t="shared" si="32"/>
        <v>1100</v>
      </c>
      <c r="W47" s="26">
        <f>VLOOKUP(T47,'TB - Expense Data'!$H$3:$N$758,7,FALSE)</f>
        <v>540.30999999999995</v>
      </c>
      <c r="X47" s="92">
        <f t="shared" si="33"/>
        <v>-559.69000000000005</v>
      </c>
      <c r="Y47" s="48">
        <f t="shared" si="34"/>
        <v>-0.50880909090909099</v>
      </c>
      <c r="Z47" s="131" t="s">
        <v>979</v>
      </c>
      <c r="AA47" s="156">
        <f>VLOOKUP(Z47,'TB - Expense Data'!$H$3:$N$758,3,FALSE)</f>
        <v>0</v>
      </c>
      <c r="AB47" s="14">
        <f t="shared" si="35"/>
        <v>0</v>
      </c>
      <c r="AC47" s="26">
        <f>VLOOKUP(Z47,'TB - Expense Data'!$H$3:$N$758,7,FALSE)</f>
        <v>0</v>
      </c>
      <c r="AD47" s="92">
        <f t="shared" si="36"/>
        <v>0</v>
      </c>
      <c r="AE47" s="48" t="str">
        <f t="shared" si="37"/>
        <v xml:space="preserve">-    </v>
      </c>
      <c r="AF47" s="131" t="s">
        <v>979</v>
      </c>
      <c r="AG47" s="156">
        <f>VLOOKUP(AF47,'TB - Expense Data'!$H$3:$N$758,3,FALSE)</f>
        <v>0</v>
      </c>
      <c r="AH47" s="14">
        <f t="shared" si="38"/>
        <v>0</v>
      </c>
      <c r="AI47" s="26">
        <f>VLOOKUP(AF47,'TB - Expense Data'!$H$3:$N$758,7,FALSE)</f>
        <v>0</v>
      </c>
      <c r="AJ47" s="92">
        <f t="shared" si="39"/>
        <v>0</v>
      </c>
      <c r="AK47" s="48" t="str">
        <f t="shared" si="40"/>
        <v xml:space="preserve">-    </v>
      </c>
      <c r="AL47" s="156">
        <f t="shared" si="46"/>
        <v>20000</v>
      </c>
      <c r="AM47" s="14">
        <f t="shared" si="47"/>
        <v>10000</v>
      </c>
      <c r="AN47" s="26">
        <f t="shared" si="48"/>
        <v>4913.4399999999987</v>
      </c>
      <c r="AO47" s="239">
        <f t="shared" si="49"/>
        <v>-5086.5600000000013</v>
      </c>
      <c r="AP47" s="58">
        <f t="shared" si="50"/>
        <v>-0.50865600000000011</v>
      </c>
    </row>
    <row r="48" spans="1:42" ht="15.75" x14ac:dyDescent="0.25">
      <c r="A48" s="13" t="s">
        <v>50</v>
      </c>
      <c r="B48" s="131" t="s">
        <v>627</v>
      </c>
      <c r="C48" s="14">
        <f>VLOOKUP(B48,'TB - Expense Data'!$H$3:$N$758,3,FALSE)</f>
        <v>8120</v>
      </c>
      <c r="D48" s="14">
        <f t="shared" si="23"/>
        <v>4060</v>
      </c>
      <c r="E48" s="26">
        <f>VLOOKUP(B48,'TB - Expense Data'!$H$3:$N$758,7,FALSE)</f>
        <v>2508.6999999999998</v>
      </c>
      <c r="F48" s="92">
        <f t="shared" si="24"/>
        <v>-1551.3000000000002</v>
      </c>
      <c r="G48" s="48">
        <f t="shared" si="25"/>
        <v>-0.38209359605911336</v>
      </c>
      <c r="H48" s="131" t="s">
        <v>684</v>
      </c>
      <c r="I48" s="156">
        <f>VLOOKUP(H48,'TB - Expense Data'!$H$3:$N$758,3,FALSE)</f>
        <v>2240</v>
      </c>
      <c r="J48" s="14">
        <f t="shared" si="26"/>
        <v>1120</v>
      </c>
      <c r="K48" s="26">
        <f>VLOOKUP(H48,'TB - Expense Data'!$H$3:$N$758,7,FALSE)</f>
        <v>692.05</v>
      </c>
      <c r="L48" s="92">
        <f t="shared" si="27"/>
        <v>-427.95000000000005</v>
      </c>
      <c r="M48" s="48">
        <f t="shared" si="28"/>
        <v>-0.38209821428571433</v>
      </c>
      <c r="N48" s="131" t="s">
        <v>739</v>
      </c>
      <c r="O48" s="156">
        <f>VLOOKUP(N48,'TB - Expense Data'!$H$3:$N$758,3,FALSE)</f>
        <v>14560</v>
      </c>
      <c r="P48" s="14">
        <f t="shared" si="29"/>
        <v>7280</v>
      </c>
      <c r="Q48" s="26">
        <f>VLOOKUP(N48,'TB - Expense Data'!$H$3:$N$758,7,FALSE)</f>
        <v>4498.38</v>
      </c>
      <c r="R48" s="92">
        <f t="shared" si="30"/>
        <v>-2781.62</v>
      </c>
      <c r="S48" s="48">
        <f t="shared" si="31"/>
        <v>-0.38209065934065933</v>
      </c>
      <c r="T48" s="131" t="s">
        <v>798</v>
      </c>
      <c r="U48" s="14">
        <f>VLOOKUP(T48,'TB - Expense Data'!$H$3:$N$758,3,FALSE)</f>
        <v>3080</v>
      </c>
      <c r="V48" s="14">
        <f t="shared" si="32"/>
        <v>1540</v>
      </c>
      <c r="W48" s="26">
        <f>VLOOKUP(T48,'TB - Expense Data'!$H$3:$N$758,7,FALSE)</f>
        <v>951.57</v>
      </c>
      <c r="X48" s="92">
        <f t="shared" si="33"/>
        <v>-588.42999999999995</v>
      </c>
      <c r="Y48" s="48">
        <f t="shared" si="34"/>
        <v>-0.38209740259740255</v>
      </c>
      <c r="Z48" s="131" t="s">
        <v>979</v>
      </c>
      <c r="AA48" s="156">
        <f>VLOOKUP(Z48,'TB - Expense Data'!$H$3:$N$758,3,FALSE)</f>
        <v>0</v>
      </c>
      <c r="AB48" s="14">
        <f t="shared" si="35"/>
        <v>0</v>
      </c>
      <c r="AC48" s="26">
        <f>VLOOKUP(Z48,'TB - Expense Data'!$H$3:$N$758,7,FALSE)</f>
        <v>0</v>
      </c>
      <c r="AD48" s="92">
        <f t="shared" si="36"/>
        <v>0</v>
      </c>
      <c r="AE48" s="48" t="str">
        <f t="shared" si="37"/>
        <v xml:space="preserve">-    </v>
      </c>
      <c r="AF48" s="131" t="s">
        <v>979</v>
      </c>
      <c r="AG48" s="156">
        <f>VLOOKUP(AF48,'TB - Expense Data'!$H$3:$N$758,3,FALSE)</f>
        <v>0</v>
      </c>
      <c r="AH48" s="14">
        <f t="shared" si="38"/>
        <v>0</v>
      </c>
      <c r="AI48" s="26">
        <f>VLOOKUP(AF48,'TB - Expense Data'!$H$3:$N$758,7,FALSE)</f>
        <v>0</v>
      </c>
      <c r="AJ48" s="92">
        <f t="shared" si="39"/>
        <v>0</v>
      </c>
      <c r="AK48" s="48" t="str">
        <f t="shared" si="40"/>
        <v xml:space="preserve">-    </v>
      </c>
      <c r="AL48" s="156">
        <f t="shared" si="46"/>
        <v>28000</v>
      </c>
      <c r="AM48" s="14">
        <f t="shared" si="47"/>
        <v>14000</v>
      </c>
      <c r="AN48" s="26">
        <f t="shared" si="48"/>
        <v>8650.7000000000007</v>
      </c>
      <c r="AO48" s="239">
        <f t="shared" si="49"/>
        <v>-5349.2999999999993</v>
      </c>
      <c r="AP48" s="58">
        <f t="shared" si="50"/>
        <v>-0.38209285714285707</v>
      </c>
    </row>
    <row r="49" spans="1:42" ht="15.75" x14ac:dyDescent="0.25">
      <c r="A49" s="13" t="s">
        <v>1061</v>
      </c>
      <c r="B49" s="131" t="s">
        <v>1060</v>
      </c>
      <c r="C49" s="14">
        <f>VLOOKUP(B49,'TB - Expense Data'!$H$3:$N$758,3,FALSE)</f>
        <v>8700</v>
      </c>
      <c r="D49" s="14">
        <f t="shared" si="23"/>
        <v>4350</v>
      </c>
      <c r="E49" s="26">
        <f>VLOOKUP(B49,'TB - Expense Data'!$H$3:$N$758,7,FALSE)</f>
        <v>4206.49</v>
      </c>
      <c r="F49" s="92">
        <f t="shared" si="24"/>
        <v>-143.51000000000022</v>
      </c>
      <c r="G49" s="48">
        <f t="shared" si="25"/>
        <v>-3.29908045977012E-2</v>
      </c>
      <c r="H49" s="131" t="s">
        <v>1065</v>
      </c>
      <c r="I49" s="156">
        <f>VLOOKUP(H49,'TB - Expense Data'!$H$3:$N$758,3,FALSE)</f>
        <v>2400</v>
      </c>
      <c r="J49" s="14">
        <f t="shared" si="26"/>
        <v>1200</v>
      </c>
      <c r="K49" s="26">
        <f>VLOOKUP(H49,'TB - Expense Data'!$H$3:$N$758,7,FALSE)</f>
        <v>1961.79</v>
      </c>
      <c r="L49" s="92">
        <f t="shared" si="27"/>
        <v>761.79</v>
      </c>
      <c r="M49" s="48">
        <f t="shared" si="28"/>
        <v>0.63482499999999997</v>
      </c>
      <c r="N49" s="131" t="s">
        <v>1068</v>
      </c>
      <c r="O49" s="156">
        <f>VLOOKUP(N49,'TB - Expense Data'!$H$3:$N$758,3,FALSE)</f>
        <v>15600</v>
      </c>
      <c r="P49" s="14">
        <f t="shared" si="29"/>
        <v>7800</v>
      </c>
      <c r="Q49" s="26">
        <f>VLOOKUP(N49,'TB - Expense Data'!$H$3:$N$758,7,FALSE)</f>
        <v>8809.9500000000007</v>
      </c>
      <c r="R49" s="92">
        <f t="shared" si="30"/>
        <v>1009.9500000000007</v>
      </c>
      <c r="S49" s="48">
        <f t="shared" si="31"/>
        <v>0.12948076923076932</v>
      </c>
      <c r="T49" s="131" t="s">
        <v>1071</v>
      </c>
      <c r="U49" s="14">
        <f>VLOOKUP(T49,'TB - Expense Data'!$H$3:$N$758,3,FALSE)</f>
        <v>3300</v>
      </c>
      <c r="V49" s="14">
        <f t="shared" si="32"/>
        <v>1650</v>
      </c>
      <c r="W49" s="26">
        <f>VLOOKUP(T49,'TB - Expense Data'!$H$3:$N$758,7,FALSE)</f>
        <v>3869.58</v>
      </c>
      <c r="X49" s="92">
        <f t="shared" si="33"/>
        <v>2219.58</v>
      </c>
      <c r="Y49" s="48">
        <f t="shared" si="34"/>
        <v>1.3452</v>
      </c>
      <c r="Z49" s="131" t="s">
        <v>979</v>
      </c>
      <c r="AA49" s="156">
        <f>VLOOKUP(Z49,'TB - Expense Data'!$H$3:$N$758,3,FALSE)</f>
        <v>0</v>
      </c>
      <c r="AB49" s="14">
        <f t="shared" si="35"/>
        <v>0</v>
      </c>
      <c r="AC49" s="26">
        <f>VLOOKUP(Z49,'TB - Expense Data'!$H$3:$N$758,7,FALSE)</f>
        <v>0</v>
      </c>
      <c r="AD49" s="92">
        <f t="shared" si="36"/>
        <v>0</v>
      </c>
      <c r="AE49" s="48" t="str">
        <f t="shared" si="37"/>
        <v xml:space="preserve">-    </v>
      </c>
      <c r="AF49" s="131" t="s">
        <v>979</v>
      </c>
      <c r="AG49" s="156">
        <f>VLOOKUP(AF49,'TB - Expense Data'!$H$3:$N$758,3,FALSE)</f>
        <v>0</v>
      </c>
      <c r="AH49" s="14">
        <f t="shared" si="38"/>
        <v>0</v>
      </c>
      <c r="AI49" s="26">
        <f>VLOOKUP(AF49,'TB - Expense Data'!$H$3:$N$758,7,FALSE)</f>
        <v>0</v>
      </c>
      <c r="AJ49" s="92">
        <f t="shared" si="39"/>
        <v>0</v>
      </c>
      <c r="AK49" s="48" t="str">
        <f t="shared" si="40"/>
        <v xml:space="preserve">-    </v>
      </c>
      <c r="AL49" s="156">
        <f t="shared" si="46"/>
        <v>30000</v>
      </c>
      <c r="AM49" s="14">
        <f t="shared" si="47"/>
        <v>15000</v>
      </c>
      <c r="AN49" s="26">
        <f t="shared" si="48"/>
        <v>18847.809999999998</v>
      </c>
      <c r="AO49" s="239">
        <f t="shared" si="49"/>
        <v>3847.8099999999977</v>
      </c>
      <c r="AP49" s="58">
        <f t="shared" si="50"/>
        <v>0.25652066666666651</v>
      </c>
    </row>
    <row r="50" spans="1:42" ht="15.75" x14ac:dyDescent="0.25">
      <c r="A50" s="13" t="s">
        <v>51</v>
      </c>
      <c r="B50" s="131" t="s">
        <v>615</v>
      </c>
      <c r="C50" s="14">
        <f>VLOOKUP(B50,'TB - Expense Data'!$H$3:$N$758,3,FALSE)</f>
        <v>3480</v>
      </c>
      <c r="D50" s="14">
        <f t="shared" si="23"/>
        <v>1740</v>
      </c>
      <c r="E50" s="26">
        <f>VLOOKUP(B50,'TB - Expense Data'!$H$3:$N$758,7,FALSE)</f>
        <v>1095.3</v>
      </c>
      <c r="F50" s="92">
        <f t="shared" si="24"/>
        <v>-644.70000000000005</v>
      </c>
      <c r="G50" s="48">
        <f t="shared" si="25"/>
        <v>-0.37051724137931036</v>
      </c>
      <c r="H50" s="131" t="s">
        <v>673</v>
      </c>
      <c r="I50" s="156">
        <f>VLOOKUP(H50,'TB - Expense Data'!$H$3:$N$758,3,FALSE)</f>
        <v>960</v>
      </c>
      <c r="J50" s="14">
        <f t="shared" si="26"/>
        <v>480</v>
      </c>
      <c r="K50" s="26">
        <f>VLOOKUP(H50,'TB - Expense Data'!$H$3:$N$758,7,FALSE)</f>
        <v>302.14999999999998</v>
      </c>
      <c r="L50" s="92">
        <f t="shared" si="27"/>
        <v>-177.85000000000002</v>
      </c>
      <c r="M50" s="48">
        <f t="shared" si="28"/>
        <v>-0.37052083333333335</v>
      </c>
      <c r="N50" s="131" t="s">
        <v>728</v>
      </c>
      <c r="O50" s="156">
        <f>VLOOKUP(N50,'TB - Expense Data'!$H$3:$N$758,3,FALSE)</f>
        <v>6240</v>
      </c>
      <c r="P50" s="14">
        <f t="shared" si="29"/>
        <v>3120</v>
      </c>
      <c r="Q50" s="26">
        <f>VLOOKUP(N50,'TB - Expense Data'!$H$3:$N$758,7,FALSE)</f>
        <v>1963.97</v>
      </c>
      <c r="R50" s="92">
        <f t="shared" si="30"/>
        <v>-1156.03</v>
      </c>
      <c r="S50" s="48">
        <f t="shared" si="31"/>
        <v>-0.37052243589743589</v>
      </c>
      <c r="T50" s="131" t="s">
        <v>787</v>
      </c>
      <c r="U50" s="14">
        <f>VLOOKUP(T50,'TB - Expense Data'!$H$3:$N$758,3,FALSE)</f>
        <v>1320</v>
      </c>
      <c r="V50" s="14">
        <f t="shared" si="32"/>
        <v>660</v>
      </c>
      <c r="W50" s="26">
        <f>VLOOKUP(T50,'TB - Expense Data'!$H$3:$N$758,7,FALSE)</f>
        <v>415.46</v>
      </c>
      <c r="X50" s="92">
        <f t="shared" si="33"/>
        <v>-244.54000000000002</v>
      </c>
      <c r="Y50" s="48">
        <f t="shared" si="34"/>
        <v>-0.37051515151515152</v>
      </c>
      <c r="Z50" s="131" t="s">
        <v>979</v>
      </c>
      <c r="AA50" s="156">
        <f>VLOOKUP(Z50,'TB - Expense Data'!$H$3:$N$758,3,FALSE)</f>
        <v>0</v>
      </c>
      <c r="AB50" s="14">
        <f t="shared" si="35"/>
        <v>0</v>
      </c>
      <c r="AC50" s="26">
        <f>VLOOKUP(Z50,'TB - Expense Data'!$H$3:$N$758,7,FALSE)</f>
        <v>0</v>
      </c>
      <c r="AD50" s="92">
        <f t="shared" si="36"/>
        <v>0</v>
      </c>
      <c r="AE50" s="48" t="str">
        <f t="shared" si="37"/>
        <v xml:space="preserve">-    </v>
      </c>
      <c r="AF50" s="131" t="s">
        <v>979</v>
      </c>
      <c r="AG50" s="156">
        <f>VLOOKUP(AF50,'TB - Expense Data'!$H$3:$N$758,3,FALSE)</f>
        <v>0</v>
      </c>
      <c r="AH50" s="14">
        <f t="shared" si="38"/>
        <v>0</v>
      </c>
      <c r="AI50" s="26">
        <f>VLOOKUP(AF50,'TB - Expense Data'!$H$3:$N$758,7,FALSE)</f>
        <v>0</v>
      </c>
      <c r="AJ50" s="92">
        <f t="shared" si="39"/>
        <v>0</v>
      </c>
      <c r="AK50" s="48" t="str">
        <f t="shared" si="40"/>
        <v xml:space="preserve">-    </v>
      </c>
      <c r="AL50" s="156">
        <f t="shared" si="46"/>
        <v>12000</v>
      </c>
      <c r="AM50" s="14">
        <f t="shared" si="47"/>
        <v>6000</v>
      </c>
      <c r="AN50" s="26">
        <f t="shared" si="48"/>
        <v>3776.88</v>
      </c>
      <c r="AO50" s="239">
        <f t="shared" si="49"/>
        <v>-2223.12</v>
      </c>
      <c r="AP50" s="58">
        <f t="shared" si="50"/>
        <v>-0.37051999999999996</v>
      </c>
    </row>
    <row r="51" spans="1:42" ht="15.75" x14ac:dyDescent="0.25">
      <c r="A51" s="13" t="s">
        <v>164</v>
      </c>
      <c r="B51" s="131" t="s">
        <v>645</v>
      </c>
      <c r="C51" s="14">
        <f>VLOOKUP(B51,'TB - Expense Data'!$H$3:$N$758,3,FALSE)</f>
        <v>17400</v>
      </c>
      <c r="D51" s="14">
        <f t="shared" si="23"/>
        <v>8700</v>
      </c>
      <c r="E51" s="26">
        <f>VLOOKUP(B51,'TB - Expense Data'!$H$3:$N$758,7,FALSE)</f>
        <v>10374.75</v>
      </c>
      <c r="F51" s="92">
        <f t="shared" si="24"/>
        <v>1674.75</v>
      </c>
      <c r="G51" s="48">
        <f t="shared" si="25"/>
        <v>0.1925</v>
      </c>
      <c r="H51" s="131" t="s">
        <v>702</v>
      </c>
      <c r="I51" s="156">
        <f>VLOOKUP(H51,'TB - Expense Data'!$H$3:$N$758,3,FALSE)</f>
        <v>4800</v>
      </c>
      <c r="J51" s="14">
        <f t="shared" si="26"/>
        <v>2400</v>
      </c>
      <c r="K51" s="26">
        <f>VLOOKUP(H51,'TB - Expense Data'!$H$3:$N$758,7,FALSE)</f>
        <v>3649.73</v>
      </c>
      <c r="L51" s="92">
        <f t="shared" si="27"/>
        <v>1249.73</v>
      </c>
      <c r="M51" s="48">
        <f t="shared" si="28"/>
        <v>0.5207208333333333</v>
      </c>
      <c r="N51" s="131" t="s">
        <v>760</v>
      </c>
      <c r="O51" s="156">
        <f>VLOOKUP(N51,'TB - Expense Data'!$H$3:$N$758,3,FALSE)</f>
        <v>31200</v>
      </c>
      <c r="P51" s="14">
        <f t="shared" si="29"/>
        <v>15600</v>
      </c>
      <c r="Q51" s="26">
        <f>VLOOKUP(N51,'TB - Expense Data'!$H$3:$N$758,7,FALSE)</f>
        <v>20238.53</v>
      </c>
      <c r="R51" s="92">
        <f t="shared" si="30"/>
        <v>4638.5299999999988</v>
      </c>
      <c r="S51" s="48">
        <f t="shared" si="31"/>
        <v>0.29734166666666662</v>
      </c>
      <c r="T51" s="131" t="s">
        <v>818</v>
      </c>
      <c r="U51" s="14">
        <f>VLOOKUP(T51,'TB - Expense Data'!$H$3:$N$758,3,FALSE)</f>
        <v>6600</v>
      </c>
      <c r="V51" s="14">
        <f t="shared" si="32"/>
        <v>3300</v>
      </c>
      <c r="W51" s="26">
        <f>VLOOKUP(T51,'TB - Expense Data'!$H$3:$N$758,7,FALSE)</f>
        <v>6518.79</v>
      </c>
      <c r="X51" s="92">
        <f t="shared" si="33"/>
        <v>3218.79</v>
      </c>
      <c r="Y51" s="48">
        <f t="shared" si="34"/>
        <v>0.97539090909090909</v>
      </c>
      <c r="Z51" s="131" t="s">
        <v>979</v>
      </c>
      <c r="AA51" s="156">
        <f>VLOOKUP(Z51,'TB - Expense Data'!$H$3:$N$758,3,FALSE)</f>
        <v>0</v>
      </c>
      <c r="AB51" s="14">
        <f t="shared" si="35"/>
        <v>0</v>
      </c>
      <c r="AC51" s="26">
        <f>VLOOKUP(Z51,'TB - Expense Data'!$H$3:$N$758,7,FALSE)</f>
        <v>0</v>
      </c>
      <c r="AD51" s="92">
        <f t="shared" si="36"/>
        <v>0</v>
      </c>
      <c r="AE51" s="48" t="str">
        <f t="shared" si="37"/>
        <v xml:space="preserve">-    </v>
      </c>
      <c r="AF51" s="131" t="s">
        <v>979</v>
      </c>
      <c r="AG51" s="156">
        <f>VLOOKUP(AF51,'TB - Expense Data'!$H$3:$N$758,3,FALSE)</f>
        <v>0</v>
      </c>
      <c r="AH51" s="14">
        <f t="shared" si="38"/>
        <v>0</v>
      </c>
      <c r="AI51" s="26">
        <f>VLOOKUP(AF51,'TB - Expense Data'!$H$3:$N$758,7,FALSE)</f>
        <v>0</v>
      </c>
      <c r="AJ51" s="92">
        <f t="shared" si="39"/>
        <v>0</v>
      </c>
      <c r="AK51" s="48" t="str">
        <f t="shared" si="40"/>
        <v xml:space="preserve">-    </v>
      </c>
      <c r="AL51" s="156">
        <f t="shared" si="46"/>
        <v>60000</v>
      </c>
      <c r="AM51" s="14">
        <f t="shared" si="47"/>
        <v>30000</v>
      </c>
      <c r="AN51" s="26">
        <f t="shared" si="48"/>
        <v>40781.799999999996</v>
      </c>
      <c r="AO51" s="239">
        <f t="shared" si="49"/>
        <v>10781.799999999996</v>
      </c>
      <c r="AP51" s="58">
        <f t="shared" si="50"/>
        <v>0.35939333333333318</v>
      </c>
    </row>
    <row r="52" spans="1:42" ht="15.75" x14ac:dyDescent="0.25">
      <c r="A52" s="13" t="s">
        <v>165</v>
      </c>
      <c r="B52" s="131" t="s">
        <v>637</v>
      </c>
      <c r="C52" s="14">
        <f>VLOOKUP(B52,'TB - Expense Data'!$H$3:$N$758,3,FALSE)</f>
        <v>1740</v>
      </c>
      <c r="D52" s="14">
        <f t="shared" si="23"/>
        <v>870</v>
      </c>
      <c r="E52" s="26">
        <f>VLOOKUP(B52,'TB - Expense Data'!$H$3:$N$758,7,FALSE)</f>
        <v>522.49</v>
      </c>
      <c r="F52" s="92">
        <f t="shared" si="24"/>
        <v>-347.51</v>
      </c>
      <c r="G52" s="48">
        <f t="shared" si="25"/>
        <v>-0.39943678160919538</v>
      </c>
      <c r="H52" s="131" t="s">
        <v>694</v>
      </c>
      <c r="I52" s="156">
        <f>VLOOKUP(H52,'TB - Expense Data'!$H$3:$N$758,3,FALSE)</f>
        <v>480</v>
      </c>
      <c r="J52" s="14">
        <f t="shared" si="26"/>
        <v>240</v>
      </c>
      <c r="K52" s="26">
        <f>VLOOKUP(H52,'TB - Expense Data'!$H$3:$N$758,7,FALSE)</f>
        <v>144.13</v>
      </c>
      <c r="L52" s="92">
        <f t="shared" si="27"/>
        <v>-95.87</v>
      </c>
      <c r="M52" s="48">
        <f t="shared" si="28"/>
        <v>-0.39945833333333336</v>
      </c>
      <c r="N52" s="131" t="s">
        <v>751</v>
      </c>
      <c r="O52" s="156">
        <f>VLOOKUP(N52,'TB - Expense Data'!$H$3:$N$758,3,FALSE)</f>
        <v>3120</v>
      </c>
      <c r="P52" s="14">
        <f t="shared" si="29"/>
        <v>1560</v>
      </c>
      <c r="Q52" s="26">
        <f>VLOOKUP(N52,'TB - Expense Data'!$H$3:$N$758,7,FALSE)</f>
        <v>936.86</v>
      </c>
      <c r="R52" s="92">
        <f t="shared" si="30"/>
        <v>-623.14</v>
      </c>
      <c r="S52" s="48">
        <f t="shared" si="31"/>
        <v>-0.39944871794871795</v>
      </c>
      <c r="T52" s="131" t="s">
        <v>809</v>
      </c>
      <c r="U52" s="14">
        <f>VLOOKUP(T52,'TB - Expense Data'!$H$3:$N$758,3,FALSE)</f>
        <v>660</v>
      </c>
      <c r="V52" s="14">
        <f t="shared" si="32"/>
        <v>330</v>
      </c>
      <c r="W52" s="26">
        <f>VLOOKUP(T52,'TB - Expense Data'!$H$3:$N$758,7,FALSE)</f>
        <v>198.19</v>
      </c>
      <c r="X52" s="92">
        <f t="shared" si="33"/>
        <v>-131.81</v>
      </c>
      <c r="Y52" s="48">
        <f t="shared" si="34"/>
        <v>-0.3994242424242424</v>
      </c>
      <c r="Z52" s="131" t="s">
        <v>979</v>
      </c>
      <c r="AA52" s="156">
        <f>VLOOKUP(Z52,'TB - Expense Data'!$H$3:$N$758,3,FALSE)</f>
        <v>0</v>
      </c>
      <c r="AB52" s="14">
        <f t="shared" si="35"/>
        <v>0</v>
      </c>
      <c r="AC52" s="26">
        <f>VLOOKUP(Z52,'TB - Expense Data'!$H$3:$N$758,7,FALSE)</f>
        <v>0</v>
      </c>
      <c r="AD52" s="92">
        <f t="shared" si="36"/>
        <v>0</v>
      </c>
      <c r="AE52" s="48" t="str">
        <f t="shared" si="37"/>
        <v xml:space="preserve">-    </v>
      </c>
      <c r="AF52" s="131" t="s">
        <v>979</v>
      </c>
      <c r="AG52" s="156">
        <f>VLOOKUP(AF52,'TB - Expense Data'!$H$3:$N$758,3,FALSE)</f>
        <v>0</v>
      </c>
      <c r="AH52" s="14">
        <f t="shared" si="38"/>
        <v>0</v>
      </c>
      <c r="AI52" s="26">
        <f>VLOOKUP(AF52,'TB - Expense Data'!$H$3:$N$758,7,FALSE)</f>
        <v>0</v>
      </c>
      <c r="AJ52" s="92">
        <f t="shared" si="39"/>
        <v>0</v>
      </c>
      <c r="AK52" s="48" t="str">
        <f t="shared" si="40"/>
        <v xml:space="preserve">-    </v>
      </c>
      <c r="AL52" s="156">
        <f t="shared" si="46"/>
        <v>6000</v>
      </c>
      <c r="AM52" s="14">
        <f t="shared" si="47"/>
        <v>3000</v>
      </c>
      <c r="AN52" s="26">
        <f t="shared" si="48"/>
        <v>1801.67</v>
      </c>
      <c r="AO52" s="239">
        <f t="shared" si="49"/>
        <v>-1198.33</v>
      </c>
      <c r="AP52" s="58">
        <f t="shared" si="50"/>
        <v>-0.39944333333333332</v>
      </c>
    </row>
    <row r="53" spans="1:42" ht="15.75" x14ac:dyDescent="0.25">
      <c r="A53" s="13" t="s">
        <v>1063</v>
      </c>
      <c r="B53" s="131" t="s">
        <v>1062</v>
      </c>
      <c r="C53" s="14">
        <f>VLOOKUP(B53,'TB - Expense Data'!$H$3:$N$758,3,FALSE)</f>
        <v>2755</v>
      </c>
      <c r="D53" s="14">
        <f t="shared" si="23"/>
        <v>1377.5</v>
      </c>
      <c r="E53" s="26">
        <f>VLOOKUP(B53,'TB - Expense Data'!$H$3:$N$758,7,FALSE)</f>
        <v>1041.0999999999999</v>
      </c>
      <c r="F53" s="92">
        <f t="shared" si="24"/>
        <v>-336.40000000000009</v>
      </c>
      <c r="G53" s="48">
        <f t="shared" si="25"/>
        <v>-0.24421052631578954</v>
      </c>
      <c r="H53" s="131" t="s">
        <v>1066</v>
      </c>
      <c r="I53" s="156">
        <f>VLOOKUP(H53,'TB - Expense Data'!$H$3:$N$758,3,FALSE)</f>
        <v>760</v>
      </c>
      <c r="J53" s="14">
        <f t="shared" si="26"/>
        <v>380</v>
      </c>
      <c r="K53" s="26">
        <f>VLOOKUP(H53,'TB - Expense Data'!$H$3:$N$758,7,FALSE)</f>
        <v>287.2</v>
      </c>
      <c r="L53" s="92">
        <f t="shared" si="27"/>
        <v>-92.800000000000011</v>
      </c>
      <c r="M53" s="48">
        <f t="shared" si="28"/>
        <v>-0.24421052631578952</v>
      </c>
      <c r="N53" s="131" t="s">
        <v>1069</v>
      </c>
      <c r="O53" s="156">
        <f>VLOOKUP(N53,'TB - Expense Data'!$H$3:$N$758,3,FALSE)</f>
        <v>4940</v>
      </c>
      <c r="P53" s="14">
        <f t="shared" si="29"/>
        <v>2470</v>
      </c>
      <c r="Q53" s="26">
        <f>VLOOKUP(N53,'TB - Expense Data'!$H$3:$N$758,7,FALSE)</f>
        <v>1866.8</v>
      </c>
      <c r="R53" s="92">
        <f t="shared" si="30"/>
        <v>-603.20000000000005</v>
      </c>
      <c r="S53" s="48">
        <f t="shared" si="31"/>
        <v>-0.24421052631578949</v>
      </c>
      <c r="T53" s="131" t="s">
        <v>1072</v>
      </c>
      <c r="U53" s="14">
        <f>VLOOKUP(T53,'TB - Expense Data'!$H$3:$N$758,3,FALSE)</f>
        <v>1045</v>
      </c>
      <c r="V53" s="14">
        <f t="shared" si="32"/>
        <v>522.5</v>
      </c>
      <c r="W53" s="26">
        <f>VLOOKUP(T53,'TB - Expense Data'!$H$3:$N$758,7,FALSE)</f>
        <v>394.9</v>
      </c>
      <c r="X53" s="92">
        <f t="shared" si="33"/>
        <v>-127.60000000000002</v>
      </c>
      <c r="Y53" s="48">
        <f t="shared" si="34"/>
        <v>-0.24421052631578952</v>
      </c>
      <c r="Z53" s="131" t="s">
        <v>979</v>
      </c>
      <c r="AA53" s="156">
        <f>VLOOKUP(Z53,'TB - Expense Data'!$H$3:$N$758,3,FALSE)</f>
        <v>0</v>
      </c>
      <c r="AB53" s="14">
        <f t="shared" si="35"/>
        <v>0</v>
      </c>
      <c r="AC53" s="26">
        <f>VLOOKUP(Z53,'TB - Expense Data'!$H$3:$N$758,7,FALSE)</f>
        <v>0</v>
      </c>
      <c r="AD53" s="92">
        <f t="shared" si="36"/>
        <v>0</v>
      </c>
      <c r="AE53" s="48" t="str">
        <f t="shared" si="37"/>
        <v xml:space="preserve">-    </v>
      </c>
      <c r="AF53" s="131" t="s">
        <v>979</v>
      </c>
      <c r="AG53" s="156">
        <f>VLOOKUP(AF53,'TB - Expense Data'!$H$3:$N$758,3,FALSE)</f>
        <v>0</v>
      </c>
      <c r="AH53" s="14">
        <f t="shared" si="38"/>
        <v>0</v>
      </c>
      <c r="AI53" s="26">
        <f>VLOOKUP(AF53,'TB - Expense Data'!$H$3:$N$758,7,FALSE)</f>
        <v>0</v>
      </c>
      <c r="AJ53" s="92">
        <f t="shared" si="39"/>
        <v>0</v>
      </c>
      <c r="AK53" s="48" t="str">
        <f t="shared" si="40"/>
        <v xml:space="preserve">-    </v>
      </c>
      <c r="AL53" s="156">
        <f t="shared" si="46"/>
        <v>9500</v>
      </c>
      <c r="AM53" s="14">
        <f t="shared" si="47"/>
        <v>4750</v>
      </c>
      <c r="AN53" s="26">
        <f t="shared" si="48"/>
        <v>3590</v>
      </c>
      <c r="AO53" s="239">
        <f t="shared" si="49"/>
        <v>-1160</v>
      </c>
      <c r="AP53" s="58">
        <f t="shared" si="50"/>
        <v>-0.24421052631578946</v>
      </c>
    </row>
    <row r="54" spans="1:42" ht="15.75" x14ac:dyDescent="0.25">
      <c r="A54" s="13" t="s">
        <v>166</v>
      </c>
      <c r="B54" s="131" t="s">
        <v>614</v>
      </c>
      <c r="C54" s="14">
        <f>VLOOKUP(B54,'TB - Expense Data'!$H$3:$N$758,3,FALSE)</f>
        <v>10150</v>
      </c>
      <c r="D54" s="14">
        <f t="shared" si="23"/>
        <v>5075</v>
      </c>
      <c r="E54" s="26">
        <f>VLOOKUP(B54,'TB - Expense Data'!$H$3:$N$758,7,FALSE)</f>
        <v>7329.08</v>
      </c>
      <c r="F54" s="92">
        <f t="shared" si="24"/>
        <v>2254.08</v>
      </c>
      <c r="G54" s="48">
        <f t="shared" si="25"/>
        <v>0.44415369458128079</v>
      </c>
      <c r="H54" s="131" t="s">
        <v>672</v>
      </c>
      <c r="I54" s="156">
        <f>VLOOKUP(H54,'TB - Expense Data'!$H$3:$N$758,3,FALSE)</f>
        <v>2800</v>
      </c>
      <c r="J54" s="14">
        <f t="shared" si="26"/>
        <v>1400</v>
      </c>
      <c r="K54" s="26">
        <f>VLOOKUP(H54,'TB - Expense Data'!$H$3:$N$758,7,FALSE)</f>
        <v>2194.8000000000002</v>
      </c>
      <c r="L54" s="92">
        <f t="shared" si="27"/>
        <v>794.80000000000018</v>
      </c>
      <c r="M54" s="48">
        <f t="shared" si="28"/>
        <v>0.56771428571428584</v>
      </c>
      <c r="N54" s="131" t="s">
        <v>727</v>
      </c>
      <c r="O54" s="156">
        <f>VLOOKUP(N54,'TB - Expense Data'!$H$3:$N$758,3,FALSE)</f>
        <v>18200</v>
      </c>
      <c r="P54" s="14">
        <f t="shared" si="29"/>
        <v>9100</v>
      </c>
      <c r="Q54" s="26">
        <f>VLOOKUP(N54,'TB - Expense Data'!$H$3:$N$758,7,FALSE)</f>
        <v>12838.45</v>
      </c>
      <c r="R54" s="92">
        <f t="shared" si="30"/>
        <v>3738.4500000000007</v>
      </c>
      <c r="S54" s="48">
        <f t="shared" si="31"/>
        <v>0.41081868131868138</v>
      </c>
      <c r="T54" s="131" t="s">
        <v>786</v>
      </c>
      <c r="U54" s="14">
        <f>VLOOKUP(T54,'TB - Expense Data'!$H$3:$N$758,3,FALSE)</f>
        <v>3850</v>
      </c>
      <c r="V54" s="14">
        <f t="shared" si="32"/>
        <v>1925</v>
      </c>
      <c r="W54" s="26">
        <f>VLOOKUP(T54,'TB - Expense Data'!$H$3:$N$758,7,FALSE)</f>
        <v>2818.93</v>
      </c>
      <c r="X54" s="92">
        <f t="shared" si="33"/>
        <v>893.92999999999984</v>
      </c>
      <c r="Y54" s="48">
        <f t="shared" si="34"/>
        <v>0.46437922077922067</v>
      </c>
      <c r="Z54" s="131" t="s">
        <v>979</v>
      </c>
      <c r="AA54" s="156">
        <f>VLOOKUP(Z54,'TB - Expense Data'!$H$3:$N$758,3,FALSE)</f>
        <v>0</v>
      </c>
      <c r="AB54" s="14">
        <f t="shared" si="35"/>
        <v>0</v>
      </c>
      <c r="AC54" s="26">
        <f>VLOOKUP(Z54,'TB - Expense Data'!$H$3:$N$758,7,FALSE)</f>
        <v>0</v>
      </c>
      <c r="AD54" s="92">
        <f t="shared" si="36"/>
        <v>0</v>
      </c>
      <c r="AE54" s="48" t="str">
        <f t="shared" si="37"/>
        <v xml:space="preserve">-    </v>
      </c>
      <c r="AF54" s="131" t="s">
        <v>979</v>
      </c>
      <c r="AG54" s="156">
        <f>VLOOKUP(AF54,'TB - Expense Data'!$H$3:$N$758,3,FALSE)</f>
        <v>0</v>
      </c>
      <c r="AH54" s="14">
        <f t="shared" si="38"/>
        <v>0</v>
      </c>
      <c r="AI54" s="26">
        <f>VLOOKUP(AF54,'TB - Expense Data'!$H$3:$N$758,7,FALSE)</f>
        <v>0</v>
      </c>
      <c r="AJ54" s="92">
        <f t="shared" si="39"/>
        <v>0</v>
      </c>
      <c r="AK54" s="48" t="str">
        <f t="shared" si="40"/>
        <v xml:space="preserve">-    </v>
      </c>
      <c r="AL54" s="156">
        <f t="shared" si="46"/>
        <v>35000</v>
      </c>
      <c r="AM54" s="14">
        <f t="shared" si="47"/>
        <v>17500</v>
      </c>
      <c r="AN54" s="26">
        <f t="shared" si="48"/>
        <v>25181.260000000002</v>
      </c>
      <c r="AO54" s="239">
        <f t="shared" si="49"/>
        <v>7681.260000000002</v>
      </c>
      <c r="AP54" s="58">
        <f t="shared" si="50"/>
        <v>0.43892914285714296</v>
      </c>
    </row>
    <row r="55" spans="1:42" ht="15.75" x14ac:dyDescent="0.25">
      <c r="A55" s="13" t="s">
        <v>52</v>
      </c>
      <c r="B55" s="131" t="s">
        <v>630</v>
      </c>
      <c r="C55" s="14">
        <f>VLOOKUP(B55,'TB - Expense Data'!$H$3:$N$758,3,FALSE)</f>
        <v>49360</v>
      </c>
      <c r="D55" s="14">
        <f t="shared" si="23"/>
        <v>24680</v>
      </c>
      <c r="E55" s="26">
        <f>VLOOKUP(B55,'TB - Expense Data'!$H$3:$N$758,7,FALSE)</f>
        <v>15248.58</v>
      </c>
      <c r="F55" s="92">
        <f t="shared" si="24"/>
        <v>-9431.42</v>
      </c>
      <c r="G55" s="48">
        <f t="shared" si="25"/>
        <v>-0.38214829821717988</v>
      </c>
      <c r="H55" s="131" t="s">
        <v>687</v>
      </c>
      <c r="I55" s="156">
        <f>VLOOKUP(H55,'TB - Expense Data'!$H$3:$N$758,3,FALSE)</f>
        <v>14720</v>
      </c>
      <c r="J55" s="14">
        <f t="shared" si="26"/>
        <v>7360</v>
      </c>
      <c r="K55" s="26">
        <f>VLOOKUP(H55,'TB - Expense Data'!$H$3:$N$758,7,FALSE)</f>
        <v>4206.5</v>
      </c>
      <c r="L55" s="92">
        <f t="shared" si="27"/>
        <v>-3153.5</v>
      </c>
      <c r="M55" s="48">
        <f t="shared" si="28"/>
        <v>-0.42846467391304349</v>
      </c>
      <c r="N55" s="131" t="s">
        <v>742</v>
      </c>
      <c r="O55" s="156">
        <f>VLOOKUP(N55,'TB - Expense Data'!$H$3:$N$758,3,FALSE)</f>
        <v>89680</v>
      </c>
      <c r="P55" s="14">
        <f t="shared" si="29"/>
        <v>44840</v>
      </c>
      <c r="Q55" s="26">
        <f>VLOOKUP(N55,'TB - Expense Data'!$H$3:$N$758,7,FALSE)</f>
        <v>35336.129999999997</v>
      </c>
      <c r="R55" s="92">
        <f t="shared" si="30"/>
        <v>-9503.8700000000026</v>
      </c>
      <c r="S55" s="48">
        <f t="shared" si="31"/>
        <v>-0.21195071364852816</v>
      </c>
      <c r="T55" s="131" t="s">
        <v>801</v>
      </c>
      <c r="U55" s="14">
        <f>VLOOKUP(T55,'TB - Expense Data'!$H$3:$N$758,3,FALSE)</f>
        <v>20240</v>
      </c>
      <c r="V55" s="14">
        <f t="shared" si="32"/>
        <v>10120</v>
      </c>
      <c r="W55" s="26">
        <f>VLOOKUP(T55,'TB - Expense Data'!$H$3:$N$758,7,FALSE)</f>
        <v>13777.79</v>
      </c>
      <c r="X55" s="92">
        <f t="shared" si="33"/>
        <v>3657.7900000000009</v>
      </c>
      <c r="Y55" s="48">
        <f t="shared" si="34"/>
        <v>0.36144169960474315</v>
      </c>
      <c r="Z55" s="131" t="s">
        <v>979</v>
      </c>
      <c r="AA55" s="156">
        <f>VLOOKUP(Z55,'TB - Expense Data'!$H$3:$N$758,3,FALSE)</f>
        <v>0</v>
      </c>
      <c r="AB55" s="14">
        <f t="shared" si="35"/>
        <v>0</v>
      </c>
      <c r="AC55" s="26">
        <f>VLOOKUP(Z55,'TB - Expense Data'!$H$3:$N$758,7,FALSE)</f>
        <v>0</v>
      </c>
      <c r="AD55" s="92">
        <f t="shared" si="36"/>
        <v>0</v>
      </c>
      <c r="AE55" s="48" t="str">
        <f t="shared" si="37"/>
        <v xml:space="preserve">-    </v>
      </c>
      <c r="AF55" s="131" t="s">
        <v>979</v>
      </c>
      <c r="AG55" s="156">
        <f>VLOOKUP(AF55,'TB - Expense Data'!$H$3:$N$758,3,FALSE)</f>
        <v>0</v>
      </c>
      <c r="AH55" s="14">
        <f t="shared" si="38"/>
        <v>0</v>
      </c>
      <c r="AI55" s="26">
        <f>VLOOKUP(AF55,'TB - Expense Data'!$H$3:$N$758,7,FALSE)</f>
        <v>0</v>
      </c>
      <c r="AJ55" s="92">
        <f t="shared" si="39"/>
        <v>0</v>
      </c>
      <c r="AK55" s="48" t="str">
        <f t="shared" si="40"/>
        <v xml:space="preserve">-    </v>
      </c>
      <c r="AL55" s="156">
        <f t="shared" si="46"/>
        <v>174000</v>
      </c>
      <c r="AM55" s="14">
        <f t="shared" si="47"/>
        <v>87000</v>
      </c>
      <c r="AN55" s="26">
        <f t="shared" si="48"/>
        <v>68569</v>
      </c>
      <c r="AO55" s="239">
        <f t="shared" si="49"/>
        <v>-18431</v>
      </c>
      <c r="AP55" s="58">
        <f t="shared" si="50"/>
        <v>-0.21185057471264368</v>
      </c>
    </row>
    <row r="56" spans="1:42" ht="15.75" x14ac:dyDescent="0.25">
      <c r="A56" s="13" t="s">
        <v>167</v>
      </c>
      <c r="B56" s="131" t="s">
        <v>642</v>
      </c>
      <c r="C56" s="14">
        <f>VLOOKUP(B56,'TB - Expense Data'!$H$3:$N$758,3,FALSE)</f>
        <v>61120</v>
      </c>
      <c r="D56" s="14">
        <f t="shared" si="23"/>
        <v>30560</v>
      </c>
      <c r="E56" s="26">
        <f>VLOOKUP(B56,'TB - Expense Data'!$H$3:$N$758,7,FALSE)</f>
        <v>33808.559999999998</v>
      </c>
      <c r="F56" s="92">
        <f t="shared" si="24"/>
        <v>3248.5599999999977</v>
      </c>
      <c r="G56" s="48">
        <f t="shared" si="25"/>
        <v>0.10630104712041877</v>
      </c>
      <c r="H56" s="131" t="s">
        <v>699</v>
      </c>
      <c r="I56" s="156">
        <f>VLOOKUP(H56,'TB - Expense Data'!$H$3:$N$758,3,FALSE)</f>
        <v>18240</v>
      </c>
      <c r="J56" s="14">
        <f t="shared" si="26"/>
        <v>9120</v>
      </c>
      <c r="K56" s="26">
        <f>VLOOKUP(H56,'TB - Expense Data'!$H$3:$N$758,7,FALSE)</f>
        <v>8719.2000000000007</v>
      </c>
      <c r="L56" s="92">
        <f t="shared" si="27"/>
        <v>-400.79999999999927</v>
      </c>
      <c r="M56" s="48">
        <f t="shared" si="28"/>
        <v>-4.3947368421052554E-2</v>
      </c>
      <c r="N56" s="131" t="s">
        <v>757</v>
      </c>
      <c r="O56" s="156">
        <f>VLOOKUP(N56,'TB - Expense Data'!$H$3:$N$758,3,FALSE)</f>
        <v>108560</v>
      </c>
      <c r="P56" s="14">
        <f t="shared" si="29"/>
        <v>54280</v>
      </c>
      <c r="Q56" s="26">
        <f>VLOOKUP(N56,'TB - Expense Data'!$H$3:$N$758,7,FALSE)</f>
        <v>67488.429999999993</v>
      </c>
      <c r="R56" s="92">
        <f t="shared" si="30"/>
        <v>13208.429999999993</v>
      </c>
      <c r="S56" s="48">
        <f t="shared" si="31"/>
        <v>0.2433387988209284</v>
      </c>
      <c r="T56" s="131" t="s">
        <v>815</v>
      </c>
      <c r="U56" s="14">
        <f>VLOOKUP(T56,'TB - Expense Data'!$H$3:$N$758,3,FALSE)</f>
        <v>25080</v>
      </c>
      <c r="V56" s="14">
        <f t="shared" si="32"/>
        <v>12540</v>
      </c>
      <c r="W56" s="26">
        <f>VLOOKUP(T56,'TB - Expense Data'!$H$3:$N$758,7,FALSE)</f>
        <v>16440.310000000001</v>
      </c>
      <c r="X56" s="92">
        <f t="shared" si="33"/>
        <v>3900.3100000000013</v>
      </c>
      <c r="Y56" s="48">
        <f t="shared" si="34"/>
        <v>0.31102950558213727</v>
      </c>
      <c r="Z56" s="131" t="s">
        <v>842</v>
      </c>
      <c r="AA56" s="156">
        <f>VLOOKUP(Z56,'TB - Expense Data'!$H$3:$N$758,3,FALSE)</f>
        <v>0</v>
      </c>
      <c r="AB56" s="14">
        <f t="shared" si="35"/>
        <v>0</v>
      </c>
      <c r="AC56" s="26">
        <f>VLOOKUP(Z56,'TB - Expense Data'!$H$3:$N$758,7,FALSE)</f>
        <v>0</v>
      </c>
      <c r="AD56" s="92">
        <f t="shared" si="36"/>
        <v>0</v>
      </c>
      <c r="AE56" s="48" t="str">
        <f t="shared" si="37"/>
        <v xml:space="preserve">-    </v>
      </c>
      <c r="AF56" s="131" t="s">
        <v>979</v>
      </c>
      <c r="AG56" s="156">
        <f>VLOOKUP(AF56,'TB - Expense Data'!$H$3:$N$758,3,FALSE)</f>
        <v>0</v>
      </c>
      <c r="AH56" s="14">
        <f t="shared" si="38"/>
        <v>0</v>
      </c>
      <c r="AI56" s="26">
        <f>VLOOKUP(AF56,'TB - Expense Data'!$H$3:$N$758,7,FALSE)</f>
        <v>0</v>
      </c>
      <c r="AJ56" s="92">
        <f t="shared" si="39"/>
        <v>0</v>
      </c>
      <c r="AK56" s="48" t="str">
        <f t="shared" si="40"/>
        <v xml:space="preserve">-    </v>
      </c>
      <c r="AL56" s="156">
        <f t="shared" si="46"/>
        <v>213000</v>
      </c>
      <c r="AM56" s="14">
        <f t="shared" si="47"/>
        <v>106500</v>
      </c>
      <c r="AN56" s="26">
        <f t="shared" si="48"/>
        <v>126456.49999999999</v>
      </c>
      <c r="AO56" s="239">
        <f t="shared" si="49"/>
        <v>19956.499999999985</v>
      </c>
      <c r="AP56" s="58">
        <f t="shared" si="50"/>
        <v>0.18738497652582145</v>
      </c>
    </row>
    <row r="57" spans="1:42" s="505" customFormat="1" ht="15.75" x14ac:dyDescent="0.25">
      <c r="A57" s="13" t="s">
        <v>2267</v>
      </c>
      <c r="B57" s="131" t="s">
        <v>2266</v>
      </c>
      <c r="C57" s="14">
        <f>VLOOKUP(B57,'TB - Expense Data'!$H$3:$N$758,3,FALSE)</f>
        <v>9000</v>
      </c>
      <c r="D57" s="14">
        <f t="shared" si="23"/>
        <v>4500</v>
      </c>
      <c r="E57" s="26">
        <f>VLOOKUP(B57,'TB - Expense Data'!$H$3:$N$758,7,FALSE)</f>
        <v>0</v>
      </c>
      <c r="F57" s="92">
        <f t="shared" si="24"/>
        <v>-4500</v>
      </c>
      <c r="G57" s="48">
        <f t="shared" si="25"/>
        <v>-1</v>
      </c>
      <c r="H57" s="131" t="s">
        <v>979</v>
      </c>
      <c r="I57" s="156">
        <f>VLOOKUP(H57,'TB - Expense Data'!$H$3:$N$758,3,FALSE)</f>
        <v>0</v>
      </c>
      <c r="J57" s="14">
        <f t="shared" si="26"/>
        <v>0</v>
      </c>
      <c r="K57" s="26">
        <f>VLOOKUP(H57,'TB - Expense Data'!$H$3:$N$758,7,FALSE)</f>
        <v>0</v>
      </c>
      <c r="L57" s="92">
        <f t="shared" si="27"/>
        <v>0</v>
      </c>
      <c r="M57" s="48" t="str">
        <f t="shared" si="28"/>
        <v xml:space="preserve">-    </v>
      </c>
      <c r="N57" s="131" t="s">
        <v>2727</v>
      </c>
      <c r="O57" s="156">
        <f>VLOOKUP(N57,'TB - Expense Data'!$H$3:$N$758,3,FALSE)</f>
        <v>16000</v>
      </c>
      <c r="P57" s="14">
        <f t="shared" si="29"/>
        <v>8000</v>
      </c>
      <c r="Q57" s="26">
        <f>VLOOKUP(N57,'TB - Expense Data'!$H$3:$N$758,7,FALSE)</f>
        <v>0</v>
      </c>
      <c r="R57" s="92">
        <f t="shared" si="30"/>
        <v>-8000</v>
      </c>
      <c r="S57" s="48">
        <f t="shared" si="31"/>
        <v>-1</v>
      </c>
      <c r="T57" s="131" t="s">
        <v>979</v>
      </c>
      <c r="U57" s="14">
        <f>VLOOKUP(T57,'TB - Expense Data'!$H$3:$N$758,3,FALSE)</f>
        <v>0</v>
      </c>
      <c r="V57" s="14">
        <f t="shared" si="32"/>
        <v>0</v>
      </c>
      <c r="W57" s="26">
        <f>VLOOKUP(T57,'TB - Expense Data'!$H$3:$N$758,7,FALSE)</f>
        <v>0</v>
      </c>
      <c r="X57" s="92">
        <f t="shared" si="33"/>
        <v>0</v>
      </c>
      <c r="Y57" s="48" t="str">
        <f t="shared" si="34"/>
        <v xml:space="preserve">-    </v>
      </c>
      <c r="Z57" s="131" t="s">
        <v>842</v>
      </c>
      <c r="AA57" s="156">
        <f>VLOOKUP(Z57,'TB - Expense Data'!$H$3:$N$758,3,FALSE)</f>
        <v>0</v>
      </c>
      <c r="AB57" s="14">
        <f t="shared" si="35"/>
        <v>0</v>
      </c>
      <c r="AC57" s="26">
        <f>VLOOKUP(Z57,'TB - Expense Data'!$H$3:$N$758,7,FALSE)</f>
        <v>0</v>
      </c>
      <c r="AD57" s="92">
        <f t="shared" si="36"/>
        <v>0</v>
      </c>
      <c r="AE57" s="48" t="str">
        <f t="shared" si="37"/>
        <v xml:space="preserve">-    </v>
      </c>
      <c r="AF57" s="131" t="s">
        <v>979</v>
      </c>
      <c r="AG57" s="156">
        <f>VLOOKUP(AF57,'TB - Expense Data'!$H$3:$N$758,3,FALSE)</f>
        <v>0</v>
      </c>
      <c r="AH57" s="14">
        <f t="shared" si="38"/>
        <v>0</v>
      </c>
      <c r="AI57" s="26">
        <f>VLOOKUP(AF57,'TB - Expense Data'!$H$3:$N$758,7,FALSE)</f>
        <v>0</v>
      </c>
      <c r="AJ57" s="92">
        <f t="shared" si="39"/>
        <v>0</v>
      </c>
      <c r="AK57" s="48" t="str">
        <f t="shared" si="40"/>
        <v xml:space="preserve">-    </v>
      </c>
      <c r="AL57" s="156">
        <f t="shared" si="46"/>
        <v>25000</v>
      </c>
      <c r="AM57" s="14">
        <f t="shared" si="47"/>
        <v>12500</v>
      </c>
      <c r="AN57" s="26">
        <f t="shared" si="48"/>
        <v>0</v>
      </c>
      <c r="AO57" s="239">
        <f t="shared" si="49"/>
        <v>-12500</v>
      </c>
      <c r="AP57" s="58">
        <f t="shared" si="50"/>
        <v>-1</v>
      </c>
    </row>
    <row r="58" spans="1:42" ht="15.75" x14ac:dyDescent="0.25">
      <c r="A58" s="13" t="s">
        <v>168</v>
      </c>
      <c r="B58" s="131" t="s">
        <v>629</v>
      </c>
      <c r="C58" s="14">
        <f>VLOOKUP(B58,'TB - Expense Data'!$H$3:$N$758,3,FALSE)</f>
        <v>2800</v>
      </c>
      <c r="D58" s="14">
        <f t="shared" si="23"/>
        <v>1400</v>
      </c>
      <c r="E58" s="26">
        <f>VLOOKUP(B58,'TB - Expense Data'!$H$3:$N$758,7,FALSE)</f>
        <v>642.6</v>
      </c>
      <c r="F58" s="92">
        <f t="shared" si="24"/>
        <v>-757.4</v>
      </c>
      <c r="G58" s="48">
        <f t="shared" si="25"/>
        <v>-0.54100000000000004</v>
      </c>
      <c r="H58" s="131" t="s">
        <v>686</v>
      </c>
      <c r="I58" s="156">
        <f>VLOOKUP(H58,'TB - Expense Data'!$H$3:$N$758,3,FALSE)</f>
        <v>550</v>
      </c>
      <c r="J58" s="14">
        <f t="shared" si="26"/>
        <v>275</v>
      </c>
      <c r="K58" s="26">
        <f>VLOOKUP(H58,'TB - Expense Data'!$H$3:$N$758,7,FALSE)</f>
        <v>0</v>
      </c>
      <c r="L58" s="92">
        <f t="shared" si="27"/>
        <v>-275</v>
      </c>
      <c r="M58" s="48">
        <f t="shared" si="28"/>
        <v>-1</v>
      </c>
      <c r="N58" s="131" t="s">
        <v>741</v>
      </c>
      <c r="O58" s="156">
        <f>VLOOKUP(N58,'TB - Expense Data'!$H$3:$N$758,3,FALSE)</f>
        <v>4400</v>
      </c>
      <c r="P58" s="14">
        <f t="shared" si="29"/>
        <v>2200</v>
      </c>
      <c r="Q58" s="26">
        <f>VLOOKUP(N58,'TB - Expense Data'!$H$3:$N$758,7,FALSE)</f>
        <v>1142.4000000000001</v>
      </c>
      <c r="R58" s="92">
        <f t="shared" si="30"/>
        <v>-1057.5999999999999</v>
      </c>
      <c r="S58" s="48">
        <f t="shared" si="31"/>
        <v>-0.48072727272727267</v>
      </c>
      <c r="T58" s="131" t="s">
        <v>800</v>
      </c>
      <c r="U58" s="14">
        <f>VLOOKUP(T58,'TB - Expense Data'!$H$3:$N$758,3,FALSE)</f>
        <v>800</v>
      </c>
      <c r="V58" s="14">
        <f t="shared" si="32"/>
        <v>400</v>
      </c>
      <c r="W58" s="26">
        <f>VLOOKUP(T58,'TB - Expense Data'!$H$3:$N$758,7,FALSE)</f>
        <v>0</v>
      </c>
      <c r="X58" s="92">
        <f t="shared" si="33"/>
        <v>-400</v>
      </c>
      <c r="Y58" s="48">
        <f t="shared" si="34"/>
        <v>-1</v>
      </c>
      <c r="Z58" s="131" t="s">
        <v>979</v>
      </c>
      <c r="AA58" s="156">
        <f>VLOOKUP(Z58,'TB - Expense Data'!$H$3:$N$758,3,FALSE)</f>
        <v>0</v>
      </c>
      <c r="AB58" s="14">
        <f t="shared" si="35"/>
        <v>0</v>
      </c>
      <c r="AC58" s="26">
        <f>VLOOKUP(Z58,'TB - Expense Data'!$H$3:$N$758,7,FALSE)</f>
        <v>0</v>
      </c>
      <c r="AD58" s="92">
        <f t="shared" si="36"/>
        <v>0</v>
      </c>
      <c r="AE58" s="48" t="str">
        <f t="shared" si="37"/>
        <v xml:space="preserve">-    </v>
      </c>
      <c r="AF58" s="131" t="s">
        <v>979</v>
      </c>
      <c r="AG58" s="156">
        <f>VLOOKUP(AF58,'TB - Expense Data'!$H$3:$N$758,3,FALSE)</f>
        <v>0</v>
      </c>
      <c r="AH58" s="14">
        <f t="shared" si="38"/>
        <v>0</v>
      </c>
      <c r="AI58" s="26">
        <f>VLOOKUP(AF58,'TB - Expense Data'!$H$3:$N$758,7,FALSE)</f>
        <v>0</v>
      </c>
      <c r="AJ58" s="92">
        <f t="shared" si="39"/>
        <v>0</v>
      </c>
      <c r="AK58" s="48" t="str">
        <f t="shared" si="40"/>
        <v xml:space="preserve">-    </v>
      </c>
      <c r="AL58" s="156">
        <f t="shared" si="46"/>
        <v>8550</v>
      </c>
      <c r="AM58" s="14">
        <f t="shared" si="47"/>
        <v>4275</v>
      </c>
      <c r="AN58" s="26">
        <f t="shared" si="48"/>
        <v>1785</v>
      </c>
      <c r="AO58" s="239">
        <f t="shared" si="49"/>
        <v>-2490</v>
      </c>
      <c r="AP58" s="58">
        <f t="shared" si="50"/>
        <v>-0.58245614035087723</v>
      </c>
    </row>
    <row r="59" spans="1:42" ht="15.75" x14ac:dyDescent="0.25">
      <c r="A59" s="13" t="s">
        <v>180</v>
      </c>
      <c r="B59" s="131" t="s">
        <v>628</v>
      </c>
      <c r="C59" s="14">
        <f>VLOOKUP(B59,'TB - Expense Data'!$H$3:$N$758,3,FALSE)</f>
        <v>870</v>
      </c>
      <c r="D59" s="14">
        <f t="shared" si="23"/>
        <v>435</v>
      </c>
      <c r="E59" s="26">
        <f>VLOOKUP(B59,'TB - Expense Data'!$H$3:$N$758,7,FALSE)</f>
        <v>366.4</v>
      </c>
      <c r="F59" s="92">
        <f t="shared" si="24"/>
        <v>-68.600000000000023</v>
      </c>
      <c r="G59" s="48">
        <f t="shared" si="25"/>
        <v>-0.1577011494252874</v>
      </c>
      <c r="H59" s="131" t="s">
        <v>685</v>
      </c>
      <c r="I59" s="156">
        <f>VLOOKUP(H59,'TB - Expense Data'!$H$3:$N$758,3,FALSE)</f>
        <v>240</v>
      </c>
      <c r="J59" s="14">
        <f t="shared" si="26"/>
        <v>120</v>
      </c>
      <c r="K59" s="26">
        <f>VLOOKUP(H59,'TB - Expense Data'!$H$3:$N$758,7,FALSE)</f>
        <v>68.8</v>
      </c>
      <c r="L59" s="92">
        <f t="shared" si="27"/>
        <v>-51.2</v>
      </c>
      <c r="M59" s="48">
        <f t="shared" si="28"/>
        <v>-0.42666666666666669</v>
      </c>
      <c r="N59" s="131" t="s">
        <v>740</v>
      </c>
      <c r="O59" s="156">
        <f>VLOOKUP(N59,'TB - Expense Data'!$H$3:$N$758,3,FALSE)</f>
        <v>1560</v>
      </c>
      <c r="P59" s="14">
        <f t="shared" si="29"/>
        <v>780</v>
      </c>
      <c r="Q59" s="26">
        <f>VLOOKUP(N59,'TB - Expense Data'!$H$3:$N$758,7,FALSE)</f>
        <v>655.20000000000005</v>
      </c>
      <c r="R59" s="92">
        <f t="shared" si="30"/>
        <v>-124.79999999999995</v>
      </c>
      <c r="S59" s="48">
        <f t="shared" si="31"/>
        <v>-0.15999999999999995</v>
      </c>
      <c r="T59" s="131" t="s">
        <v>799</v>
      </c>
      <c r="U59" s="14">
        <f>VLOOKUP(T59,'TB - Expense Data'!$H$3:$N$758,3,FALSE)</f>
        <v>330</v>
      </c>
      <c r="V59" s="14">
        <f t="shared" si="32"/>
        <v>165</v>
      </c>
      <c r="W59" s="26">
        <f>VLOOKUP(T59,'TB - Expense Data'!$H$3:$N$758,7,FALSE)</f>
        <v>94.6</v>
      </c>
      <c r="X59" s="92">
        <f t="shared" si="33"/>
        <v>-70.400000000000006</v>
      </c>
      <c r="Y59" s="48">
        <f t="shared" si="34"/>
        <v>-0.42666666666666669</v>
      </c>
      <c r="Z59" s="131" t="s">
        <v>979</v>
      </c>
      <c r="AA59" s="156">
        <f>VLOOKUP(Z59,'TB - Expense Data'!$H$3:$N$758,3,FALSE)</f>
        <v>0</v>
      </c>
      <c r="AB59" s="14">
        <f t="shared" si="35"/>
        <v>0</v>
      </c>
      <c r="AC59" s="26">
        <f>VLOOKUP(Z59,'TB - Expense Data'!$H$3:$N$758,7,FALSE)</f>
        <v>0</v>
      </c>
      <c r="AD59" s="92">
        <f t="shared" si="36"/>
        <v>0</v>
      </c>
      <c r="AE59" s="48" t="str">
        <f t="shared" si="37"/>
        <v xml:space="preserve">-    </v>
      </c>
      <c r="AF59" s="131" t="s">
        <v>979</v>
      </c>
      <c r="AG59" s="156">
        <f>VLOOKUP(AF59,'TB - Expense Data'!$H$3:$N$758,3,FALSE)</f>
        <v>0</v>
      </c>
      <c r="AH59" s="14">
        <f t="shared" si="38"/>
        <v>0</v>
      </c>
      <c r="AI59" s="26">
        <f>VLOOKUP(AF59,'TB - Expense Data'!$H$3:$N$758,7,FALSE)</f>
        <v>0</v>
      </c>
      <c r="AJ59" s="92">
        <f t="shared" si="39"/>
        <v>0</v>
      </c>
      <c r="AK59" s="48" t="str">
        <f t="shared" si="40"/>
        <v xml:space="preserve">-    </v>
      </c>
      <c r="AL59" s="156">
        <f t="shared" si="46"/>
        <v>3000</v>
      </c>
      <c r="AM59" s="14">
        <f t="shared" si="47"/>
        <v>1500</v>
      </c>
      <c r="AN59" s="26">
        <f t="shared" si="48"/>
        <v>1185</v>
      </c>
      <c r="AO59" s="239">
        <f t="shared" si="49"/>
        <v>-315</v>
      </c>
      <c r="AP59" s="58">
        <f t="shared" si="50"/>
        <v>-0.21</v>
      </c>
    </row>
    <row r="60" spans="1:42" ht="15.75" x14ac:dyDescent="0.25">
      <c r="A60" s="13" t="s">
        <v>169</v>
      </c>
      <c r="B60" s="131" t="s">
        <v>633</v>
      </c>
      <c r="C60" s="14">
        <f>VLOOKUP(B60,'TB - Expense Data'!$H$3:$N$758,3,FALSE)</f>
        <v>15525</v>
      </c>
      <c r="D60" s="14">
        <f t="shared" si="23"/>
        <v>7762.5</v>
      </c>
      <c r="E60" s="26">
        <f>VLOOKUP(B60,'TB - Expense Data'!$H$3:$N$758,7,FALSE)</f>
        <v>2113.16</v>
      </c>
      <c r="F60" s="92">
        <f t="shared" si="24"/>
        <v>-5649.34</v>
      </c>
      <c r="G60" s="48">
        <f t="shared" si="25"/>
        <v>-0.72777326892109506</v>
      </c>
      <c r="H60" s="131" t="s">
        <v>690</v>
      </c>
      <c r="I60" s="156">
        <f>VLOOKUP(H60,'TB - Expense Data'!$H$3:$N$758,3,FALSE)</f>
        <v>2950</v>
      </c>
      <c r="J60" s="14">
        <f t="shared" si="26"/>
        <v>1475</v>
      </c>
      <c r="K60" s="26">
        <f>VLOOKUP(H60,'TB - Expense Data'!$H$3:$N$758,7,FALSE)</f>
        <v>454.93</v>
      </c>
      <c r="L60" s="92">
        <f t="shared" si="27"/>
        <v>-1020.0699999999999</v>
      </c>
      <c r="M60" s="48">
        <f t="shared" si="28"/>
        <v>-0.6915728813559322</v>
      </c>
      <c r="N60" s="131" t="s">
        <v>745</v>
      </c>
      <c r="O60" s="156">
        <f>VLOOKUP(N60,'TB - Expense Data'!$H$3:$N$758,3,FALSE)</f>
        <v>25500</v>
      </c>
      <c r="P60" s="14">
        <f t="shared" si="29"/>
        <v>12750</v>
      </c>
      <c r="Q60" s="26">
        <f>VLOOKUP(N60,'TB - Expense Data'!$H$3:$N$758,7,FALSE)</f>
        <v>3780.36</v>
      </c>
      <c r="R60" s="92">
        <f t="shared" si="30"/>
        <v>-8969.64</v>
      </c>
      <c r="S60" s="48">
        <f t="shared" si="31"/>
        <v>-0.70350117647058819</v>
      </c>
      <c r="T60" s="131" t="s">
        <v>804</v>
      </c>
      <c r="U60" s="14">
        <f>VLOOKUP(T60,'TB - Expense Data'!$H$3:$N$758,3,FALSE)</f>
        <v>4600</v>
      </c>
      <c r="V60" s="14">
        <f t="shared" si="32"/>
        <v>2300</v>
      </c>
      <c r="W60" s="26">
        <f>VLOOKUP(T60,'TB - Expense Data'!$H$3:$N$758,7,FALSE)</f>
        <v>625.71</v>
      </c>
      <c r="X60" s="92">
        <f t="shared" si="33"/>
        <v>-1674.29</v>
      </c>
      <c r="Y60" s="48">
        <f t="shared" si="34"/>
        <v>-0.72795217391304345</v>
      </c>
      <c r="Z60" s="131" t="s">
        <v>979</v>
      </c>
      <c r="AA60" s="156">
        <f>VLOOKUP(Z60,'TB - Expense Data'!$H$3:$N$758,3,FALSE)</f>
        <v>0</v>
      </c>
      <c r="AB60" s="14">
        <f t="shared" si="35"/>
        <v>0</v>
      </c>
      <c r="AC60" s="26">
        <f>VLOOKUP(Z60,'TB - Expense Data'!$H$3:$N$758,7,FALSE)</f>
        <v>0</v>
      </c>
      <c r="AD60" s="92">
        <f t="shared" si="36"/>
        <v>0</v>
      </c>
      <c r="AE60" s="48" t="str">
        <f t="shared" si="37"/>
        <v xml:space="preserve">-    </v>
      </c>
      <c r="AF60" s="131" t="s">
        <v>979</v>
      </c>
      <c r="AG60" s="156">
        <f>VLOOKUP(AF60,'TB - Expense Data'!$H$3:$N$758,3,FALSE)</f>
        <v>0</v>
      </c>
      <c r="AH60" s="14">
        <f t="shared" si="38"/>
        <v>0</v>
      </c>
      <c r="AI60" s="26">
        <f>VLOOKUP(AF60,'TB - Expense Data'!$H$3:$N$758,7,FALSE)</f>
        <v>0</v>
      </c>
      <c r="AJ60" s="92">
        <f t="shared" si="39"/>
        <v>0</v>
      </c>
      <c r="AK60" s="48" t="str">
        <f t="shared" si="40"/>
        <v xml:space="preserve">-    </v>
      </c>
      <c r="AL60" s="156">
        <f t="shared" si="46"/>
        <v>48575</v>
      </c>
      <c r="AM60" s="14">
        <f t="shared" si="47"/>
        <v>24287.5</v>
      </c>
      <c r="AN60" s="26">
        <f t="shared" si="48"/>
        <v>6974.16</v>
      </c>
      <c r="AO60" s="239">
        <f t="shared" si="49"/>
        <v>-17313.34</v>
      </c>
      <c r="AP60" s="58">
        <f t="shared" si="50"/>
        <v>-0.71284981986618634</v>
      </c>
    </row>
    <row r="61" spans="1:42" ht="15.75" x14ac:dyDescent="0.25">
      <c r="A61" s="13" t="s">
        <v>53</v>
      </c>
      <c r="B61" s="131" t="s">
        <v>663</v>
      </c>
      <c r="C61" s="14">
        <f>VLOOKUP(B61,'TB - Expense Data'!$H$3:$N$758,3,FALSE)</f>
        <v>3500</v>
      </c>
      <c r="D61" s="14">
        <f t="shared" si="23"/>
        <v>1750</v>
      </c>
      <c r="E61" s="26">
        <f>VLOOKUP(B61,'TB - Expense Data'!$H$3:$N$758,7,FALSE)</f>
        <v>1292.3</v>
      </c>
      <c r="F61" s="92">
        <f t="shared" si="24"/>
        <v>-457.70000000000005</v>
      </c>
      <c r="G61" s="48">
        <f t="shared" si="25"/>
        <v>-0.26154285714285719</v>
      </c>
      <c r="H61" s="131" t="s">
        <v>720</v>
      </c>
      <c r="I61" s="156">
        <f>VLOOKUP(H61,'TB - Expense Data'!$H$3:$N$758,3,FALSE)</f>
        <v>950</v>
      </c>
      <c r="J61" s="14">
        <f t="shared" si="26"/>
        <v>475</v>
      </c>
      <c r="K61" s="26">
        <f>VLOOKUP(H61,'TB - Expense Data'!$H$3:$N$758,7,FALSE)</f>
        <v>74.17</v>
      </c>
      <c r="L61" s="92">
        <f t="shared" si="27"/>
        <v>-400.83</v>
      </c>
      <c r="M61" s="48">
        <f t="shared" si="28"/>
        <v>-0.8438526315789473</v>
      </c>
      <c r="N61" s="131" t="s">
        <v>779</v>
      </c>
      <c r="O61" s="156">
        <f>VLOOKUP(N61,'TB - Expense Data'!$H$3:$N$758,3,FALSE)</f>
        <v>5750</v>
      </c>
      <c r="P61" s="14">
        <f t="shared" si="29"/>
        <v>2875</v>
      </c>
      <c r="Q61" s="26">
        <f>VLOOKUP(N61,'TB - Expense Data'!$H$3:$N$758,7,FALSE)</f>
        <v>2301.5300000000002</v>
      </c>
      <c r="R61" s="92">
        <f t="shared" si="30"/>
        <v>-573.4699999999998</v>
      </c>
      <c r="S61" s="48">
        <f t="shared" si="31"/>
        <v>-0.19946782608695646</v>
      </c>
      <c r="T61" s="131" t="s">
        <v>836</v>
      </c>
      <c r="U61" s="14">
        <f>VLOOKUP(T61,'TB - Expense Data'!$H$3:$N$758,3,FALSE)</f>
        <v>1450</v>
      </c>
      <c r="V61" s="14">
        <f t="shared" si="32"/>
        <v>725</v>
      </c>
      <c r="W61" s="26">
        <f>VLOOKUP(T61,'TB - Expense Data'!$H$3:$N$758,7,FALSE)</f>
        <v>101.98</v>
      </c>
      <c r="X61" s="92">
        <f t="shared" si="33"/>
        <v>-623.02</v>
      </c>
      <c r="Y61" s="48">
        <f t="shared" si="34"/>
        <v>-0.85933793103448275</v>
      </c>
      <c r="Z61" s="131" t="s">
        <v>979</v>
      </c>
      <c r="AA61" s="156">
        <f>VLOOKUP(Z61,'TB - Expense Data'!$H$3:$N$758,3,FALSE)</f>
        <v>0</v>
      </c>
      <c r="AB61" s="14">
        <f t="shared" si="35"/>
        <v>0</v>
      </c>
      <c r="AC61" s="26">
        <f>VLOOKUP(Z61,'TB - Expense Data'!$H$3:$N$758,7,FALSE)</f>
        <v>0</v>
      </c>
      <c r="AD61" s="92">
        <f t="shared" si="36"/>
        <v>0</v>
      </c>
      <c r="AE61" s="48" t="str">
        <f t="shared" si="37"/>
        <v xml:space="preserve">-    </v>
      </c>
      <c r="AF61" s="131" t="s">
        <v>979</v>
      </c>
      <c r="AG61" s="156">
        <f>VLOOKUP(AF61,'TB - Expense Data'!$H$3:$N$758,3,FALSE)</f>
        <v>0</v>
      </c>
      <c r="AH61" s="14">
        <f t="shared" si="38"/>
        <v>0</v>
      </c>
      <c r="AI61" s="26">
        <f>VLOOKUP(AF61,'TB - Expense Data'!$H$3:$N$758,7,FALSE)</f>
        <v>0</v>
      </c>
      <c r="AJ61" s="92">
        <f t="shared" si="39"/>
        <v>0</v>
      </c>
      <c r="AK61" s="48" t="str">
        <f t="shared" si="40"/>
        <v xml:space="preserve">-    </v>
      </c>
      <c r="AL61" s="156">
        <f t="shared" si="46"/>
        <v>11650</v>
      </c>
      <c r="AM61" s="14">
        <f t="shared" si="47"/>
        <v>5825</v>
      </c>
      <c r="AN61" s="26">
        <f t="shared" si="48"/>
        <v>3769.98</v>
      </c>
      <c r="AO61" s="239">
        <f t="shared" si="49"/>
        <v>-2055.02</v>
      </c>
      <c r="AP61" s="58">
        <f t="shared" si="50"/>
        <v>-0.35279313304721027</v>
      </c>
    </row>
    <row r="62" spans="1:42" ht="15.75" x14ac:dyDescent="0.25">
      <c r="A62" s="13" t="s">
        <v>71</v>
      </c>
      <c r="B62" s="131" t="s">
        <v>659</v>
      </c>
      <c r="C62" s="14">
        <f>VLOOKUP(B62,'TB - Expense Data'!$H$3:$N$758,3,FALSE)</f>
        <v>1450</v>
      </c>
      <c r="D62" s="14">
        <f t="shared" si="23"/>
        <v>725</v>
      </c>
      <c r="E62" s="26">
        <f>VLOOKUP(B62,'TB - Expense Data'!$H$3:$N$758,7,FALSE)</f>
        <v>370</v>
      </c>
      <c r="F62" s="92">
        <f t="shared" si="24"/>
        <v>-355</v>
      </c>
      <c r="G62" s="48">
        <f t="shared" si="25"/>
        <v>-0.48965517241379308</v>
      </c>
      <c r="H62" s="131" t="s">
        <v>716</v>
      </c>
      <c r="I62" s="156">
        <f>VLOOKUP(H62,'TB - Expense Data'!$H$3:$N$758,3,FALSE)</f>
        <v>400</v>
      </c>
      <c r="J62" s="14">
        <f t="shared" si="26"/>
        <v>200</v>
      </c>
      <c r="K62" s="26">
        <f>VLOOKUP(H62,'TB - Expense Data'!$H$3:$N$758,7,FALSE)</f>
        <v>102.07</v>
      </c>
      <c r="L62" s="92">
        <f t="shared" si="27"/>
        <v>-97.93</v>
      </c>
      <c r="M62" s="48">
        <f t="shared" si="28"/>
        <v>-0.48965000000000003</v>
      </c>
      <c r="N62" s="131" t="s">
        <v>775</v>
      </c>
      <c r="O62" s="156">
        <f>VLOOKUP(N62,'TB - Expense Data'!$H$3:$N$758,3,FALSE)</f>
        <v>2600</v>
      </c>
      <c r="P62" s="14">
        <f t="shared" si="29"/>
        <v>1300</v>
      </c>
      <c r="Q62" s="26">
        <f>VLOOKUP(N62,'TB - Expense Data'!$H$3:$N$758,7,FALSE)</f>
        <v>663.44</v>
      </c>
      <c r="R62" s="92">
        <f t="shared" si="30"/>
        <v>-636.55999999999995</v>
      </c>
      <c r="S62" s="48">
        <f t="shared" si="31"/>
        <v>-0.48966153846153843</v>
      </c>
      <c r="T62" s="131" t="s">
        <v>832</v>
      </c>
      <c r="U62" s="14">
        <f>VLOOKUP(T62,'TB - Expense Data'!$H$3:$N$758,3,FALSE)</f>
        <v>550</v>
      </c>
      <c r="V62" s="14">
        <f t="shared" si="32"/>
        <v>275</v>
      </c>
      <c r="W62" s="26">
        <f>VLOOKUP(T62,'TB - Expense Data'!$H$3:$N$758,7,FALSE)</f>
        <v>140.34</v>
      </c>
      <c r="X62" s="92">
        <f t="shared" si="33"/>
        <v>-134.66</v>
      </c>
      <c r="Y62" s="48">
        <f t="shared" si="34"/>
        <v>-0.48967272727272726</v>
      </c>
      <c r="Z62" s="131" t="s">
        <v>979</v>
      </c>
      <c r="AA62" s="156">
        <f>VLOOKUP(Z62,'TB - Expense Data'!$H$3:$N$758,3,FALSE)</f>
        <v>0</v>
      </c>
      <c r="AB62" s="14">
        <f t="shared" si="35"/>
        <v>0</v>
      </c>
      <c r="AC62" s="26">
        <f>VLOOKUP(Z62,'TB - Expense Data'!$H$3:$N$758,7,FALSE)</f>
        <v>0</v>
      </c>
      <c r="AD62" s="92">
        <f t="shared" si="36"/>
        <v>0</v>
      </c>
      <c r="AE62" s="48" t="str">
        <f t="shared" si="37"/>
        <v xml:space="preserve">-    </v>
      </c>
      <c r="AF62" s="131" t="s">
        <v>979</v>
      </c>
      <c r="AG62" s="156">
        <f>VLOOKUP(AF62,'TB - Expense Data'!$H$3:$N$758,3,FALSE)</f>
        <v>0</v>
      </c>
      <c r="AH62" s="14">
        <f t="shared" si="38"/>
        <v>0</v>
      </c>
      <c r="AI62" s="26">
        <f>VLOOKUP(AF62,'TB - Expense Data'!$H$3:$N$758,7,FALSE)</f>
        <v>0</v>
      </c>
      <c r="AJ62" s="92">
        <f t="shared" si="39"/>
        <v>0</v>
      </c>
      <c r="AK62" s="48" t="str">
        <f t="shared" si="40"/>
        <v xml:space="preserve">-    </v>
      </c>
      <c r="AL62" s="156">
        <f t="shared" si="46"/>
        <v>5000</v>
      </c>
      <c r="AM62" s="14">
        <f t="shared" si="47"/>
        <v>2500</v>
      </c>
      <c r="AN62" s="26">
        <f t="shared" si="48"/>
        <v>1275.8499999999999</v>
      </c>
      <c r="AO62" s="239">
        <f t="shared" si="49"/>
        <v>-1224.1500000000001</v>
      </c>
      <c r="AP62" s="58">
        <f t="shared" si="50"/>
        <v>-0.48966000000000004</v>
      </c>
    </row>
    <row r="63" spans="1:42" ht="15.75" x14ac:dyDescent="0.25">
      <c r="A63" s="13" t="s">
        <v>54</v>
      </c>
      <c r="B63" s="131" t="s">
        <v>648</v>
      </c>
      <c r="C63" s="14">
        <f>VLOOKUP(B63,'TB - Expense Data'!$H$3:$N$758,3,FALSE)</f>
        <v>8400</v>
      </c>
      <c r="D63" s="14">
        <f t="shared" si="23"/>
        <v>4200</v>
      </c>
      <c r="E63" s="26">
        <f>VLOOKUP(B63,'TB - Expense Data'!$H$3:$N$758,7,FALSE)</f>
        <v>692.83</v>
      </c>
      <c r="F63" s="92">
        <f t="shared" si="24"/>
        <v>-3507.17</v>
      </c>
      <c r="G63" s="48">
        <f t="shared" si="25"/>
        <v>-0.83504047619047617</v>
      </c>
      <c r="H63" s="131" t="s">
        <v>705</v>
      </c>
      <c r="I63" s="156">
        <f>VLOOKUP(H63,'TB - Expense Data'!$H$3:$N$758,3,FALSE)</f>
        <v>2500</v>
      </c>
      <c r="J63" s="14">
        <f t="shared" si="26"/>
        <v>1250</v>
      </c>
      <c r="K63" s="26">
        <f>VLOOKUP(H63,'TB - Expense Data'!$H$3:$N$758,7,FALSE)</f>
        <v>191.13</v>
      </c>
      <c r="L63" s="92">
        <f t="shared" si="27"/>
        <v>-1058.8699999999999</v>
      </c>
      <c r="M63" s="48">
        <f t="shared" si="28"/>
        <v>-0.84709599999999996</v>
      </c>
      <c r="N63" s="131" t="s">
        <v>764</v>
      </c>
      <c r="O63" s="156">
        <f>VLOOKUP(N63,'TB - Expense Data'!$H$3:$N$758,3,FALSE)</f>
        <v>15000</v>
      </c>
      <c r="P63" s="14">
        <f t="shared" si="29"/>
        <v>7500</v>
      </c>
      <c r="Q63" s="26">
        <f>VLOOKUP(N63,'TB - Expense Data'!$H$3:$N$758,7,FALSE)</f>
        <v>1242.32</v>
      </c>
      <c r="R63" s="92">
        <f t="shared" si="30"/>
        <v>-6257.68</v>
      </c>
      <c r="S63" s="48">
        <f t="shared" si="31"/>
        <v>-0.8343573333333334</v>
      </c>
      <c r="T63" s="131" t="s">
        <v>821</v>
      </c>
      <c r="U63" s="14">
        <f>VLOOKUP(T63,'TB - Expense Data'!$H$3:$N$758,3,FALSE)</f>
        <v>3100</v>
      </c>
      <c r="V63" s="14">
        <f t="shared" si="32"/>
        <v>1550</v>
      </c>
      <c r="W63" s="26">
        <f>VLOOKUP(T63,'TB - Expense Data'!$H$3:$N$758,7,FALSE)</f>
        <v>262.8</v>
      </c>
      <c r="X63" s="92">
        <f t="shared" si="33"/>
        <v>-1287.2</v>
      </c>
      <c r="Y63" s="48">
        <f t="shared" si="34"/>
        <v>-0.83045161290322589</v>
      </c>
      <c r="Z63" s="131" t="s">
        <v>979</v>
      </c>
      <c r="AA63" s="156">
        <f>VLOOKUP(Z63,'TB - Expense Data'!$H$3:$N$758,3,FALSE)</f>
        <v>0</v>
      </c>
      <c r="AB63" s="14">
        <f t="shared" si="35"/>
        <v>0</v>
      </c>
      <c r="AC63" s="26">
        <f>VLOOKUP(Z63,'TB - Expense Data'!$H$3:$N$758,7,FALSE)</f>
        <v>0</v>
      </c>
      <c r="AD63" s="92">
        <f t="shared" si="36"/>
        <v>0</v>
      </c>
      <c r="AE63" s="48" t="str">
        <f t="shared" si="37"/>
        <v xml:space="preserve">-    </v>
      </c>
      <c r="AF63" s="131" t="s">
        <v>979</v>
      </c>
      <c r="AG63" s="156">
        <f>VLOOKUP(AF63,'TB - Expense Data'!$H$3:$N$758,3,FALSE)</f>
        <v>0</v>
      </c>
      <c r="AH63" s="14">
        <f t="shared" si="38"/>
        <v>0</v>
      </c>
      <c r="AI63" s="26">
        <f>VLOOKUP(AF63,'TB - Expense Data'!$H$3:$N$758,7,FALSE)</f>
        <v>0</v>
      </c>
      <c r="AJ63" s="92">
        <f t="shared" si="39"/>
        <v>0</v>
      </c>
      <c r="AK63" s="48" t="str">
        <f t="shared" si="40"/>
        <v xml:space="preserve">-    </v>
      </c>
      <c r="AL63" s="156">
        <f t="shared" si="46"/>
        <v>29000</v>
      </c>
      <c r="AM63" s="14">
        <f t="shared" si="47"/>
        <v>14500</v>
      </c>
      <c r="AN63" s="26">
        <f t="shared" si="48"/>
        <v>2389.08</v>
      </c>
      <c r="AO63" s="239">
        <f t="shared" si="49"/>
        <v>-12110.92</v>
      </c>
      <c r="AP63" s="58">
        <f t="shared" si="50"/>
        <v>-0.8352358620689655</v>
      </c>
    </row>
    <row r="64" spans="1:42" ht="15.75" x14ac:dyDescent="0.25">
      <c r="A64" s="13" t="s">
        <v>170</v>
      </c>
      <c r="B64" s="131" t="s">
        <v>653</v>
      </c>
      <c r="C64" s="14">
        <f>VLOOKUP(B64,'TB - Expense Data'!$H$3:$N$758,3,FALSE)</f>
        <v>16240</v>
      </c>
      <c r="D64" s="14">
        <f t="shared" si="23"/>
        <v>8120</v>
      </c>
      <c r="E64" s="26">
        <f>VLOOKUP(B64,'TB - Expense Data'!$H$3:$N$758,7,FALSE)</f>
        <v>8089.56</v>
      </c>
      <c r="F64" s="92">
        <f t="shared" si="24"/>
        <v>-30.4399999999996</v>
      </c>
      <c r="G64" s="48">
        <f t="shared" si="25"/>
        <v>-3.7487684729063547E-3</v>
      </c>
      <c r="H64" s="131" t="s">
        <v>710</v>
      </c>
      <c r="I64" s="156">
        <f>VLOOKUP(H64,'TB - Expense Data'!$H$3:$N$758,3,FALSE)</f>
        <v>4480</v>
      </c>
      <c r="J64" s="14">
        <f t="shared" si="26"/>
        <v>2240</v>
      </c>
      <c r="K64" s="26">
        <f>VLOOKUP(H64,'TB - Expense Data'!$H$3:$N$758,7,FALSE)</f>
        <v>1487.24</v>
      </c>
      <c r="L64" s="92">
        <f t="shared" si="27"/>
        <v>-752.76</v>
      </c>
      <c r="M64" s="48">
        <f t="shared" si="28"/>
        <v>-0.33605357142857145</v>
      </c>
      <c r="N64" s="131" t="s">
        <v>769</v>
      </c>
      <c r="O64" s="156">
        <f>VLOOKUP(N64,'TB - Expense Data'!$H$3:$N$758,3,FALSE)</f>
        <v>29120</v>
      </c>
      <c r="P64" s="14">
        <f t="shared" si="29"/>
        <v>14560</v>
      </c>
      <c r="Q64" s="26">
        <f>VLOOKUP(N64,'TB - Expense Data'!$H$3:$N$758,7,FALSE)</f>
        <v>13145.19</v>
      </c>
      <c r="R64" s="92">
        <f t="shared" si="30"/>
        <v>-1414.8099999999995</v>
      </c>
      <c r="S64" s="48">
        <f t="shared" si="31"/>
        <v>-9.7171016483516448E-2</v>
      </c>
      <c r="T64" s="131" t="s">
        <v>826</v>
      </c>
      <c r="U64" s="14">
        <f>VLOOKUP(T64,'TB - Expense Data'!$H$3:$N$758,3,FALSE)</f>
        <v>6160</v>
      </c>
      <c r="V64" s="14">
        <f t="shared" si="32"/>
        <v>3080</v>
      </c>
      <c r="W64" s="26">
        <f>VLOOKUP(T64,'TB - Expense Data'!$H$3:$N$758,7,FALSE)</f>
        <v>8502.0499999999993</v>
      </c>
      <c r="X64" s="92">
        <f t="shared" si="33"/>
        <v>5422.0499999999993</v>
      </c>
      <c r="Y64" s="48">
        <f t="shared" si="34"/>
        <v>1.7604058441558439</v>
      </c>
      <c r="Z64" s="131" t="s">
        <v>979</v>
      </c>
      <c r="AA64" s="156">
        <f>VLOOKUP(Z64,'TB - Expense Data'!$H$3:$N$758,3,FALSE)</f>
        <v>0</v>
      </c>
      <c r="AB64" s="14">
        <f t="shared" si="35"/>
        <v>0</v>
      </c>
      <c r="AC64" s="26">
        <f>VLOOKUP(Z64,'TB - Expense Data'!$H$3:$N$758,7,FALSE)</f>
        <v>0</v>
      </c>
      <c r="AD64" s="92">
        <f t="shared" si="36"/>
        <v>0</v>
      </c>
      <c r="AE64" s="48" t="str">
        <f t="shared" si="37"/>
        <v xml:space="preserve">-    </v>
      </c>
      <c r="AF64" s="131" t="s">
        <v>979</v>
      </c>
      <c r="AG64" s="156">
        <f>VLOOKUP(AF64,'TB - Expense Data'!$H$3:$N$758,3,FALSE)</f>
        <v>0</v>
      </c>
      <c r="AH64" s="14">
        <f t="shared" si="38"/>
        <v>0</v>
      </c>
      <c r="AI64" s="26">
        <f>VLOOKUP(AF64,'TB - Expense Data'!$H$3:$N$758,7,FALSE)</f>
        <v>0</v>
      </c>
      <c r="AJ64" s="92">
        <f t="shared" si="39"/>
        <v>0</v>
      </c>
      <c r="AK64" s="48" t="str">
        <f t="shared" si="40"/>
        <v xml:space="preserve">-    </v>
      </c>
      <c r="AL64" s="156">
        <f t="shared" si="46"/>
        <v>56000</v>
      </c>
      <c r="AM64" s="14">
        <f t="shared" si="47"/>
        <v>28000</v>
      </c>
      <c r="AN64" s="26">
        <f t="shared" si="48"/>
        <v>31224.04</v>
      </c>
      <c r="AO64" s="239">
        <f t="shared" si="49"/>
        <v>3224.0400000000009</v>
      </c>
      <c r="AP64" s="58">
        <f t="shared" si="50"/>
        <v>0.11514428571428574</v>
      </c>
    </row>
    <row r="65" spans="1:42" ht="15.75" x14ac:dyDescent="0.25">
      <c r="A65" s="13" t="s">
        <v>1431</v>
      </c>
      <c r="B65" s="131" t="s">
        <v>619</v>
      </c>
      <c r="C65" s="14">
        <f>VLOOKUP(B65,'TB - Expense Data'!$H$3:$N$758,3,FALSE)</f>
        <v>15950</v>
      </c>
      <c r="D65" s="14">
        <f t="shared" si="23"/>
        <v>7975</v>
      </c>
      <c r="E65" s="26">
        <f>VLOOKUP(B65,'TB - Expense Data'!$H$3:$N$758,7,FALSE)</f>
        <v>9425.76</v>
      </c>
      <c r="F65" s="92">
        <f t="shared" si="24"/>
        <v>1450.7600000000002</v>
      </c>
      <c r="G65" s="48">
        <f t="shared" si="25"/>
        <v>0.18191347962382448</v>
      </c>
      <c r="H65" s="131" t="s">
        <v>677</v>
      </c>
      <c r="I65" s="156">
        <f>VLOOKUP(H65,'TB - Expense Data'!$H$3:$N$758,3,FALSE)</f>
        <v>4400</v>
      </c>
      <c r="J65" s="14">
        <f t="shared" si="26"/>
        <v>2200</v>
      </c>
      <c r="K65" s="26">
        <f>VLOOKUP(H65,'TB - Expense Data'!$H$3:$N$758,7,FALSE)</f>
        <v>2599.8000000000002</v>
      </c>
      <c r="L65" s="92">
        <f t="shared" si="27"/>
        <v>399.80000000000018</v>
      </c>
      <c r="M65" s="48">
        <f t="shared" si="28"/>
        <v>0.18172727272727282</v>
      </c>
      <c r="N65" s="131" t="s">
        <v>732</v>
      </c>
      <c r="O65" s="156">
        <f>VLOOKUP(N65,'TB - Expense Data'!$H$3:$N$758,3,FALSE)</f>
        <v>28600</v>
      </c>
      <c r="P65" s="14">
        <f t="shared" si="29"/>
        <v>14300</v>
      </c>
      <c r="Q65" s="26">
        <f>VLOOKUP(N65,'TB - Expense Data'!$H$3:$N$758,7,FALSE)</f>
        <v>16899.13</v>
      </c>
      <c r="R65" s="92">
        <f t="shared" si="30"/>
        <v>2599.130000000001</v>
      </c>
      <c r="S65" s="48">
        <f t="shared" si="31"/>
        <v>0.18175734265734272</v>
      </c>
      <c r="T65" s="131" t="s">
        <v>791</v>
      </c>
      <c r="U65" s="14">
        <f>VLOOKUP(T65,'TB - Expense Data'!$H$3:$N$758,3,FALSE)</f>
        <v>6050</v>
      </c>
      <c r="V65" s="14">
        <f t="shared" si="32"/>
        <v>3025</v>
      </c>
      <c r="W65" s="26">
        <f>VLOOKUP(T65,'TB - Expense Data'!$H$3:$N$758,7,FALSE)</f>
        <v>3581.8</v>
      </c>
      <c r="X65" s="92">
        <f t="shared" si="33"/>
        <v>556.80000000000018</v>
      </c>
      <c r="Y65" s="48">
        <f t="shared" si="34"/>
        <v>0.18406611570247941</v>
      </c>
      <c r="Z65" s="131" t="s">
        <v>979</v>
      </c>
      <c r="AA65" s="156">
        <f>VLOOKUP(Z65,'TB - Expense Data'!$H$3:$N$758,3,FALSE)</f>
        <v>0</v>
      </c>
      <c r="AB65" s="14">
        <f t="shared" si="35"/>
        <v>0</v>
      </c>
      <c r="AC65" s="26">
        <f>VLOOKUP(Z65,'TB - Expense Data'!$H$3:$N$758,7,FALSE)</f>
        <v>0</v>
      </c>
      <c r="AD65" s="92">
        <f t="shared" si="36"/>
        <v>0</v>
      </c>
      <c r="AE65" s="48" t="str">
        <f t="shared" si="37"/>
        <v xml:space="preserve">-    </v>
      </c>
      <c r="AF65" s="131" t="s">
        <v>979</v>
      </c>
      <c r="AG65" s="156">
        <f>VLOOKUP(AF65,'TB - Expense Data'!$H$3:$N$758,3,FALSE)</f>
        <v>0</v>
      </c>
      <c r="AH65" s="14">
        <f t="shared" si="38"/>
        <v>0</v>
      </c>
      <c r="AI65" s="26">
        <f>VLOOKUP(AF65,'TB - Expense Data'!$H$3:$N$758,7,FALSE)</f>
        <v>0</v>
      </c>
      <c r="AJ65" s="92">
        <f t="shared" si="39"/>
        <v>0</v>
      </c>
      <c r="AK65" s="48" t="str">
        <f t="shared" si="40"/>
        <v xml:space="preserve">-    </v>
      </c>
      <c r="AL65" s="156">
        <f t="shared" si="46"/>
        <v>55000</v>
      </c>
      <c r="AM65" s="14">
        <f t="shared" si="47"/>
        <v>27500</v>
      </c>
      <c r="AN65" s="26">
        <f t="shared" si="48"/>
        <v>32506.49</v>
      </c>
      <c r="AO65" s="239">
        <f t="shared" si="49"/>
        <v>5006.4900000000016</v>
      </c>
      <c r="AP65" s="58">
        <f t="shared" si="50"/>
        <v>0.18205418181818186</v>
      </c>
    </row>
    <row r="66" spans="1:42" ht="15.75" x14ac:dyDescent="0.25">
      <c r="A66" s="13" t="s">
        <v>172</v>
      </c>
      <c r="B66" s="131" t="s">
        <v>620</v>
      </c>
      <c r="C66" s="14">
        <f>VLOOKUP(B66,'TB - Expense Data'!$H$3:$N$758,3,FALSE)</f>
        <v>348</v>
      </c>
      <c r="D66" s="14">
        <f t="shared" si="23"/>
        <v>174</v>
      </c>
      <c r="E66" s="26">
        <f>VLOOKUP(B66,'TB - Expense Data'!$H$3:$N$758,7,FALSE)</f>
        <v>0</v>
      </c>
      <c r="F66" s="92">
        <f t="shared" si="24"/>
        <v>-174</v>
      </c>
      <c r="G66" s="48">
        <f t="shared" si="25"/>
        <v>-1</v>
      </c>
      <c r="H66" s="131" t="s">
        <v>678</v>
      </c>
      <c r="I66" s="156">
        <f>VLOOKUP(H66,'TB - Expense Data'!$H$3:$N$758,3,FALSE)</f>
        <v>96</v>
      </c>
      <c r="J66" s="14">
        <f t="shared" si="26"/>
        <v>48</v>
      </c>
      <c r="K66" s="26">
        <f>VLOOKUP(H66,'TB - Expense Data'!$H$3:$N$758,7,FALSE)</f>
        <v>0</v>
      </c>
      <c r="L66" s="92">
        <f t="shared" si="27"/>
        <v>-48</v>
      </c>
      <c r="M66" s="48">
        <f t="shared" si="28"/>
        <v>-1</v>
      </c>
      <c r="N66" s="131" t="s">
        <v>733</v>
      </c>
      <c r="O66" s="156">
        <f>VLOOKUP(N66,'TB - Expense Data'!$H$3:$N$758,3,FALSE)</f>
        <v>624</v>
      </c>
      <c r="P66" s="14">
        <f t="shared" si="29"/>
        <v>312</v>
      </c>
      <c r="Q66" s="26">
        <f>VLOOKUP(N66,'TB - Expense Data'!$H$3:$N$758,7,FALSE)</f>
        <v>0</v>
      </c>
      <c r="R66" s="92">
        <f t="shared" si="30"/>
        <v>-312</v>
      </c>
      <c r="S66" s="48">
        <f t="shared" si="31"/>
        <v>-1</v>
      </c>
      <c r="T66" s="131" t="s">
        <v>792</v>
      </c>
      <c r="U66" s="14">
        <f>VLOOKUP(T66,'TB - Expense Data'!$H$3:$N$758,3,FALSE)</f>
        <v>132</v>
      </c>
      <c r="V66" s="14">
        <f t="shared" si="32"/>
        <v>66</v>
      </c>
      <c r="W66" s="26">
        <f>VLOOKUP(T66,'TB - Expense Data'!$H$3:$N$758,7,FALSE)</f>
        <v>0</v>
      </c>
      <c r="X66" s="92">
        <f t="shared" si="33"/>
        <v>-66</v>
      </c>
      <c r="Y66" s="48">
        <f t="shared" si="34"/>
        <v>-1</v>
      </c>
      <c r="Z66" s="131" t="s">
        <v>979</v>
      </c>
      <c r="AA66" s="156">
        <f>VLOOKUP(Z66,'TB - Expense Data'!$H$3:$N$758,3,FALSE)</f>
        <v>0</v>
      </c>
      <c r="AB66" s="14">
        <f t="shared" si="35"/>
        <v>0</v>
      </c>
      <c r="AC66" s="26">
        <f>VLOOKUP(Z66,'TB - Expense Data'!$H$3:$N$758,7,FALSE)</f>
        <v>0</v>
      </c>
      <c r="AD66" s="92">
        <f t="shared" si="36"/>
        <v>0</v>
      </c>
      <c r="AE66" s="48" t="str">
        <f t="shared" si="37"/>
        <v xml:space="preserve">-    </v>
      </c>
      <c r="AF66" s="131" t="s">
        <v>979</v>
      </c>
      <c r="AG66" s="156">
        <f>VLOOKUP(AF66,'TB - Expense Data'!$H$3:$N$758,3,FALSE)</f>
        <v>0</v>
      </c>
      <c r="AH66" s="14">
        <f t="shared" si="38"/>
        <v>0</v>
      </c>
      <c r="AI66" s="26">
        <f>VLOOKUP(AF66,'TB - Expense Data'!$H$3:$N$758,7,FALSE)</f>
        <v>0</v>
      </c>
      <c r="AJ66" s="92">
        <f t="shared" si="39"/>
        <v>0</v>
      </c>
      <c r="AK66" s="48" t="str">
        <f t="shared" si="40"/>
        <v xml:space="preserve">-    </v>
      </c>
      <c r="AL66" s="156">
        <f t="shared" ref="AL66:AL79" si="51">C66+I66+O66+U66+AA66+AG66</f>
        <v>1200</v>
      </c>
      <c r="AM66" s="14">
        <f t="shared" ref="AM66:AM79" si="52">D66+J66+P66+V66+AB66+AH66</f>
        <v>600</v>
      </c>
      <c r="AN66" s="26">
        <f t="shared" ref="AN66:AN79" si="53">E66+K66+Q66+W66+AC66+AI66</f>
        <v>0</v>
      </c>
      <c r="AO66" s="239">
        <f t="shared" ref="AO66:AO79" si="54">AN66-AM66</f>
        <v>-600</v>
      </c>
      <c r="AP66" s="58">
        <f t="shared" ref="AP66:AP79" si="55">IF(AND(AM66&lt;&gt;0,AO66&lt;&gt;0,ISNUMBER(AM66),ISNUMBER(AO66)),AO66/AM66,"-    ")</f>
        <v>-1</v>
      </c>
    </row>
    <row r="67" spans="1:42" ht="15.75" x14ac:dyDescent="0.25">
      <c r="A67" s="13" t="s">
        <v>1074</v>
      </c>
      <c r="B67" s="131" t="s">
        <v>622</v>
      </c>
      <c r="C67" s="14">
        <f>VLOOKUP(B67,'TB - Expense Data'!$H$3:$N$758,3,FALSE)</f>
        <v>348</v>
      </c>
      <c r="D67" s="14">
        <f t="shared" si="23"/>
        <v>174</v>
      </c>
      <c r="E67" s="26">
        <f>VLOOKUP(B67,'TB - Expense Data'!$H$3:$N$758,7,FALSE)</f>
        <v>0</v>
      </c>
      <c r="F67" s="92">
        <f t="shared" si="24"/>
        <v>-174</v>
      </c>
      <c r="G67" s="48">
        <f t="shared" si="25"/>
        <v>-1</v>
      </c>
      <c r="H67" s="131" t="s">
        <v>679</v>
      </c>
      <c r="I67" s="156">
        <f>VLOOKUP(H67,'TB - Expense Data'!$H$3:$N$758,3,FALSE)</f>
        <v>96</v>
      </c>
      <c r="J67" s="14">
        <f t="shared" si="26"/>
        <v>48</v>
      </c>
      <c r="K67" s="26">
        <f>VLOOKUP(H67,'TB - Expense Data'!$H$3:$N$758,7,FALSE)</f>
        <v>0</v>
      </c>
      <c r="L67" s="92">
        <f t="shared" si="27"/>
        <v>-48</v>
      </c>
      <c r="M67" s="48">
        <f t="shared" si="28"/>
        <v>-1</v>
      </c>
      <c r="N67" s="131" t="s">
        <v>734</v>
      </c>
      <c r="O67" s="156">
        <f>VLOOKUP(N67,'TB - Expense Data'!$H$3:$N$758,3,FALSE)</f>
        <v>624</v>
      </c>
      <c r="P67" s="14">
        <f t="shared" si="29"/>
        <v>312</v>
      </c>
      <c r="Q67" s="26">
        <f>VLOOKUP(N67,'TB - Expense Data'!$H$3:$N$758,7,FALSE)</f>
        <v>0</v>
      </c>
      <c r="R67" s="92">
        <f t="shared" si="30"/>
        <v>-312</v>
      </c>
      <c r="S67" s="48">
        <f t="shared" si="31"/>
        <v>-1</v>
      </c>
      <c r="T67" s="131" t="s">
        <v>793</v>
      </c>
      <c r="U67" s="14">
        <f>VLOOKUP(T67,'TB - Expense Data'!$H$3:$N$758,3,FALSE)</f>
        <v>132</v>
      </c>
      <c r="V67" s="14">
        <f t="shared" si="32"/>
        <v>66</v>
      </c>
      <c r="W67" s="26">
        <f>VLOOKUP(T67,'TB - Expense Data'!$H$3:$N$758,7,FALSE)</f>
        <v>0</v>
      </c>
      <c r="X67" s="92">
        <f t="shared" si="33"/>
        <v>-66</v>
      </c>
      <c r="Y67" s="48">
        <f t="shared" si="34"/>
        <v>-1</v>
      </c>
      <c r="Z67" s="131" t="s">
        <v>979</v>
      </c>
      <c r="AA67" s="156">
        <f>VLOOKUP(Z67,'TB - Expense Data'!$H$3:$N$758,3,FALSE)</f>
        <v>0</v>
      </c>
      <c r="AB67" s="14">
        <f t="shared" si="35"/>
        <v>0</v>
      </c>
      <c r="AC67" s="26">
        <f>VLOOKUP(Z67,'TB - Expense Data'!$H$3:$N$758,7,FALSE)</f>
        <v>0</v>
      </c>
      <c r="AD67" s="92">
        <f t="shared" si="36"/>
        <v>0</v>
      </c>
      <c r="AE67" s="48" t="str">
        <f t="shared" si="37"/>
        <v xml:space="preserve">-    </v>
      </c>
      <c r="AF67" s="131" t="s">
        <v>979</v>
      </c>
      <c r="AG67" s="156">
        <f>VLOOKUP(AF67,'TB - Expense Data'!$H$3:$N$758,3,FALSE)</f>
        <v>0</v>
      </c>
      <c r="AH67" s="14">
        <f t="shared" si="38"/>
        <v>0</v>
      </c>
      <c r="AI67" s="26">
        <f>VLOOKUP(AF67,'TB - Expense Data'!$H$3:$N$758,7,FALSE)</f>
        <v>0</v>
      </c>
      <c r="AJ67" s="92">
        <f t="shared" si="39"/>
        <v>0</v>
      </c>
      <c r="AK67" s="48" t="str">
        <f t="shared" si="40"/>
        <v xml:space="preserve">-    </v>
      </c>
      <c r="AL67" s="156">
        <f t="shared" si="51"/>
        <v>1200</v>
      </c>
      <c r="AM67" s="14">
        <f t="shared" si="52"/>
        <v>600</v>
      </c>
      <c r="AN67" s="26">
        <f t="shared" si="53"/>
        <v>0</v>
      </c>
      <c r="AO67" s="239">
        <f t="shared" si="54"/>
        <v>-600</v>
      </c>
      <c r="AP67" s="58">
        <f t="shared" si="55"/>
        <v>-1</v>
      </c>
    </row>
    <row r="68" spans="1:42" ht="15.75" x14ac:dyDescent="0.25">
      <c r="A68" s="13" t="s">
        <v>34</v>
      </c>
      <c r="B68" s="131" t="s">
        <v>638</v>
      </c>
      <c r="C68" s="14">
        <f>VLOOKUP(B68,'TB - Expense Data'!$H$3:$N$758,3,FALSE)</f>
        <v>290</v>
      </c>
      <c r="D68" s="14">
        <f t="shared" si="23"/>
        <v>145</v>
      </c>
      <c r="E68" s="26">
        <f>VLOOKUP(B68,'TB - Expense Data'!$H$3:$N$758,7,FALSE)</f>
        <v>34.33</v>
      </c>
      <c r="F68" s="92">
        <f t="shared" si="24"/>
        <v>-110.67</v>
      </c>
      <c r="G68" s="48">
        <f t="shared" si="25"/>
        <v>-0.76324137931034486</v>
      </c>
      <c r="H68" s="131" t="s">
        <v>695</v>
      </c>
      <c r="I68" s="156">
        <f>VLOOKUP(H68,'TB - Expense Data'!$H$3:$N$758,3,FALSE)</f>
        <v>80</v>
      </c>
      <c r="J68" s="14">
        <f t="shared" si="26"/>
        <v>40</v>
      </c>
      <c r="K68" s="26">
        <f>VLOOKUP(H68,'TB - Expense Data'!$H$3:$N$758,7,FALSE)</f>
        <v>9.48</v>
      </c>
      <c r="L68" s="92">
        <f t="shared" si="27"/>
        <v>-30.52</v>
      </c>
      <c r="M68" s="48">
        <f t="shared" si="28"/>
        <v>-0.76300000000000001</v>
      </c>
      <c r="N68" s="131" t="s">
        <v>753</v>
      </c>
      <c r="O68" s="156">
        <f>VLOOKUP(N68,'TB - Expense Data'!$H$3:$N$758,3,FALSE)</f>
        <v>520</v>
      </c>
      <c r="P68" s="14">
        <f t="shared" si="29"/>
        <v>260</v>
      </c>
      <c r="Q68" s="26">
        <f>VLOOKUP(N68,'TB - Expense Data'!$H$3:$N$758,7,FALSE)</f>
        <v>61.57</v>
      </c>
      <c r="R68" s="92">
        <f t="shared" si="30"/>
        <v>-198.43</v>
      </c>
      <c r="S68" s="48">
        <f t="shared" si="31"/>
        <v>-0.76319230769230773</v>
      </c>
      <c r="T68" s="131" t="s">
        <v>811</v>
      </c>
      <c r="U68" s="14">
        <f>VLOOKUP(T68,'TB - Expense Data'!$H$3:$N$758,3,FALSE)</f>
        <v>110</v>
      </c>
      <c r="V68" s="14">
        <f t="shared" si="32"/>
        <v>55</v>
      </c>
      <c r="W68" s="26">
        <f>VLOOKUP(T68,'TB - Expense Data'!$H$3:$N$758,7,FALSE)</f>
        <v>13.03</v>
      </c>
      <c r="X68" s="92">
        <f t="shared" si="33"/>
        <v>-41.97</v>
      </c>
      <c r="Y68" s="48">
        <f t="shared" si="34"/>
        <v>-0.76309090909090904</v>
      </c>
      <c r="Z68" s="131" t="s">
        <v>979</v>
      </c>
      <c r="AA68" s="156">
        <f>VLOOKUP(Z68,'TB - Expense Data'!$H$3:$N$758,3,FALSE)</f>
        <v>0</v>
      </c>
      <c r="AB68" s="14">
        <f t="shared" si="35"/>
        <v>0</v>
      </c>
      <c r="AC68" s="26">
        <f>VLOOKUP(Z68,'TB - Expense Data'!$H$3:$N$758,7,FALSE)</f>
        <v>0</v>
      </c>
      <c r="AD68" s="92">
        <f t="shared" si="36"/>
        <v>0</v>
      </c>
      <c r="AE68" s="48" t="str">
        <f t="shared" si="37"/>
        <v xml:space="preserve">-    </v>
      </c>
      <c r="AF68" s="131" t="s">
        <v>979</v>
      </c>
      <c r="AG68" s="156">
        <f>VLOOKUP(AF68,'TB - Expense Data'!$H$3:$N$758,3,FALSE)</f>
        <v>0</v>
      </c>
      <c r="AH68" s="14">
        <f t="shared" si="38"/>
        <v>0</v>
      </c>
      <c r="AI68" s="26">
        <f>VLOOKUP(AF68,'TB - Expense Data'!$H$3:$N$758,7,FALSE)</f>
        <v>0</v>
      </c>
      <c r="AJ68" s="92">
        <f t="shared" si="39"/>
        <v>0</v>
      </c>
      <c r="AK68" s="48" t="str">
        <f t="shared" si="40"/>
        <v xml:space="preserve">-    </v>
      </c>
      <c r="AL68" s="156">
        <f t="shared" si="51"/>
        <v>1000</v>
      </c>
      <c r="AM68" s="14">
        <f t="shared" si="52"/>
        <v>500</v>
      </c>
      <c r="AN68" s="26">
        <f t="shared" si="53"/>
        <v>118.41</v>
      </c>
      <c r="AO68" s="239">
        <f t="shared" si="54"/>
        <v>-381.59000000000003</v>
      </c>
      <c r="AP68" s="58">
        <f t="shared" si="55"/>
        <v>-0.76318000000000008</v>
      </c>
    </row>
    <row r="69" spans="1:42" ht="15.75" x14ac:dyDescent="0.25">
      <c r="A69" s="44" t="s">
        <v>173</v>
      </c>
      <c r="B69" s="131" t="s">
        <v>979</v>
      </c>
      <c r="C69" s="14">
        <f>VLOOKUP(B69,'TB - Expense Data'!$H$3:$N$758,3,FALSE)</f>
        <v>0</v>
      </c>
      <c r="D69" s="14">
        <f t="shared" si="23"/>
        <v>0</v>
      </c>
      <c r="E69" s="26">
        <f>VLOOKUP(B69,'TB - Expense Data'!$H$3:$N$758,7,FALSE)</f>
        <v>0</v>
      </c>
      <c r="F69" s="92">
        <f t="shared" si="24"/>
        <v>0</v>
      </c>
      <c r="G69" s="48" t="str">
        <f t="shared" si="25"/>
        <v xml:space="preserve">-    </v>
      </c>
      <c r="H69" s="131" t="s">
        <v>979</v>
      </c>
      <c r="I69" s="156">
        <f>VLOOKUP(H69,'TB - Expense Data'!$H$3:$N$758,3,FALSE)</f>
        <v>0</v>
      </c>
      <c r="J69" s="14">
        <f t="shared" si="26"/>
        <v>0</v>
      </c>
      <c r="K69" s="26">
        <f>VLOOKUP(H69,'TB - Expense Data'!$H$3:$N$758,7,FALSE)</f>
        <v>0</v>
      </c>
      <c r="L69" s="92">
        <f t="shared" si="27"/>
        <v>0</v>
      </c>
      <c r="M69" s="48" t="str">
        <f t="shared" si="28"/>
        <v xml:space="preserve">-    </v>
      </c>
      <c r="N69" s="131" t="s">
        <v>752</v>
      </c>
      <c r="O69" s="156">
        <f>VLOOKUP(N69,'TB - Expense Data'!$H$3:$N$758,3,FALSE)</f>
        <v>2800</v>
      </c>
      <c r="P69" s="14">
        <f t="shared" si="29"/>
        <v>1400</v>
      </c>
      <c r="Q69" s="26">
        <f>VLOOKUP(N69,'TB - Expense Data'!$H$3:$N$758,7,FALSE)</f>
        <v>85.61</v>
      </c>
      <c r="R69" s="92">
        <f t="shared" si="30"/>
        <v>-1314.39</v>
      </c>
      <c r="S69" s="48">
        <f t="shared" si="31"/>
        <v>-0.93885000000000007</v>
      </c>
      <c r="T69" s="131" t="s">
        <v>810</v>
      </c>
      <c r="U69" s="14">
        <f>VLOOKUP(T69,'TB - Expense Data'!$H$3:$N$758,3,FALSE)</f>
        <v>1600</v>
      </c>
      <c r="V69" s="14">
        <f t="shared" si="32"/>
        <v>800</v>
      </c>
      <c r="W69" s="26">
        <f>VLOOKUP(T69,'TB - Expense Data'!$H$3:$N$758,7,FALSE)</f>
        <v>50.35</v>
      </c>
      <c r="X69" s="92">
        <f t="shared" si="33"/>
        <v>-749.65</v>
      </c>
      <c r="Y69" s="48">
        <f t="shared" si="34"/>
        <v>-0.93706250000000002</v>
      </c>
      <c r="Z69" s="131" t="s">
        <v>979</v>
      </c>
      <c r="AA69" s="156">
        <f>VLOOKUP(Z69,'TB - Expense Data'!$H$3:$N$758,3,FALSE)</f>
        <v>0</v>
      </c>
      <c r="AB69" s="14">
        <f t="shared" si="35"/>
        <v>0</v>
      </c>
      <c r="AC69" s="26">
        <f>VLOOKUP(Z69,'TB - Expense Data'!$H$3:$N$758,7,FALSE)</f>
        <v>0</v>
      </c>
      <c r="AD69" s="92">
        <f t="shared" si="36"/>
        <v>0</v>
      </c>
      <c r="AE69" s="48" t="str">
        <f t="shared" si="37"/>
        <v xml:space="preserve">-    </v>
      </c>
      <c r="AF69" s="131" t="s">
        <v>979</v>
      </c>
      <c r="AG69" s="156">
        <f>VLOOKUP(AF69,'TB - Expense Data'!$H$3:$N$758,3,FALSE)</f>
        <v>0</v>
      </c>
      <c r="AH69" s="14">
        <f t="shared" si="38"/>
        <v>0</v>
      </c>
      <c r="AI69" s="26">
        <f>VLOOKUP(AF69,'TB - Expense Data'!$H$3:$N$758,7,FALSE)</f>
        <v>0</v>
      </c>
      <c r="AJ69" s="92">
        <f t="shared" si="39"/>
        <v>0</v>
      </c>
      <c r="AK69" s="48" t="str">
        <f t="shared" si="40"/>
        <v xml:space="preserve">-    </v>
      </c>
      <c r="AL69" s="156">
        <f t="shared" si="51"/>
        <v>4400</v>
      </c>
      <c r="AM69" s="14">
        <f t="shared" si="52"/>
        <v>2200</v>
      </c>
      <c r="AN69" s="26">
        <f t="shared" si="53"/>
        <v>135.96</v>
      </c>
      <c r="AO69" s="239">
        <f t="shared" si="54"/>
        <v>-2064.04</v>
      </c>
      <c r="AP69" s="58">
        <f t="shared" si="55"/>
        <v>-0.93820000000000003</v>
      </c>
    </row>
    <row r="70" spans="1:42" ht="15.75" x14ac:dyDescent="0.25">
      <c r="A70" s="13" t="s">
        <v>1075</v>
      </c>
      <c r="B70" s="131" t="s">
        <v>611</v>
      </c>
      <c r="C70" s="14">
        <f>VLOOKUP(B70,'TB - Expense Data'!$H$3:$N$758,3,FALSE)</f>
        <v>138200</v>
      </c>
      <c r="D70" s="14">
        <f t="shared" si="23"/>
        <v>69100</v>
      </c>
      <c r="E70" s="26">
        <f>VLOOKUP(B70,'TB - Expense Data'!$H$3:$N$758,7,FALSE)</f>
        <v>56233</v>
      </c>
      <c r="F70" s="92">
        <f t="shared" si="24"/>
        <v>-12867</v>
      </c>
      <c r="G70" s="48">
        <f t="shared" si="25"/>
        <v>-0.18620839363241679</v>
      </c>
      <c r="H70" s="131" t="s">
        <v>670</v>
      </c>
      <c r="I70" s="156">
        <f>VLOOKUP(H70,'TB - Expense Data'!$H$3:$N$758,3,FALSE)</f>
        <v>90544</v>
      </c>
      <c r="J70" s="14">
        <f t="shared" si="26"/>
        <v>45272</v>
      </c>
      <c r="K70" s="26">
        <f>VLOOKUP(H70,'TB - Expense Data'!$H$3:$N$758,7,FALSE)</f>
        <v>37576.879999999997</v>
      </c>
      <c r="L70" s="92">
        <f t="shared" si="27"/>
        <v>-7695.1200000000026</v>
      </c>
      <c r="M70" s="48">
        <f t="shared" si="28"/>
        <v>-0.16997526064675744</v>
      </c>
      <c r="N70" s="131" t="s">
        <v>725</v>
      </c>
      <c r="O70" s="156">
        <f>VLOOKUP(N70,'TB - Expense Data'!$H$3:$N$758,3,FALSE)</f>
        <v>890457</v>
      </c>
      <c r="P70" s="14">
        <f t="shared" si="29"/>
        <v>445228.5</v>
      </c>
      <c r="Q70" s="26">
        <f>VLOOKUP(N70,'TB - Expense Data'!$H$3:$N$758,7,FALSE)</f>
        <v>369973.27</v>
      </c>
      <c r="R70" s="92">
        <f t="shared" si="30"/>
        <v>-75255.229999999981</v>
      </c>
      <c r="S70" s="48">
        <f t="shared" si="31"/>
        <v>-0.16902608435893027</v>
      </c>
      <c r="T70" s="131" t="s">
        <v>784</v>
      </c>
      <c r="U70" s="14">
        <f>VLOOKUP(T70,'TB - Expense Data'!$H$3:$N$758,3,FALSE)</f>
        <v>377994</v>
      </c>
      <c r="V70" s="14">
        <f t="shared" si="32"/>
        <v>188997</v>
      </c>
      <c r="W70" s="26">
        <f>VLOOKUP(T70,'TB - Expense Data'!$H$3:$N$758,7,FALSE)</f>
        <v>156880.88</v>
      </c>
      <c r="X70" s="92">
        <f t="shared" si="33"/>
        <v>-32116.119999999995</v>
      </c>
      <c r="Y70" s="48">
        <f t="shared" si="34"/>
        <v>-0.16992925813637252</v>
      </c>
      <c r="Z70" s="131" t="s">
        <v>841</v>
      </c>
      <c r="AA70" s="156">
        <f>VLOOKUP(Z70,'TB - Expense Data'!$H$3:$N$758,3,FALSE)</f>
        <v>246368</v>
      </c>
      <c r="AB70" s="14">
        <f t="shared" si="35"/>
        <v>123184</v>
      </c>
      <c r="AC70" s="26">
        <f>VLOOKUP(Z70,'TB - Expense Data'!$H$3:$N$758,7,FALSE)</f>
        <v>102653.22</v>
      </c>
      <c r="AD70" s="92">
        <f t="shared" si="36"/>
        <v>-20530.78</v>
      </c>
      <c r="AE70" s="48">
        <f t="shared" si="37"/>
        <v>-0.16666758669957135</v>
      </c>
      <c r="AF70" s="131" t="s">
        <v>979</v>
      </c>
      <c r="AG70" s="156">
        <f>VLOOKUP(AF70,'TB - Expense Data'!$H$3:$N$758,3,FALSE)</f>
        <v>0</v>
      </c>
      <c r="AH70" s="14">
        <f t="shared" si="38"/>
        <v>0</v>
      </c>
      <c r="AI70" s="26">
        <f>VLOOKUP(AF70,'TB - Expense Data'!$H$3:$N$758,7,FALSE)</f>
        <v>0</v>
      </c>
      <c r="AJ70" s="92">
        <f t="shared" si="39"/>
        <v>0</v>
      </c>
      <c r="AK70" s="48" t="str">
        <f t="shared" si="40"/>
        <v xml:space="preserve">-    </v>
      </c>
      <c r="AL70" s="156">
        <f t="shared" si="51"/>
        <v>1743563</v>
      </c>
      <c r="AM70" s="14">
        <f t="shared" si="52"/>
        <v>871781.5</v>
      </c>
      <c r="AN70" s="26">
        <f t="shared" si="53"/>
        <v>723317.25</v>
      </c>
      <c r="AO70" s="239">
        <f t="shared" si="54"/>
        <v>-148464.25</v>
      </c>
      <c r="AP70" s="58">
        <f t="shared" si="55"/>
        <v>-0.17029984004019355</v>
      </c>
    </row>
    <row r="71" spans="1:42" ht="15.75" x14ac:dyDescent="0.25">
      <c r="A71" s="13" t="s">
        <v>612</v>
      </c>
      <c r="B71" s="131" t="s">
        <v>613</v>
      </c>
      <c r="C71" s="14">
        <f>VLOOKUP(B71,'TB - Expense Data'!$H$3:$N$758,3,FALSE)</f>
        <v>73038</v>
      </c>
      <c r="D71" s="14">
        <f t="shared" si="23"/>
        <v>36519</v>
      </c>
      <c r="E71" s="26">
        <f>VLOOKUP(B71,'TB - Expense Data'!$H$3:$N$758,7,FALSE)</f>
        <v>30432.36</v>
      </c>
      <c r="F71" s="92">
        <f t="shared" si="24"/>
        <v>-6086.6399999999994</v>
      </c>
      <c r="G71" s="48">
        <f t="shared" si="25"/>
        <v>-0.16667050028752156</v>
      </c>
      <c r="H71" s="131" t="s">
        <v>671</v>
      </c>
      <c r="I71" s="156">
        <f>VLOOKUP(H71,'TB - Expense Data'!$H$3:$N$758,3,FALSE)</f>
        <v>20868</v>
      </c>
      <c r="J71" s="14">
        <f t="shared" si="26"/>
        <v>10434</v>
      </c>
      <c r="K71" s="26">
        <f>VLOOKUP(H71,'TB - Expense Data'!$H$3:$N$758,7,FALSE)</f>
        <v>8694.9599999999991</v>
      </c>
      <c r="L71" s="92">
        <f t="shared" si="27"/>
        <v>-1739.0400000000009</v>
      </c>
      <c r="M71" s="48">
        <f t="shared" si="28"/>
        <v>-0.16667050028752164</v>
      </c>
      <c r="N71" s="131" t="s">
        <v>726</v>
      </c>
      <c r="O71" s="156">
        <f>VLOOKUP(N71,'TB - Expense Data'!$H$3:$N$758,3,FALSE)</f>
        <v>130425</v>
      </c>
      <c r="P71" s="14">
        <f t="shared" si="29"/>
        <v>65212.5</v>
      </c>
      <c r="Q71" s="26">
        <f>VLOOKUP(N71,'TB - Expense Data'!$H$3:$N$758,7,FALSE)</f>
        <v>54343.5</v>
      </c>
      <c r="R71" s="92">
        <f t="shared" si="30"/>
        <v>-10869</v>
      </c>
      <c r="S71" s="48">
        <f t="shared" si="31"/>
        <v>-0.16667050028752156</v>
      </c>
      <c r="T71" s="131" t="s">
        <v>785</v>
      </c>
      <c r="U71" s="14">
        <f>VLOOKUP(T71,'TB - Expense Data'!$H$3:$N$758,3,FALSE)</f>
        <v>36519</v>
      </c>
      <c r="V71" s="14">
        <f t="shared" si="32"/>
        <v>18259.5</v>
      </c>
      <c r="W71" s="26">
        <f>VLOOKUP(T71,'TB - Expense Data'!$H$3:$N$758,7,FALSE)</f>
        <v>15216.18</v>
      </c>
      <c r="X71" s="92">
        <f t="shared" si="33"/>
        <v>-3043.3199999999997</v>
      </c>
      <c r="Y71" s="48">
        <f t="shared" si="34"/>
        <v>-0.16667050028752156</v>
      </c>
      <c r="Z71" s="131" t="s">
        <v>979</v>
      </c>
      <c r="AA71" s="156">
        <f>VLOOKUP(Z71,'TB - Expense Data'!$H$3:$N$758,3,FALSE)</f>
        <v>0</v>
      </c>
      <c r="AB71" s="14">
        <f t="shared" si="35"/>
        <v>0</v>
      </c>
      <c r="AC71" s="26">
        <f>VLOOKUP(Z71,'TB - Expense Data'!$H$3:$N$758,7,FALSE)</f>
        <v>0</v>
      </c>
      <c r="AD71" s="92">
        <f t="shared" si="36"/>
        <v>0</v>
      </c>
      <c r="AE71" s="48" t="str">
        <f t="shared" si="37"/>
        <v xml:space="preserve">-    </v>
      </c>
      <c r="AF71" s="131" t="s">
        <v>979</v>
      </c>
      <c r="AG71" s="156">
        <f>VLOOKUP(AF71,'TB - Expense Data'!$H$3:$N$758,3,FALSE)</f>
        <v>0</v>
      </c>
      <c r="AH71" s="14">
        <f t="shared" si="38"/>
        <v>0</v>
      </c>
      <c r="AI71" s="26">
        <f>VLOOKUP(AF71,'TB - Expense Data'!$H$3:$N$758,7,FALSE)</f>
        <v>0</v>
      </c>
      <c r="AJ71" s="92">
        <f t="shared" si="39"/>
        <v>0</v>
      </c>
      <c r="AK71" s="48" t="str">
        <f t="shared" si="40"/>
        <v xml:space="preserve">-    </v>
      </c>
      <c r="AL71" s="156">
        <f t="shared" si="51"/>
        <v>260850</v>
      </c>
      <c r="AM71" s="14">
        <f t="shared" si="52"/>
        <v>130425</v>
      </c>
      <c r="AN71" s="26">
        <f t="shared" si="53"/>
        <v>108687</v>
      </c>
      <c r="AO71" s="239">
        <f t="shared" si="54"/>
        <v>-21738</v>
      </c>
      <c r="AP71" s="58">
        <f t="shared" si="55"/>
        <v>-0.16667050028752156</v>
      </c>
    </row>
    <row r="72" spans="1:42" ht="15.75" hidden="1" outlineLevel="1" x14ac:dyDescent="0.25">
      <c r="A72" s="13" t="s">
        <v>174</v>
      </c>
      <c r="B72" s="131" t="s">
        <v>641</v>
      </c>
      <c r="C72" s="14">
        <f>VLOOKUP(B72,'TB - Expense Data'!$H$3:$N$758,3,FALSE)</f>
        <v>0</v>
      </c>
      <c r="D72" s="14">
        <f t="shared" si="23"/>
        <v>0</v>
      </c>
      <c r="E72" s="26">
        <f>VLOOKUP(B72,'TB - Expense Data'!$H$3:$N$758,7,FALSE)</f>
        <v>0</v>
      </c>
      <c r="F72" s="92">
        <f t="shared" si="24"/>
        <v>0</v>
      </c>
      <c r="G72" s="48" t="str">
        <f t="shared" si="25"/>
        <v xml:space="preserve">-    </v>
      </c>
      <c r="H72" s="131" t="s">
        <v>698</v>
      </c>
      <c r="I72" s="156">
        <f>VLOOKUP(H72,'TB - Expense Data'!$H$3:$N$758,3,FALSE)</f>
        <v>0</v>
      </c>
      <c r="J72" s="14">
        <f t="shared" si="26"/>
        <v>0</v>
      </c>
      <c r="K72" s="26">
        <f>VLOOKUP(H72,'TB - Expense Data'!$H$3:$N$758,7,FALSE)</f>
        <v>0</v>
      </c>
      <c r="L72" s="92">
        <f t="shared" si="27"/>
        <v>0</v>
      </c>
      <c r="M72" s="48" t="str">
        <f t="shared" si="28"/>
        <v xml:space="preserve">-    </v>
      </c>
      <c r="N72" s="131" t="s">
        <v>756</v>
      </c>
      <c r="O72" s="156">
        <f>VLOOKUP(N72,'TB - Expense Data'!$H$3:$N$758,3,FALSE)</f>
        <v>0</v>
      </c>
      <c r="P72" s="14">
        <f t="shared" si="29"/>
        <v>0</v>
      </c>
      <c r="Q72" s="26">
        <f>VLOOKUP(N72,'TB - Expense Data'!$H$3:$N$758,7,FALSE)</f>
        <v>0</v>
      </c>
      <c r="R72" s="92">
        <f t="shared" si="30"/>
        <v>0</v>
      </c>
      <c r="S72" s="48" t="str">
        <f t="shared" si="31"/>
        <v xml:space="preserve">-    </v>
      </c>
      <c r="T72" s="131" t="s">
        <v>814</v>
      </c>
      <c r="U72" s="14">
        <f>VLOOKUP(T72,'TB - Expense Data'!$H$3:$N$758,3,FALSE)</f>
        <v>0</v>
      </c>
      <c r="V72" s="14">
        <f t="shared" si="32"/>
        <v>0</v>
      </c>
      <c r="W72" s="26">
        <f>VLOOKUP(T72,'TB - Expense Data'!$H$3:$N$758,7,FALSE)</f>
        <v>0</v>
      </c>
      <c r="X72" s="92">
        <f t="shared" si="33"/>
        <v>0</v>
      </c>
      <c r="Y72" s="48" t="str">
        <f t="shared" si="34"/>
        <v xml:space="preserve">-    </v>
      </c>
      <c r="Z72" s="131" t="s">
        <v>979</v>
      </c>
      <c r="AA72" s="156">
        <f>VLOOKUP(Z72,'TB - Expense Data'!$H$3:$N$758,3,FALSE)</f>
        <v>0</v>
      </c>
      <c r="AB72" s="14">
        <f t="shared" si="35"/>
        <v>0</v>
      </c>
      <c r="AC72" s="26">
        <f>VLOOKUP(Z72,'TB - Expense Data'!$H$3:$N$758,7,FALSE)</f>
        <v>0</v>
      </c>
      <c r="AD72" s="92">
        <f t="shared" si="36"/>
        <v>0</v>
      </c>
      <c r="AE72" s="48" t="str">
        <f t="shared" si="37"/>
        <v xml:space="preserve">-    </v>
      </c>
      <c r="AF72" s="131" t="s">
        <v>979</v>
      </c>
      <c r="AG72" s="156">
        <f>VLOOKUP(AF72,'TB - Expense Data'!$H$3:$N$758,3,FALSE)</f>
        <v>0</v>
      </c>
      <c r="AH72" s="14">
        <f t="shared" si="38"/>
        <v>0</v>
      </c>
      <c r="AI72" s="26">
        <f>VLOOKUP(AF72,'TB - Expense Data'!$H$3:$N$758,7,FALSE)</f>
        <v>0</v>
      </c>
      <c r="AJ72" s="92">
        <f t="shared" si="39"/>
        <v>0</v>
      </c>
      <c r="AK72" s="48" t="str">
        <f t="shared" si="40"/>
        <v xml:space="preserve">-    </v>
      </c>
      <c r="AL72" s="156">
        <f t="shared" si="51"/>
        <v>0</v>
      </c>
      <c r="AM72" s="14">
        <f t="shared" si="52"/>
        <v>0</v>
      </c>
      <c r="AN72" s="26">
        <f t="shared" si="53"/>
        <v>0</v>
      </c>
      <c r="AO72" s="239">
        <f t="shared" si="54"/>
        <v>0</v>
      </c>
      <c r="AP72" s="58" t="str">
        <f t="shared" si="55"/>
        <v xml:space="preserve">-    </v>
      </c>
    </row>
    <row r="73" spans="1:42" ht="15.75" collapsed="1" x14ac:dyDescent="0.25">
      <c r="A73" s="13" t="s">
        <v>185</v>
      </c>
      <c r="B73" s="131" t="s">
        <v>640</v>
      </c>
      <c r="C73" s="14">
        <f>VLOOKUP(B73,'TB - Expense Data'!$H$3:$N$758,3,FALSE)</f>
        <v>13000</v>
      </c>
      <c r="D73" s="14">
        <f t="shared" si="23"/>
        <v>6500</v>
      </c>
      <c r="E73" s="26">
        <f>VLOOKUP(B73,'TB - Expense Data'!$H$3:$N$758,7,FALSE)</f>
        <v>6274.47</v>
      </c>
      <c r="F73" s="92">
        <f t="shared" si="24"/>
        <v>-225.52999999999975</v>
      </c>
      <c r="G73" s="48">
        <f t="shared" si="25"/>
        <v>-3.4696923076923035E-2</v>
      </c>
      <c r="H73" s="131" t="s">
        <v>697</v>
      </c>
      <c r="I73" s="156">
        <f>VLOOKUP(H73,'TB - Expense Data'!$H$3:$N$758,3,FALSE)</f>
        <v>3200</v>
      </c>
      <c r="J73" s="14">
        <f t="shared" si="26"/>
        <v>1600</v>
      </c>
      <c r="K73" s="26">
        <f>VLOOKUP(H73,'TB - Expense Data'!$H$3:$N$758,7,FALSE)</f>
        <v>1730.9</v>
      </c>
      <c r="L73" s="92">
        <f t="shared" si="27"/>
        <v>130.90000000000009</v>
      </c>
      <c r="M73" s="48">
        <f t="shared" si="28"/>
        <v>8.1812500000000052E-2</v>
      </c>
      <c r="N73" s="131" t="s">
        <v>755</v>
      </c>
      <c r="O73" s="156">
        <f>VLOOKUP(N73,'TB - Expense Data'!$H$3:$N$758,3,FALSE)</f>
        <v>22000</v>
      </c>
      <c r="P73" s="14">
        <f t="shared" si="29"/>
        <v>11000</v>
      </c>
      <c r="Q73" s="26">
        <f>VLOOKUP(N73,'TB - Expense Data'!$H$3:$N$758,7,FALSE)</f>
        <v>11250.82</v>
      </c>
      <c r="R73" s="92">
        <f t="shared" si="30"/>
        <v>250.81999999999971</v>
      </c>
      <c r="S73" s="48">
        <f t="shared" si="31"/>
        <v>2.2801818181818156E-2</v>
      </c>
      <c r="T73" s="131" t="s">
        <v>813</v>
      </c>
      <c r="U73" s="14">
        <f>VLOOKUP(T73,'TB - Expense Data'!$H$3:$N$758,3,FALSE)</f>
        <v>5200</v>
      </c>
      <c r="V73" s="14">
        <f t="shared" si="32"/>
        <v>2600</v>
      </c>
      <c r="W73" s="26">
        <f>VLOOKUP(T73,'TB - Expense Data'!$H$3:$N$758,7,FALSE)</f>
        <v>2379.96</v>
      </c>
      <c r="X73" s="92">
        <f t="shared" si="33"/>
        <v>-220.03999999999996</v>
      </c>
      <c r="Y73" s="48">
        <f t="shared" si="34"/>
        <v>-8.4630769230769218E-2</v>
      </c>
      <c r="Z73" s="131" t="s">
        <v>979</v>
      </c>
      <c r="AA73" s="156">
        <f>VLOOKUP(Z73,'TB - Expense Data'!$H$3:$N$758,3,FALSE)</f>
        <v>0</v>
      </c>
      <c r="AB73" s="14">
        <f t="shared" si="35"/>
        <v>0</v>
      </c>
      <c r="AC73" s="26">
        <f>VLOOKUP(Z73,'TB - Expense Data'!$H$3:$N$758,7,FALSE)</f>
        <v>0</v>
      </c>
      <c r="AD73" s="92">
        <f t="shared" si="36"/>
        <v>0</v>
      </c>
      <c r="AE73" s="48" t="str">
        <f t="shared" si="37"/>
        <v xml:space="preserve">-    </v>
      </c>
      <c r="AF73" s="131" t="s">
        <v>979</v>
      </c>
      <c r="AG73" s="156">
        <f>VLOOKUP(AF73,'TB - Expense Data'!$H$3:$N$758,3,FALSE)</f>
        <v>0</v>
      </c>
      <c r="AH73" s="14">
        <f t="shared" si="38"/>
        <v>0</v>
      </c>
      <c r="AI73" s="26">
        <f>VLOOKUP(AF73,'TB - Expense Data'!$H$3:$N$758,7,FALSE)</f>
        <v>0</v>
      </c>
      <c r="AJ73" s="92">
        <f t="shared" si="39"/>
        <v>0</v>
      </c>
      <c r="AK73" s="48" t="str">
        <f t="shared" si="40"/>
        <v xml:space="preserve">-    </v>
      </c>
      <c r="AL73" s="156">
        <f t="shared" si="51"/>
        <v>43400</v>
      </c>
      <c r="AM73" s="14">
        <f t="shared" si="52"/>
        <v>21700</v>
      </c>
      <c r="AN73" s="26">
        <f t="shared" si="53"/>
        <v>21636.15</v>
      </c>
      <c r="AO73" s="239">
        <f t="shared" si="54"/>
        <v>-63.849999999998545</v>
      </c>
      <c r="AP73" s="58">
        <f t="shared" si="55"/>
        <v>-2.9423963133639883E-3</v>
      </c>
    </row>
    <row r="74" spans="1:42" ht="15.75" hidden="1" outlineLevel="1" x14ac:dyDescent="0.25">
      <c r="A74" s="13" t="s">
        <v>1088</v>
      </c>
      <c r="B74" s="131" t="s">
        <v>1087</v>
      </c>
      <c r="C74" s="14">
        <f>VLOOKUP(B74,'TB - Expense Data'!$H$3:$N$758,3,FALSE)</f>
        <v>0</v>
      </c>
      <c r="D74" s="14">
        <f t="shared" si="23"/>
        <v>0</v>
      </c>
      <c r="E74" s="26">
        <f>VLOOKUP(B74,'TB - Expense Data'!$H$3:$N$758,7,FALSE)</f>
        <v>0</v>
      </c>
      <c r="F74" s="92">
        <f t="shared" si="24"/>
        <v>0</v>
      </c>
      <c r="G74" s="48" t="str">
        <f t="shared" si="25"/>
        <v xml:space="preserve">-    </v>
      </c>
      <c r="H74" s="131" t="s">
        <v>1089</v>
      </c>
      <c r="I74" s="156">
        <f>VLOOKUP(H74,'TB - Expense Data'!$H$3:$N$758,3,FALSE)</f>
        <v>0</v>
      </c>
      <c r="J74" s="14">
        <f t="shared" si="26"/>
        <v>0</v>
      </c>
      <c r="K74" s="26">
        <f>VLOOKUP(H74,'TB - Expense Data'!$H$3:$N$758,7,FALSE)</f>
        <v>0</v>
      </c>
      <c r="L74" s="92">
        <f t="shared" si="27"/>
        <v>0</v>
      </c>
      <c r="M74" s="48" t="str">
        <f t="shared" si="28"/>
        <v xml:space="preserve">-    </v>
      </c>
      <c r="N74" s="131" t="s">
        <v>1090</v>
      </c>
      <c r="O74" s="156">
        <f>VLOOKUP(N74,'TB - Expense Data'!$H$3:$N$758,3,FALSE)</f>
        <v>0</v>
      </c>
      <c r="P74" s="14">
        <f t="shared" si="29"/>
        <v>0</v>
      </c>
      <c r="Q74" s="26">
        <f>VLOOKUP(N74,'TB - Expense Data'!$H$3:$N$758,7,FALSE)</f>
        <v>0</v>
      </c>
      <c r="R74" s="92">
        <f t="shared" si="30"/>
        <v>0</v>
      </c>
      <c r="S74" s="48" t="str">
        <f t="shared" si="31"/>
        <v xml:space="preserve">-    </v>
      </c>
      <c r="T74" s="131" t="s">
        <v>1091</v>
      </c>
      <c r="U74" s="14">
        <f>VLOOKUP(T74,'TB - Expense Data'!$H$3:$N$758,3,FALSE)</f>
        <v>0</v>
      </c>
      <c r="V74" s="14">
        <f t="shared" si="32"/>
        <v>0</v>
      </c>
      <c r="W74" s="26">
        <f>VLOOKUP(T74,'TB - Expense Data'!$H$3:$N$758,7,FALSE)</f>
        <v>0</v>
      </c>
      <c r="X74" s="92">
        <f t="shared" si="33"/>
        <v>0</v>
      </c>
      <c r="Y74" s="48" t="str">
        <f t="shared" si="34"/>
        <v xml:space="preserve">-    </v>
      </c>
      <c r="Z74" s="131" t="s">
        <v>979</v>
      </c>
      <c r="AA74" s="156">
        <f>VLOOKUP(Z74,'TB - Expense Data'!$H$3:$N$758,3,FALSE)</f>
        <v>0</v>
      </c>
      <c r="AB74" s="14">
        <f t="shared" si="35"/>
        <v>0</v>
      </c>
      <c r="AC74" s="26">
        <f>VLOOKUP(Z74,'TB - Expense Data'!$H$3:$N$758,7,FALSE)</f>
        <v>0</v>
      </c>
      <c r="AD74" s="92">
        <f t="shared" si="36"/>
        <v>0</v>
      </c>
      <c r="AE74" s="48" t="str">
        <f t="shared" si="37"/>
        <v xml:space="preserve">-    </v>
      </c>
      <c r="AF74" s="131" t="s">
        <v>979</v>
      </c>
      <c r="AG74" s="156">
        <f>VLOOKUP(AF74,'TB - Expense Data'!$H$3:$N$758,3,FALSE)</f>
        <v>0</v>
      </c>
      <c r="AH74" s="14">
        <f t="shared" si="38"/>
        <v>0</v>
      </c>
      <c r="AI74" s="26">
        <f>VLOOKUP(AF74,'TB - Expense Data'!$H$3:$N$758,7,FALSE)</f>
        <v>0</v>
      </c>
      <c r="AJ74" s="92">
        <f t="shared" si="39"/>
        <v>0</v>
      </c>
      <c r="AK74" s="48" t="str">
        <f t="shared" si="40"/>
        <v xml:space="preserve">-    </v>
      </c>
      <c r="AL74" s="156">
        <f t="shared" si="51"/>
        <v>0</v>
      </c>
      <c r="AM74" s="14">
        <f t="shared" si="52"/>
        <v>0</v>
      </c>
      <c r="AN74" s="26">
        <f t="shared" si="53"/>
        <v>0</v>
      </c>
      <c r="AO74" s="239">
        <f t="shared" si="54"/>
        <v>0</v>
      </c>
      <c r="AP74" s="58" t="str">
        <f t="shared" si="55"/>
        <v xml:space="preserve">-    </v>
      </c>
    </row>
    <row r="75" spans="1:42" ht="15.75" collapsed="1" x14ac:dyDescent="0.25">
      <c r="A75" s="13" t="s">
        <v>186</v>
      </c>
      <c r="B75" s="131" t="s">
        <v>639</v>
      </c>
      <c r="C75" s="14">
        <f>VLOOKUP(B75,'TB - Expense Data'!$H$3:$N$758,3,FALSE)</f>
        <v>5220</v>
      </c>
      <c r="D75" s="14">
        <f t="shared" si="23"/>
        <v>2610</v>
      </c>
      <c r="E75" s="26">
        <f>VLOOKUP(B75,'TB - Expense Data'!$H$3:$N$758,7,FALSE)</f>
        <v>0</v>
      </c>
      <c r="F75" s="92">
        <f t="shared" si="24"/>
        <v>-2610</v>
      </c>
      <c r="G75" s="48">
        <f t="shared" si="25"/>
        <v>-1</v>
      </c>
      <c r="H75" s="131" t="s">
        <v>696</v>
      </c>
      <c r="I75" s="156">
        <f>VLOOKUP(H75,'TB - Expense Data'!$H$3:$N$758,3,FALSE)</f>
        <v>1440</v>
      </c>
      <c r="J75" s="14">
        <f t="shared" si="26"/>
        <v>720</v>
      </c>
      <c r="K75" s="26">
        <f>VLOOKUP(H75,'TB - Expense Data'!$H$3:$N$758,7,FALSE)</f>
        <v>0</v>
      </c>
      <c r="L75" s="92">
        <f t="shared" si="27"/>
        <v>-720</v>
      </c>
      <c r="M75" s="48">
        <f t="shared" si="28"/>
        <v>-1</v>
      </c>
      <c r="N75" s="131" t="s">
        <v>754</v>
      </c>
      <c r="O75" s="156">
        <f>VLOOKUP(N75,'TB - Expense Data'!$H$3:$N$758,3,FALSE)</f>
        <v>9360</v>
      </c>
      <c r="P75" s="14">
        <f t="shared" si="29"/>
        <v>4680</v>
      </c>
      <c r="Q75" s="26">
        <f>VLOOKUP(N75,'TB - Expense Data'!$H$3:$N$758,7,FALSE)</f>
        <v>0</v>
      </c>
      <c r="R75" s="92">
        <f t="shared" si="30"/>
        <v>-4680</v>
      </c>
      <c r="S75" s="48">
        <f t="shared" si="31"/>
        <v>-1</v>
      </c>
      <c r="T75" s="131" t="s">
        <v>812</v>
      </c>
      <c r="U75" s="14">
        <f>VLOOKUP(T75,'TB - Expense Data'!$H$3:$N$758,3,FALSE)</f>
        <v>1980</v>
      </c>
      <c r="V75" s="14">
        <f t="shared" si="32"/>
        <v>990</v>
      </c>
      <c r="W75" s="26">
        <f>VLOOKUP(T75,'TB - Expense Data'!$H$3:$N$758,7,FALSE)</f>
        <v>0</v>
      </c>
      <c r="X75" s="92">
        <f t="shared" si="33"/>
        <v>-990</v>
      </c>
      <c r="Y75" s="48">
        <f t="shared" si="34"/>
        <v>-1</v>
      </c>
      <c r="Z75" s="131" t="s">
        <v>979</v>
      </c>
      <c r="AA75" s="156">
        <f>VLOOKUP(Z75,'TB - Expense Data'!$H$3:$N$758,3,FALSE)</f>
        <v>0</v>
      </c>
      <c r="AB75" s="14">
        <f t="shared" si="35"/>
        <v>0</v>
      </c>
      <c r="AC75" s="26">
        <f>VLOOKUP(Z75,'TB - Expense Data'!$H$3:$N$758,7,FALSE)</f>
        <v>0</v>
      </c>
      <c r="AD75" s="92">
        <f t="shared" si="36"/>
        <v>0</v>
      </c>
      <c r="AE75" s="48" t="str">
        <f t="shared" si="37"/>
        <v xml:space="preserve">-    </v>
      </c>
      <c r="AF75" s="131" t="s">
        <v>979</v>
      </c>
      <c r="AG75" s="156">
        <f>VLOOKUP(AF75,'TB - Expense Data'!$H$3:$N$758,3,FALSE)</f>
        <v>0</v>
      </c>
      <c r="AH75" s="14">
        <f t="shared" si="38"/>
        <v>0</v>
      </c>
      <c r="AI75" s="26">
        <f>VLOOKUP(AF75,'TB - Expense Data'!$H$3:$N$758,7,FALSE)</f>
        <v>0</v>
      </c>
      <c r="AJ75" s="92">
        <f t="shared" si="39"/>
        <v>0</v>
      </c>
      <c r="AK75" s="48" t="str">
        <f t="shared" si="40"/>
        <v xml:space="preserve">-    </v>
      </c>
      <c r="AL75" s="156">
        <f t="shared" si="51"/>
        <v>18000</v>
      </c>
      <c r="AM75" s="14">
        <f t="shared" si="52"/>
        <v>9000</v>
      </c>
      <c r="AN75" s="26">
        <f t="shared" si="53"/>
        <v>0</v>
      </c>
      <c r="AO75" s="239">
        <f t="shared" si="54"/>
        <v>-9000</v>
      </c>
      <c r="AP75" s="58">
        <f t="shared" si="55"/>
        <v>-1</v>
      </c>
    </row>
    <row r="76" spans="1:42" ht="15.75" x14ac:dyDescent="0.25">
      <c r="A76" s="13" t="s">
        <v>175</v>
      </c>
      <c r="B76" s="131" t="s">
        <v>979</v>
      </c>
      <c r="C76" s="14">
        <f>VLOOKUP(B76,'TB - Expense Data'!$H$3:$N$758,3,FALSE)</f>
        <v>0</v>
      </c>
      <c r="D76" s="14">
        <f t="shared" si="23"/>
        <v>0</v>
      </c>
      <c r="E76" s="26">
        <f>VLOOKUP(B76,'TB - Expense Data'!$H$3:$N$758,7,FALSE)</f>
        <v>0</v>
      </c>
      <c r="F76" s="92">
        <f t="shared" si="24"/>
        <v>0</v>
      </c>
      <c r="G76" s="48" t="str">
        <f t="shared" si="25"/>
        <v xml:space="preserve">-    </v>
      </c>
      <c r="H76" s="131" t="s">
        <v>979</v>
      </c>
      <c r="I76" s="156">
        <f>VLOOKUP(H76,'TB - Expense Data'!$H$3:$N$758,3,FALSE)</f>
        <v>0</v>
      </c>
      <c r="J76" s="14">
        <f t="shared" si="26"/>
        <v>0</v>
      </c>
      <c r="K76" s="26">
        <f>VLOOKUP(H76,'TB - Expense Data'!$H$3:$N$758,7,FALSE)</f>
        <v>0</v>
      </c>
      <c r="L76" s="92">
        <f t="shared" si="27"/>
        <v>0</v>
      </c>
      <c r="M76" s="48" t="str">
        <f t="shared" si="28"/>
        <v xml:space="preserve">-    </v>
      </c>
      <c r="N76" s="131" t="s">
        <v>749</v>
      </c>
      <c r="O76" s="156">
        <f>VLOOKUP(N76,'TB - Expense Data'!$H$3:$N$758,3,FALSE)</f>
        <v>270000</v>
      </c>
      <c r="P76" s="14">
        <f t="shared" si="29"/>
        <v>135000</v>
      </c>
      <c r="Q76" s="26">
        <f>VLOOKUP(N76,'TB - Expense Data'!$H$3:$N$758,7,FALSE)</f>
        <v>138650.09</v>
      </c>
      <c r="R76" s="92">
        <f t="shared" si="30"/>
        <v>3650.0899999999965</v>
      </c>
      <c r="S76" s="48">
        <f t="shared" si="31"/>
        <v>2.7037703703703678E-2</v>
      </c>
      <c r="T76" s="131" t="s">
        <v>807</v>
      </c>
      <c r="U76" s="14">
        <f>VLOOKUP(T76,'TB - Expense Data'!$H$3:$N$758,3,FALSE)</f>
        <v>13000</v>
      </c>
      <c r="V76" s="14">
        <f t="shared" si="32"/>
        <v>6500</v>
      </c>
      <c r="W76" s="26">
        <f>VLOOKUP(T76,'TB - Expense Data'!$H$3:$N$758,7,FALSE)</f>
        <v>7639.73</v>
      </c>
      <c r="X76" s="92">
        <f t="shared" si="33"/>
        <v>1139.7299999999996</v>
      </c>
      <c r="Y76" s="48">
        <f t="shared" si="34"/>
        <v>0.17534307692307685</v>
      </c>
      <c r="Z76" s="131" t="s">
        <v>979</v>
      </c>
      <c r="AA76" s="156">
        <f>VLOOKUP(Z76,'TB - Expense Data'!$H$3:$N$758,3,FALSE)</f>
        <v>0</v>
      </c>
      <c r="AB76" s="14">
        <f t="shared" si="35"/>
        <v>0</v>
      </c>
      <c r="AC76" s="26">
        <f>VLOOKUP(Z76,'TB - Expense Data'!$H$3:$N$758,7,FALSE)</f>
        <v>0</v>
      </c>
      <c r="AD76" s="92">
        <f t="shared" si="36"/>
        <v>0</v>
      </c>
      <c r="AE76" s="48" t="str">
        <f t="shared" si="37"/>
        <v xml:space="preserve">-    </v>
      </c>
      <c r="AF76" s="131" t="s">
        <v>979</v>
      </c>
      <c r="AG76" s="156">
        <f>VLOOKUP(AF76,'TB - Expense Data'!$H$3:$N$758,3,FALSE)</f>
        <v>0</v>
      </c>
      <c r="AH76" s="14">
        <f t="shared" si="38"/>
        <v>0</v>
      </c>
      <c r="AI76" s="26">
        <f>VLOOKUP(AF76,'TB - Expense Data'!$H$3:$N$758,7,FALSE)</f>
        <v>0</v>
      </c>
      <c r="AJ76" s="92">
        <f t="shared" si="39"/>
        <v>0</v>
      </c>
      <c r="AK76" s="48" t="str">
        <f t="shared" si="40"/>
        <v xml:space="preserve">-    </v>
      </c>
      <c r="AL76" s="156">
        <f t="shared" si="51"/>
        <v>283000</v>
      </c>
      <c r="AM76" s="14">
        <f t="shared" si="52"/>
        <v>141500</v>
      </c>
      <c r="AN76" s="26">
        <f t="shared" si="53"/>
        <v>146289.82</v>
      </c>
      <c r="AO76" s="239">
        <f t="shared" si="54"/>
        <v>4789.820000000007</v>
      </c>
      <c r="AP76" s="58">
        <f t="shared" si="55"/>
        <v>3.3850318021201461E-2</v>
      </c>
    </row>
    <row r="77" spans="1:42" ht="15.75" x14ac:dyDescent="0.25">
      <c r="A77" s="13" t="s">
        <v>176</v>
      </c>
      <c r="B77" s="131" t="s">
        <v>979</v>
      </c>
      <c r="C77" s="14">
        <f>VLOOKUP(B77,'TB - Expense Data'!$H$3:$N$758,3,FALSE)</f>
        <v>0</v>
      </c>
      <c r="D77" s="14">
        <f t="shared" si="23"/>
        <v>0</v>
      </c>
      <c r="E77" s="26">
        <f>VLOOKUP(B77,'TB - Expense Data'!$H$3:$N$758,7,FALSE)</f>
        <v>0</v>
      </c>
      <c r="F77" s="92">
        <f t="shared" si="24"/>
        <v>0</v>
      </c>
      <c r="G77" s="48" t="str">
        <f t="shared" si="25"/>
        <v xml:space="preserve">-    </v>
      </c>
      <c r="H77" s="131" t="s">
        <v>979</v>
      </c>
      <c r="I77" s="156">
        <f>VLOOKUP(H77,'TB - Expense Data'!$H$3:$N$758,3,FALSE)</f>
        <v>0</v>
      </c>
      <c r="J77" s="14">
        <f t="shared" si="26"/>
        <v>0</v>
      </c>
      <c r="K77" s="26">
        <f>VLOOKUP(H77,'TB - Expense Data'!$H$3:$N$758,7,FALSE)</f>
        <v>0</v>
      </c>
      <c r="L77" s="92">
        <f t="shared" si="27"/>
        <v>0</v>
      </c>
      <c r="M77" s="48" t="str">
        <f t="shared" si="28"/>
        <v xml:space="preserve">-    </v>
      </c>
      <c r="N77" s="131" t="s">
        <v>748</v>
      </c>
      <c r="O77" s="156">
        <f>VLOOKUP(N77,'TB - Expense Data'!$H$3:$N$758,3,FALSE)</f>
        <v>25000</v>
      </c>
      <c r="P77" s="14">
        <f t="shared" si="29"/>
        <v>12500</v>
      </c>
      <c r="Q77" s="26">
        <f>VLOOKUP(N77,'TB - Expense Data'!$H$3:$N$758,7,FALSE)</f>
        <v>25000</v>
      </c>
      <c r="R77" s="92">
        <f t="shared" si="30"/>
        <v>12500</v>
      </c>
      <c r="S77" s="48">
        <f t="shared" si="31"/>
        <v>1</v>
      </c>
      <c r="T77" s="131" t="s">
        <v>979</v>
      </c>
      <c r="U77" s="14">
        <f>VLOOKUP(T77,'TB - Expense Data'!$H$3:$N$758,3,FALSE)</f>
        <v>0</v>
      </c>
      <c r="V77" s="14">
        <f t="shared" si="32"/>
        <v>0</v>
      </c>
      <c r="W77" s="26">
        <f>VLOOKUP(T77,'TB - Expense Data'!$H$3:$N$758,7,FALSE)</f>
        <v>0</v>
      </c>
      <c r="X77" s="92">
        <f t="shared" si="33"/>
        <v>0</v>
      </c>
      <c r="Y77" s="48" t="str">
        <f t="shared" si="34"/>
        <v xml:space="preserve">-    </v>
      </c>
      <c r="Z77" s="131" t="s">
        <v>979</v>
      </c>
      <c r="AA77" s="156">
        <f>VLOOKUP(Z77,'TB - Expense Data'!$H$3:$N$758,3,FALSE)</f>
        <v>0</v>
      </c>
      <c r="AB77" s="14">
        <f t="shared" si="35"/>
        <v>0</v>
      </c>
      <c r="AC77" s="26">
        <f>VLOOKUP(Z77,'TB - Expense Data'!$H$3:$N$758,7,FALSE)</f>
        <v>0</v>
      </c>
      <c r="AD77" s="92">
        <f t="shared" si="36"/>
        <v>0</v>
      </c>
      <c r="AE77" s="48" t="str">
        <f t="shared" si="37"/>
        <v xml:space="preserve">-    </v>
      </c>
      <c r="AF77" s="131" t="s">
        <v>979</v>
      </c>
      <c r="AG77" s="156">
        <f>VLOOKUP(AF77,'TB - Expense Data'!$H$3:$N$758,3,FALSE)</f>
        <v>0</v>
      </c>
      <c r="AH77" s="14">
        <f t="shared" si="38"/>
        <v>0</v>
      </c>
      <c r="AI77" s="26">
        <f>VLOOKUP(AF77,'TB - Expense Data'!$H$3:$N$758,7,FALSE)</f>
        <v>0</v>
      </c>
      <c r="AJ77" s="92">
        <f t="shared" si="39"/>
        <v>0</v>
      </c>
      <c r="AK77" s="48" t="str">
        <f t="shared" si="40"/>
        <v xml:space="preserve">-    </v>
      </c>
      <c r="AL77" s="156">
        <f t="shared" si="51"/>
        <v>25000</v>
      </c>
      <c r="AM77" s="14">
        <f t="shared" si="52"/>
        <v>12500</v>
      </c>
      <c r="AN77" s="26">
        <f t="shared" si="53"/>
        <v>25000</v>
      </c>
      <c r="AO77" s="239">
        <f t="shared" si="54"/>
        <v>12500</v>
      </c>
      <c r="AP77" s="58">
        <f t="shared" si="55"/>
        <v>1</v>
      </c>
    </row>
    <row r="78" spans="1:42" ht="15.75" x14ac:dyDescent="0.25">
      <c r="A78" s="13" t="s">
        <v>177</v>
      </c>
      <c r="B78" s="131" t="s">
        <v>979</v>
      </c>
      <c r="C78" s="14">
        <f>VLOOKUP(B78,'TB - Expense Data'!$H$3:$N$758,3,FALSE)</f>
        <v>0</v>
      </c>
      <c r="D78" s="14">
        <f t="shared" si="23"/>
        <v>0</v>
      </c>
      <c r="E78" s="26">
        <f>VLOOKUP(B78,'TB - Expense Data'!$H$3:$N$758,7,FALSE)</f>
        <v>0</v>
      </c>
      <c r="F78" s="92">
        <f t="shared" si="24"/>
        <v>0</v>
      </c>
      <c r="G78" s="48" t="str">
        <f t="shared" si="25"/>
        <v xml:space="preserve">-    </v>
      </c>
      <c r="H78" s="131" t="s">
        <v>979</v>
      </c>
      <c r="I78" s="156">
        <f>VLOOKUP(H78,'TB - Expense Data'!$H$3:$N$758,3,FALSE)</f>
        <v>0</v>
      </c>
      <c r="J78" s="14">
        <f t="shared" si="26"/>
        <v>0</v>
      </c>
      <c r="K78" s="26">
        <f>VLOOKUP(H78,'TB - Expense Data'!$H$3:$N$758,7,FALSE)</f>
        <v>0</v>
      </c>
      <c r="L78" s="92">
        <f t="shared" si="27"/>
        <v>0</v>
      </c>
      <c r="M78" s="48" t="str">
        <f t="shared" si="28"/>
        <v xml:space="preserve">-    </v>
      </c>
      <c r="N78" s="131" t="s">
        <v>763</v>
      </c>
      <c r="O78" s="156">
        <f>VLOOKUP(N78,'TB - Expense Data'!$H$3:$N$758,3,FALSE)</f>
        <v>37000</v>
      </c>
      <c r="P78" s="14">
        <f t="shared" si="29"/>
        <v>18500</v>
      </c>
      <c r="Q78" s="26">
        <f>VLOOKUP(N78,'TB - Expense Data'!$H$3:$N$758,7,FALSE)</f>
        <v>37000</v>
      </c>
      <c r="R78" s="92">
        <f t="shared" si="30"/>
        <v>18500</v>
      </c>
      <c r="S78" s="48">
        <f t="shared" si="31"/>
        <v>1</v>
      </c>
      <c r="T78" s="131" t="s">
        <v>979</v>
      </c>
      <c r="U78" s="14">
        <f>VLOOKUP(T78,'TB - Expense Data'!$H$3:$N$758,3,FALSE)</f>
        <v>0</v>
      </c>
      <c r="V78" s="14">
        <f t="shared" si="32"/>
        <v>0</v>
      </c>
      <c r="W78" s="26">
        <f>VLOOKUP(T78,'TB - Expense Data'!$H$3:$N$758,7,FALSE)</f>
        <v>0</v>
      </c>
      <c r="X78" s="92">
        <f t="shared" si="33"/>
        <v>0</v>
      </c>
      <c r="Y78" s="48" t="str">
        <f t="shared" si="34"/>
        <v xml:space="preserve">-    </v>
      </c>
      <c r="Z78" s="131" t="s">
        <v>979</v>
      </c>
      <c r="AA78" s="156">
        <f>VLOOKUP(Z78,'TB - Expense Data'!$H$3:$N$758,3,FALSE)</f>
        <v>0</v>
      </c>
      <c r="AB78" s="14">
        <f t="shared" si="35"/>
        <v>0</v>
      </c>
      <c r="AC78" s="26">
        <f>VLOOKUP(Z78,'TB - Expense Data'!$H$3:$N$758,7,FALSE)</f>
        <v>0</v>
      </c>
      <c r="AD78" s="92">
        <f t="shared" si="36"/>
        <v>0</v>
      </c>
      <c r="AE78" s="48" t="str">
        <f t="shared" si="37"/>
        <v xml:space="preserve">-    </v>
      </c>
      <c r="AF78" s="131" t="s">
        <v>979</v>
      </c>
      <c r="AG78" s="156">
        <f>VLOOKUP(AF78,'TB - Expense Data'!$H$3:$N$758,3,FALSE)</f>
        <v>0</v>
      </c>
      <c r="AH78" s="14">
        <f t="shared" si="38"/>
        <v>0</v>
      </c>
      <c r="AI78" s="26">
        <f>VLOOKUP(AF78,'TB - Expense Data'!$H$3:$N$758,7,FALSE)</f>
        <v>0</v>
      </c>
      <c r="AJ78" s="92">
        <f t="shared" si="39"/>
        <v>0</v>
      </c>
      <c r="AK78" s="48" t="str">
        <f t="shared" si="40"/>
        <v xml:space="preserve">-    </v>
      </c>
      <c r="AL78" s="156">
        <f t="shared" si="51"/>
        <v>37000</v>
      </c>
      <c r="AM78" s="14">
        <f t="shared" si="52"/>
        <v>18500</v>
      </c>
      <c r="AN78" s="26">
        <f t="shared" si="53"/>
        <v>37000</v>
      </c>
      <c r="AO78" s="239">
        <f t="shared" si="54"/>
        <v>18500</v>
      </c>
      <c r="AP78" s="58">
        <f t="shared" si="55"/>
        <v>1</v>
      </c>
    </row>
    <row r="79" spans="1:42" ht="15.75" x14ac:dyDescent="0.25">
      <c r="A79" s="13" t="s">
        <v>178</v>
      </c>
      <c r="B79" s="131" t="s">
        <v>618</v>
      </c>
      <c r="C79" s="14">
        <f>VLOOKUP(B79,'TB - Expense Data'!$H$3:$N$758,3,FALSE)</f>
        <v>290</v>
      </c>
      <c r="D79" s="14">
        <f t="shared" si="23"/>
        <v>145</v>
      </c>
      <c r="E79" s="26">
        <f>VLOOKUP(B79,'TB - Expense Data'!$H$3:$N$758,7,FALSE)</f>
        <v>0</v>
      </c>
      <c r="F79" s="92">
        <f t="shared" si="24"/>
        <v>-145</v>
      </c>
      <c r="G79" s="48">
        <f t="shared" si="25"/>
        <v>-1</v>
      </c>
      <c r="H79" s="131" t="s">
        <v>676</v>
      </c>
      <c r="I79" s="156">
        <f>VLOOKUP(H79,'TB - Expense Data'!$H$3:$N$758,3,FALSE)</f>
        <v>80</v>
      </c>
      <c r="J79" s="14">
        <f t="shared" si="26"/>
        <v>40</v>
      </c>
      <c r="K79" s="26">
        <f>VLOOKUP(H79,'TB - Expense Data'!$H$3:$N$758,7,FALSE)</f>
        <v>0</v>
      </c>
      <c r="L79" s="92">
        <f t="shared" si="27"/>
        <v>-40</v>
      </c>
      <c r="M79" s="48">
        <f t="shared" si="28"/>
        <v>-1</v>
      </c>
      <c r="N79" s="131" t="s">
        <v>731</v>
      </c>
      <c r="O79" s="156">
        <f>VLOOKUP(N79,'TB - Expense Data'!$H$3:$N$758,3,FALSE)</f>
        <v>520</v>
      </c>
      <c r="P79" s="14">
        <f t="shared" si="29"/>
        <v>260</v>
      </c>
      <c r="Q79" s="26">
        <f>VLOOKUP(N79,'TB - Expense Data'!$H$3:$N$758,7,FALSE)</f>
        <v>0</v>
      </c>
      <c r="R79" s="92">
        <f t="shared" si="30"/>
        <v>-260</v>
      </c>
      <c r="S79" s="48">
        <f t="shared" si="31"/>
        <v>-1</v>
      </c>
      <c r="T79" s="131" t="s">
        <v>790</v>
      </c>
      <c r="U79" s="14">
        <f>VLOOKUP(T79,'TB - Expense Data'!$H$3:$N$758,3,FALSE)</f>
        <v>110</v>
      </c>
      <c r="V79" s="14">
        <f t="shared" si="32"/>
        <v>55</v>
      </c>
      <c r="W79" s="26">
        <f>VLOOKUP(T79,'TB - Expense Data'!$H$3:$N$758,7,FALSE)</f>
        <v>0</v>
      </c>
      <c r="X79" s="92">
        <f t="shared" si="33"/>
        <v>-55</v>
      </c>
      <c r="Y79" s="48">
        <f t="shared" si="34"/>
        <v>-1</v>
      </c>
      <c r="Z79" s="131" t="s">
        <v>979</v>
      </c>
      <c r="AA79" s="156">
        <f>VLOOKUP(Z79,'TB - Expense Data'!$H$3:$N$758,3,FALSE)</f>
        <v>0</v>
      </c>
      <c r="AB79" s="14">
        <f t="shared" si="35"/>
        <v>0</v>
      </c>
      <c r="AC79" s="26">
        <f>VLOOKUP(Z79,'TB - Expense Data'!$H$3:$N$758,7,FALSE)</f>
        <v>0</v>
      </c>
      <c r="AD79" s="92">
        <f t="shared" si="36"/>
        <v>0</v>
      </c>
      <c r="AE79" s="48" t="str">
        <f t="shared" si="37"/>
        <v xml:space="preserve">-    </v>
      </c>
      <c r="AF79" s="131" t="s">
        <v>979</v>
      </c>
      <c r="AG79" s="156">
        <f>VLOOKUP(AF79,'TB - Expense Data'!$H$3:$N$758,3,FALSE)</f>
        <v>0</v>
      </c>
      <c r="AH79" s="14">
        <f t="shared" si="38"/>
        <v>0</v>
      </c>
      <c r="AI79" s="26">
        <f>VLOOKUP(AF79,'TB - Expense Data'!$H$3:$N$758,7,FALSE)</f>
        <v>0</v>
      </c>
      <c r="AJ79" s="92">
        <f t="shared" si="39"/>
        <v>0</v>
      </c>
      <c r="AK79" s="48" t="str">
        <f t="shared" si="40"/>
        <v xml:space="preserve">-    </v>
      </c>
      <c r="AL79" s="156">
        <f t="shared" si="51"/>
        <v>1000</v>
      </c>
      <c r="AM79" s="14">
        <f t="shared" si="52"/>
        <v>500</v>
      </c>
      <c r="AN79" s="26">
        <f t="shared" si="53"/>
        <v>0</v>
      </c>
      <c r="AO79" s="239">
        <f t="shared" si="54"/>
        <v>-500</v>
      </c>
      <c r="AP79" s="58">
        <f t="shared" si="55"/>
        <v>-1</v>
      </c>
    </row>
    <row r="80" spans="1:42" ht="15.75" x14ac:dyDescent="0.25">
      <c r="A80" s="17"/>
      <c r="B80" s="131"/>
      <c r="C80" s="158"/>
      <c r="D80" s="114"/>
      <c r="E80" s="18"/>
      <c r="F80" s="236"/>
      <c r="G80" s="58"/>
      <c r="H80" s="127"/>
      <c r="I80" s="158"/>
      <c r="J80" s="114"/>
      <c r="K80" s="18"/>
      <c r="L80" s="236"/>
      <c r="M80" s="58"/>
      <c r="N80" s="131"/>
      <c r="O80" s="158"/>
      <c r="P80" s="114"/>
      <c r="Q80" s="18"/>
      <c r="R80" s="236"/>
      <c r="S80" s="58"/>
      <c r="T80" s="131"/>
      <c r="U80" s="158"/>
      <c r="V80" s="114"/>
      <c r="W80" s="18"/>
      <c r="X80" s="236"/>
      <c r="Y80" s="58"/>
      <c r="Z80" s="131"/>
      <c r="AA80" s="158"/>
      <c r="AB80" s="114"/>
      <c r="AC80" s="18"/>
      <c r="AD80" s="236"/>
      <c r="AE80" s="58"/>
      <c r="AF80" s="127"/>
      <c r="AG80" s="158"/>
      <c r="AH80" s="114"/>
      <c r="AI80" s="18"/>
      <c r="AJ80" s="236"/>
      <c r="AK80" s="58"/>
      <c r="AL80" s="162"/>
      <c r="AM80" s="18"/>
      <c r="AN80" s="18"/>
      <c r="AO80" s="239"/>
      <c r="AP80" s="58"/>
    </row>
    <row r="81" spans="1:42" ht="15.75" x14ac:dyDescent="0.25">
      <c r="A81" s="31" t="s">
        <v>61</v>
      </c>
      <c r="B81" s="244"/>
      <c r="C81" s="159">
        <f>SUM(C33:C80)</f>
        <v>558905</v>
      </c>
      <c r="D81" s="115">
        <f>SUM(D33:D80)</f>
        <v>279452.5</v>
      </c>
      <c r="E81" s="115">
        <f>SUM(E33:E80)</f>
        <v>238198.72</v>
      </c>
      <c r="F81" s="238">
        <f>E81-D81</f>
        <v>-41253.78</v>
      </c>
      <c r="G81" s="59">
        <f>IF(AND(D81&lt;&gt;0,F81&lt;&gt;0,ISNUMBER(D81),ISNUMBER(F81)),F81/D81,"-    ")</f>
        <v>-0.14762358540360168</v>
      </c>
      <c r="H81" s="126"/>
      <c r="I81" s="159">
        <f>SUM(I33:I80)</f>
        <v>205546</v>
      </c>
      <c r="J81" s="115">
        <f>SUM(J33:J80)</f>
        <v>102773</v>
      </c>
      <c r="K81" s="32">
        <f>SUM(K33:K80)</f>
        <v>92745.739999999991</v>
      </c>
      <c r="L81" s="238">
        <f>K81-J81</f>
        <v>-10027.260000000009</v>
      </c>
      <c r="M81" s="59">
        <f>IF(AND(J81&lt;&gt;0,L81&lt;&gt;0,ISNUMBER(J81),ISNUMBER(L81)),L81/J81,"-    ")</f>
        <v>-9.7567065279791476E-2</v>
      </c>
      <c r="N81" s="230"/>
      <c r="O81" s="159">
        <f>SUM(O33:O80)</f>
        <v>1974228</v>
      </c>
      <c r="P81" s="115">
        <f>SUM(P33:P80)</f>
        <v>987114</v>
      </c>
      <c r="Q81" s="32">
        <f>SUM(Q33:Q80)</f>
        <v>907425.22</v>
      </c>
      <c r="R81" s="238">
        <f>Q81-P81</f>
        <v>-79688.780000000028</v>
      </c>
      <c r="S81" s="59">
        <f>IF(AND(P81&lt;&gt;0,R81&lt;&gt;0,ISNUMBER(P81),ISNUMBER(R81)),R81/P81,"-    ")</f>
        <v>-8.0729054597543981E-2</v>
      </c>
      <c r="T81" s="131"/>
      <c r="U81" s="159">
        <f>SUM(U33:U80)</f>
        <v>559741</v>
      </c>
      <c r="V81" s="115">
        <f>SUM(V33:V80)</f>
        <v>279870.5</v>
      </c>
      <c r="W81" s="32">
        <f>SUM(W33:W80)</f>
        <v>260898.21000000002</v>
      </c>
      <c r="X81" s="238">
        <f>W81-V81</f>
        <v>-18972.289999999979</v>
      </c>
      <c r="Y81" s="59">
        <f>IF(AND(V81&lt;&gt;0,X81&lt;&gt;0,ISNUMBER(V81),ISNUMBER(X81)),X81/V81,"-    ")</f>
        <v>-6.7789531229622196E-2</v>
      </c>
      <c r="Z81" s="131"/>
      <c r="AA81" s="159">
        <f>SUM(AA33:AA80)</f>
        <v>246368</v>
      </c>
      <c r="AB81" s="115">
        <f>SUM(AB33:AB80)</f>
        <v>123184</v>
      </c>
      <c r="AC81" s="32">
        <f>SUM(AC33:AC80)</f>
        <v>102653.22</v>
      </c>
      <c r="AD81" s="238">
        <f>AC81-AB81</f>
        <v>-20530.78</v>
      </c>
      <c r="AE81" s="59">
        <f>IF(AND(AB81&lt;&gt;0,AD81&lt;&gt;0,ISNUMBER(AB81),ISNUMBER(AD81)),AD81/AB81,"-    ")</f>
        <v>-0.16666758669957135</v>
      </c>
      <c r="AF81" s="126"/>
      <c r="AG81" s="159">
        <f>SUM(AG33:AG80)</f>
        <v>0</v>
      </c>
      <c r="AH81" s="115">
        <f>SUM(AH33:AH80)</f>
        <v>0</v>
      </c>
      <c r="AI81" s="32">
        <f>SUM(AI33:AI80)</f>
        <v>0</v>
      </c>
      <c r="AJ81" s="238">
        <f>AI81-AH81</f>
        <v>0</v>
      </c>
      <c r="AK81" s="59" t="str">
        <f>IF(AND(AH81&lt;&gt;0,AJ81&lt;&gt;0,ISNUMBER(AH81),ISNUMBER(AJ81)),AJ81/AH81,"-    ")</f>
        <v xml:space="preserve">-    </v>
      </c>
      <c r="AL81" s="254">
        <f>SUM(AL33:AL80)</f>
        <v>3544788</v>
      </c>
      <c r="AM81" s="32">
        <f>SUM(AM33:AM80)</f>
        <v>1772394</v>
      </c>
      <c r="AN81" s="32">
        <f>SUM(AN33:AN80)</f>
        <v>1601921.1099999999</v>
      </c>
      <c r="AO81" s="238">
        <f>AN81-AM81</f>
        <v>-170472.89000000013</v>
      </c>
      <c r="AP81" s="59">
        <f>IF(AND(AM81&lt;&gt;0,AO81&lt;&gt;0,ISNUMBER(AM81),ISNUMBER(AO81)),AO81/AM81,"-    ")</f>
        <v>-9.6182276626980298E-2</v>
      </c>
    </row>
    <row r="82" spans="1:42" ht="15.75" x14ac:dyDescent="0.25">
      <c r="A82" s="31"/>
      <c r="B82" s="244"/>
      <c r="C82" s="159"/>
      <c r="D82" s="115"/>
      <c r="E82" s="32"/>
      <c r="F82" s="236"/>
      <c r="G82" s="58"/>
      <c r="H82" s="127"/>
      <c r="I82" s="159"/>
      <c r="J82" s="115"/>
      <c r="K82" s="32"/>
      <c r="L82" s="236"/>
      <c r="M82" s="58"/>
      <c r="N82" s="229"/>
      <c r="O82" s="159"/>
      <c r="P82" s="115"/>
      <c r="Q82" s="32"/>
      <c r="R82" s="236"/>
      <c r="S82" s="58"/>
      <c r="T82" s="127"/>
      <c r="U82" s="159"/>
      <c r="V82" s="115"/>
      <c r="W82" s="32"/>
      <c r="X82" s="236"/>
      <c r="Y82" s="58"/>
      <c r="Z82" s="229"/>
      <c r="AA82" s="159"/>
      <c r="AB82" s="115"/>
      <c r="AC82" s="32"/>
      <c r="AD82" s="236"/>
      <c r="AE82" s="58"/>
      <c r="AF82" s="127"/>
      <c r="AG82" s="159"/>
      <c r="AH82" s="115"/>
      <c r="AI82" s="32"/>
      <c r="AJ82" s="236"/>
      <c r="AK82" s="58"/>
      <c r="AL82" s="254"/>
      <c r="AM82" s="32"/>
      <c r="AN82" s="32"/>
      <c r="AO82" s="239"/>
      <c r="AP82" s="58"/>
    </row>
    <row r="83" spans="1:42" ht="15.75" x14ac:dyDescent="0.25">
      <c r="A83" s="21" t="s">
        <v>62</v>
      </c>
      <c r="B83" s="245"/>
      <c r="C83" s="160">
        <f>C31+C81</f>
        <v>1061046</v>
      </c>
      <c r="D83" s="116">
        <f>D31+D81</f>
        <v>530523</v>
      </c>
      <c r="E83" s="22">
        <f>E31+E81</f>
        <v>451158.95999999996</v>
      </c>
      <c r="F83" s="237">
        <f>E83-D83</f>
        <v>-79364.040000000037</v>
      </c>
      <c r="G83" s="60">
        <f>IF(AND(D83&lt;&gt;0,F83&lt;&gt;0,ISNUMBER(D83),ISNUMBER(F83)),F83/D83,"-    ")</f>
        <v>-0.14959585164073949</v>
      </c>
      <c r="H83" s="125"/>
      <c r="I83" s="160">
        <f>I31+I81</f>
        <v>344067.28</v>
      </c>
      <c r="J83" s="116">
        <f>J31+J81</f>
        <v>172033.64</v>
      </c>
      <c r="K83" s="22">
        <f>K31+K81</f>
        <v>156714.18</v>
      </c>
      <c r="L83" s="237">
        <f>K83-J83</f>
        <v>-15319.460000000021</v>
      </c>
      <c r="M83" s="60">
        <f>IF(AND(J83&lt;&gt;0,L83&lt;&gt;0,ISNUMBER(J83),ISNUMBER(L83)),L83/J83,"-    ")</f>
        <v>-8.9049211537929551E-2</v>
      </c>
      <c r="N83" s="242"/>
      <c r="O83" s="160">
        <f>O31+O81</f>
        <v>2874622</v>
      </c>
      <c r="P83" s="116">
        <f>P31+P81</f>
        <v>1437311</v>
      </c>
      <c r="Q83" s="22">
        <f>Q31+Q81</f>
        <v>1317810.46</v>
      </c>
      <c r="R83" s="237">
        <f>Q83-P83</f>
        <v>-119500.54000000004</v>
      </c>
      <c r="S83" s="60">
        <f>IF(AND(P83&lt;&gt;0,R83&lt;&gt;0,ISNUMBER(P83),ISNUMBER(R83)),R83/P83,"-    ")</f>
        <v>-8.3141741766395744E-2</v>
      </c>
      <c r="T83" s="125"/>
      <c r="U83" s="160">
        <f>U31+U81</f>
        <v>750228.06</v>
      </c>
      <c r="V83" s="116">
        <f>V31+V81</f>
        <v>375114.03</v>
      </c>
      <c r="W83" s="22">
        <f>W31+W81</f>
        <v>348241.73</v>
      </c>
      <c r="X83" s="237">
        <f>W83-V83</f>
        <v>-26872.300000000047</v>
      </c>
      <c r="Y83" s="60">
        <f>IF(AND(V83&lt;&gt;0,X83&lt;&gt;0,ISNUMBER(V83),ISNUMBER(X83)),X83/V83,"-    ")</f>
        <v>-7.1637683079995823E-2</v>
      </c>
      <c r="Z83" s="242"/>
      <c r="AA83" s="160">
        <f>AA31+AA81</f>
        <v>246368</v>
      </c>
      <c r="AB83" s="116">
        <f>AB31+AB81</f>
        <v>123184</v>
      </c>
      <c r="AC83" s="22">
        <f>AC31+AC81</f>
        <v>102653.22</v>
      </c>
      <c r="AD83" s="237">
        <f>AC83-AB83</f>
        <v>-20530.78</v>
      </c>
      <c r="AE83" s="60">
        <f>IF(AND(AB83&lt;&gt;0,AD83&lt;&gt;0,ISNUMBER(AB83),ISNUMBER(AD83)),AD83/AB83,"-    ")</f>
        <v>-0.16666758669957135</v>
      </c>
      <c r="AF83" s="125"/>
      <c r="AG83" s="160">
        <f>AG31+AG81</f>
        <v>0</v>
      </c>
      <c r="AH83" s="116">
        <f>AH31+AH81</f>
        <v>0</v>
      </c>
      <c r="AI83" s="22">
        <f>AI31+AI81</f>
        <v>0</v>
      </c>
      <c r="AJ83" s="237">
        <f>AI83-AH83</f>
        <v>0</v>
      </c>
      <c r="AK83" s="60" t="str">
        <f>IF(AND(AH83&lt;&gt;0,AJ83&lt;&gt;0,ISNUMBER(AH83),ISNUMBER(AJ83)),AJ83/AH83,"-    ")</f>
        <v xml:space="preserve">-    </v>
      </c>
      <c r="AL83" s="255">
        <f>AL31+AL81</f>
        <v>5276331.34</v>
      </c>
      <c r="AM83" s="22">
        <f>AM31+AM81</f>
        <v>2638165.67</v>
      </c>
      <c r="AN83" s="22">
        <f>AN31+AN81</f>
        <v>2376578.5499999998</v>
      </c>
      <c r="AO83" s="237">
        <f>AN83-AM83</f>
        <v>-261587.12000000011</v>
      </c>
      <c r="AP83" s="60">
        <f>IF(AND(AM83&lt;&gt;0,AO83&lt;&gt;0,ISNUMBER(AM83),ISNUMBER(AO83)),AO83/AM83,"-    ")</f>
        <v>-9.9154925323548818E-2</v>
      </c>
    </row>
    <row r="84" spans="1:42" ht="15.75" x14ac:dyDescent="0.25">
      <c r="A84" s="235"/>
      <c r="B84" s="235"/>
      <c r="C84" s="54">
        <f>C83-'TB - Expense Data'!J764</f>
        <v>0</v>
      </c>
      <c r="D84" s="54"/>
      <c r="E84" s="34">
        <f>E83-'TB - Expense Data'!N764</f>
        <v>0</v>
      </c>
      <c r="F84" s="54"/>
      <c r="G84" s="54"/>
      <c r="H84" s="54"/>
      <c r="I84" s="34">
        <f>I83-'TB - Expense Data'!J765</f>
        <v>0</v>
      </c>
      <c r="J84" s="34"/>
      <c r="K84" s="34">
        <f>K83-'TB - Expense Data'!N765</f>
        <v>0</v>
      </c>
      <c r="L84" s="54"/>
      <c r="M84" s="54"/>
      <c r="N84" s="71"/>
      <c r="O84" s="34">
        <f>O83-'TB - Expense Data'!J766</f>
        <v>0</v>
      </c>
      <c r="P84" s="34"/>
      <c r="Q84" s="34">
        <f>Q83-'TB - Expense Data'!N766</f>
        <v>0</v>
      </c>
      <c r="R84" s="54"/>
      <c r="S84" s="54"/>
      <c r="T84" s="54"/>
      <c r="U84" s="34">
        <f>U83-'TB - Expense Data'!J767</f>
        <v>0</v>
      </c>
      <c r="V84" s="34"/>
      <c r="W84" s="34">
        <f>W83-'TB - Expense Data'!N767</f>
        <v>0</v>
      </c>
      <c r="X84" s="54"/>
      <c r="Y84" s="54"/>
      <c r="Z84" s="71"/>
      <c r="AA84" s="34">
        <f>AA83-'TB - Expense Data'!J768</f>
        <v>0</v>
      </c>
      <c r="AB84" s="34"/>
      <c r="AC84" s="34">
        <f>AC83-'TB - Expense Data'!N768</f>
        <v>0</v>
      </c>
      <c r="AD84" s="54"/>
      <c r="AE84" s="54"/>
      <c r="AF84" s="54"/>
      <c r="AG84" s="34">
        <f>AG83-'TB - Expense Data'!J769</f>
        <v>0</v>
      </c>
      <c r="AH84" s="34"/>
      <c r="AI84" s="34">
        <f>AI83-'TB - Expense Data'!N769</f>
        <v>0</v>
      </c>
      <c r="AJ84" s="54"/>
      <c r="AK84" s="54"/>
      <c r="AL84" s="34">
        <f>AL83-'TB - Expense Data'!J770</f>
        <v>0</v>
      </c>
      <c r="AM84" s="34"/>
      <c r="AN84" s="34">
        <f>AN83-'TB - Expense Data'!N770</f>
        <v>0</v>
      </c>
      <c r="AO84" s="54"/>
      <c r="AP84" s="54"/>
    </row>
    <row r="85" spans="1:42" ht="15.75" x14ac:dyDescent="0.25">
      <c r="C85" s="54"/>
      <c r="D85" s="54"/>
      <c r="E85" s="34"/>
      <c r="F85" s="54"/>
      <c r="G85" s="54"/>
      <c r="H85" s="54"/>
      <c r="I85" s="34"/>
      <c r="J85" s="34"/>
      <c r="K85" s="34"/>
      <c r="L85" s="54"/>
      <c r="M85" s="54"/>
      <c r="N85" s="71"/>
      <c r="O85" s="34"/>
      <c r="P85" s="34"/>
      <c r="Q85" s="34"/>
      <c r="R85" s="54"/>
      <c r="S85" s="54"/>
      <c r="T85" s="54"/>
      <c r="U85" s="34"/>
      <c r="V85" s="34"/>
      <c r="W85" s="34"/>
      <c r="X85" s="54"/>
      <c r="Y85" s="54"/>
      <c r="Z85" s="71"/>
      <c r="AA85" s="34"/>
      <c r="AB85" s="34"/>
      <c r="AC85" s="34"/>
      <c r="AD85" s="54"/>
      <c r="AE85" s="54"/>
      <c r="AF85" s="54"/>
      <c r="AG85" s="34"/>
      <c r="AH85" s="34"/>
      <c r="AI85" s="34"/>
      <c r="AJ85" s="54"/>
      <c r="AK85" s="54"/>
      <c r="AL85" s="34"/>
      <c r="AM85" s="34"/>
      <c r="AN85" s="34"/>
      <c r="AO85" s="54"/>
      <c r="AP85" s="54"/>
    </row>
    <row r="86" spans="1:42" ht="15.75" x14ac:dyDescent="0.25">
      <c r="C86" s="54"/>
      <c r="D86" s="54"/>
      <c r="E86" s="34"/>
      <c r="F86" s="54"/>
      <c r="G86" s="54"/>
      <c r="H86" s="54"/>
      <c r="I86" s="34"/>
      <c r="J86" s="34"/>
      <c r="K86" s="34"/>
      <c r="L86" s="54"/>
      <c r="M86" s="54"/>
      <c r="N86" s="71"/>
      <c r="O86" s="34"/>
      <c r="P86" s="34"/>
      <c r="Q86" s="34"/>
      <c r="R86" s="54"/>
      <c r="S86" s="54"/>
      <c r="T86" s="54"/>
      <c r="U86" s="34"/>
      <c r="V86" s="34"/>
      <c r="W86" s="34"/>
      <c r="X86" s="54"/>
      <c r="Y86" s="54"/>
      <c r="Z86" s="71"/>
      <c r="AA86" s="34"/>
      <c r="AB86" s="34"/>
      <c r="AC86" s="34"/>
      <c r="AD86" s="54"/>
      <c r="AE86" s="54"/>
      <c r="AF86" s="54"/>
      <c r="AG86" s="34"/>
      <c r="AH86" s="34"/>
      <c r="AI86" s="34"/>
      <c r="AJ86" s="54"/>
      <c r="AK86" s="54"/>
      <c r="AL86" s="34"/>
      <c r="AM86" s="34"/>
      <c r="AN86" s="34"/>
      <c r="AO86" s="54"/>
      <c r="AP86" s="54"/>
    </row>
    <row r="87" spans="1:42" ht="15.75" x14ac:dyDescent="0.25">
      <c r="C87" s="54"/>
      <c r="D87" s="54"/>
      <c r="E87" s="34"/>
      <c r="F87" s="54"/>
      <c r="G87" s="54"/>
      <c r="H87" s="54"/>
      <c r="I87" s="34"/>
      <c r="J87" s="34"/>
      <c r="K87" s="34"/>
      <c r="L87" s="54"/>
      <c r="M87" s="54"/>
      <c r="N87" s="71"/>
      <c r="O87" s="34"/>
      <c r="P87" s="34"/>
      <c r="Q87" s="34"/>
      <c r="R87" s="54"/>
      <c r="S87" s="54"/>
      <c r="T87" s="54"/>
      <c r="U87" s="34"/>
      <c r="V87" s="34"/>
      <c r="W87" s="34"/>
      <c r="X87" s="54"/>
      <c r="Y87" s="54"/>
      <c r="Z87" s="71"/>
      <c r="AA87" s="34"/>
      <c r="AB87" s="34"/>
      <c r="AC87" s="34"/>
      <c r="AD87" s="54"/>
      <c r="AE87" s="54"/>
      <c r="AF87" s="54"/>
      <c r="AG87" s="34"/>
      <c r="AH87" s="34"/>
      <c r="AI87" s="34"/>
      <c r="AJ87" s="54"/>
      <c r="AK87" s="54"/>
      <c r="AL87" s="34"/>
      <c r="AM87" s="34"/>
      <c r="AN87" s="34"/>
      <c r="AO87" s="54"/>
      <c r="AP87" s="54"/>
    </row>
  </sheetData>
  <sheetProtection password="CFD3" sheet="1" objects="1" scenarios="1" selectLockedCells="1" selectUnlockedCells="1"/>
  <mergeCells count="7">
    <mergeCell ref="C5:G5"/>
    <mergeCell ref="AA5:AE5"/>
    <mergeCell ref="AG5:AK5"/>
    <mergeCell ref="AL5:AP5"/>
    <mergeCell ref="I5:M5"/>
    <mergeCell ref="O5:S5"/>
    <mergeCell ref="U5:Y5"/>
  </mergeCells>
  <printOptions horizontalCentered="1"/>
  <pageMargins left="0.25" right="0.25" top="0.5" bottom="0.5" header="0.3" footer="0.3"/>
  <pageSetup scale="58" firstPageNumber="16" fitToWidth="7" orientation="portrait" useFirstPageNumber="1" r:id="rId1"/>
  <headerFooter>
    <oddFooter>&amp;L&amp;F&amp;CMarina Coast Water District&amp;R&amp;P</oddFooter>
  </headerFooter>
  <colBreaks count="6" manualBreakCount="6">
    <brk id="8" max="1048575" man="1"/>
    <brk id="14" max="1048575" man="1"/>
    <brk id="20" max="1048575" man="1"/>
    <brk id="26" max="1048575" man="1"/>
    <brk id="31" max="1048575" man="1"/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AR162"/>
  <sheetViews>
    <sheetView zoomScaleNormal="100" workbookViewId="0">
      <pane xSplit="1" ySplit="7" topLeftCell="C8" activePane="bottomRight" state="frozenSplit"/>
      <selection pane="topRight" activeCell="B1" sqref="B1"/>
      <selection pane="bottomLeft" activeCell="A7" sqref="A7"/>
      <selection pane="bottomRight" activeCell="J33" sqref="J33"/>
    </sheetView>
  </sheetViews>
  <sheetFormatPr defaultColWidth="8.85546875" defaultRowHeight="15.75" outlineLevelRow="1" outlineLevelCol="1" x14ac:dyDescent="0.25"/>
  <cols>
    <col min="1" max="1" width="40.28515625" style="3" bestFit="1" customWidth="1"/>
    <col min="2" max="2" width="14.28515625" style="3" hidden="1" customWidth="1" outlineLevel="1"/>
    <col min="3" max="3" width="11.5703125" style="3" customWidth="1" collapsed="1"/>
    <col min="4" max="4" width="11.5703125" style="3" customWidth="1"/>
    <col min="5" max="5" width="11.5703125" style="29" customWidth="1"/>
    <col min="6" max="6" width="17.28515625" style="29" bestFit="1" customWidth="1"/>
    <col min="7" max="7" width="17.28515625" style="53" bestFit="1" customWidth="1"/>
    <col min="8" max="8" width="13.28515625" style="53" hidden="1" customWidth="1" outlineLevel="1"/>
    <col min="9" max="9" width="11.5703125" style="3" customWidth="1" collapsed="1"/>
    <col min="10" max="10" width="11.5703125" style="3" customWidth="1"/>
    <col min="11" max="11" width="11.5703125" style="29" customWidth="1"/>
    <col min="12" max="12" width="17.28515625" style="29" bestFit="1" customWidth="1"/>
    <col min="13" max="13" width="17.28515625" style="53" bestFit="1" customWidth="1"/>
    <col min="14" max="14" width="13.28515625" style="53" hidden="1" customWidth="1" outlineLevel="1"/>
    <col min="15" max="15" width="11.5703125" style="3" customWidth="1" collapsed="1"/>
    <col min="16" max="16" width="11.5703125" style="3" customWidth="1"/>
    <col min="17" max="17" width="11.5703125" style="29" customWidth="1"/>
    <col min="18" max="18" width="17.28515625" style="29" bestFit="1" customWidth="1"/>
    <col min="19" max="19" width="17.28515625" style="53" bestFit="1" customWidth="1"/>
    <col min="20" max="20" width="13.28515625" style="53" hidden="1" customWidth="1" outlineLevel="1"/>
    <col min="21" max="21" width="11.5703125" style="3" customWidth="1" collapsed="1"/>
    <col min="22" max="22" width="11.5703125" style="3" customWidth="1"/>
    <col min="23" max="23" width="11.5703125" style="29" customWidth="1"/>
    <col min="24" max="24" width="17.28515625" style="29" bestFit="1" customWidth="1"/>
    <col min="25" max="25" width="17.28515625" style="53" bestFit="1" customWidth="1"/>
    <col min="26" max="27" width="11.5703125" style="3" bestFit="1" customWidth="1"/>
    <col min="28" max="28" width="11.5703125" style="29" bestFit="1" customWidth="1"/>
    <col min="29" max="29" width="17.28515625" style="29" bestFit="1" customWidth="1"/>
    <col min="30" max="30" width="17.28515625" style="53" bestFit="1" customWidth="1"/>
    <col min="31" max="16384" width="8.85546875" style="3"/>
  </cols>
  <sheetData>
    <row r="1" spans="1:44" s="1" customFormat="1" x14ac:dyDescent="0.25">
      <c r="A1" s="1" t="s">
        <v>31</v>
      </c>
      <c r="E1" s="25"/>
      <c r="F1" s="25"/>
      <c r="G1" s="46"/>
      <c r="H1" s="46"/>
      <c r="K1" s="25"/>
      <c r="L1" s="25"/>
      <c r="M1" s="46"/>
      <c r="N1" s="46"/>
      <c r="Q1" s="25"/>
      <c r="R1" s="25"/>
      <c r="S1" s="46"/>
      <c r="T1" s="46"/>
      <c r="W1" s="25"/>
      <c r="X1" s="25"/>
      <c r="Y1" s="46"/>
      <c r="AB1" s="25"/>
      <c r="AC1" s="25"/>
      <c r="AD1" s="46"/>
    </row>
    <row r="2" spans="1:44" s="1" customFormat="1" x14ac:dyDescent="0.25">
      <c r="A2" s="1" t="s">
        <v>1097</v>
      </c>
      <c r="E2" s="25"/>
      <c r="F2" s="25"/>
      <c r="G2" s="46"/>
      <c r="H2" s="46"/>
      <c r="K2" s="25"/>
      <c r="L2" s="25"/>
      <c r="M2" s="46"/>
      <c r="N2" s="46"/>
      <c r="Q2" s="25"/>
      <c r="R2" s="25"/>
      <c r="S2" s="46"/>
      <c r="T2" s="46"/>
      <c r="W2" s="25"/>
      <c r="X2" s="25"/>
      <c r="Y2" s="46"/>
      <c r="AB2" s="25"/>
      <c r="AC2" s="25"/>
      <c r="AD2" s="46"/>
    </row>
    <row r="3" spans="1:44" s="1" customFormat="1" x14ac:dyDescent="0.25">
      <c r="A3" s="1" t="str">
        <f>'All Departments'!A3</f>
        <v>JULY - DECEMBER 2014</v>
      </c>
      <c r="E3" s="25"/>
      <c r="F3" s="25"/>
      <c r="G3" s="46"/>
      <c r="H3" s="46"/>
      <c r="K3" s="25"/>
      <c r="L3" s="25"/>
      <c r="M3" s="46"/>
      <c r="N3" s="46"/>
      <c r="Q3" s="25"/>
      <c r="R3" s="25"/>
      <c r="S3" s="46"/>
      <c r="T3" s="46"/>
      <c r="W3" s="25"/>
      <c r="X3" s="25"/>
      <c r="Y3" s="46"/>
      <c r="AB3" s="25"/>
      <c r="AC3" s="25"/>
      <c r="AD3" s="46"/>
    </row>
    <row r="4" spans="1:44" s="1" customFormat="1" x14ac:dyDescent="0.25">
      <c r="E4" s="25"/>
      <c r="F4" s="25"/>
      <c r="G4" s="46"/>
      <c r="H4" s="46"/>
      <c r="K4" s="25"/>
      <c r="L4" s="25"/>
      <c r="M4" s="46"/>
      <c r="N4" s="46"/>
      <c r="Q4" s="25"/>
      <c r="R4" s="25"/>
      <c r="S4" s="46"/>
      <c r="T4" s="46"/>
      <c r="W4" s="25"/>
      <c r="X4" s="25"/>
      <c r="Y4" s="46"/>
      <c r="AB4" s="25"/>
      <c r="AC4" s="25"/>
      <c r="AD4" s="46"/>
    </row>
    <row r="5" spans="1:44" x14ac:dyDescent="0.25">
      <c r="A5" s="2" t="s">
        <v>0</v>
      </c>
      <c r="B5" s="2"/>
      <c r="C5" s="567" t="str">
        <f>'All Departments'!C5</f>
        <v>MARINA WATER</v>
      </c>
      <c r="D5" s="567"/>
      <c r="E5" s="567"/>
      <c r="F5" s="567"/>
      <c r="G5" s="568"/>
      <c r="H5" s="76"/>
      <c r="I5" s="569" t="str">
        <f>'All Departments'!I5</f>
        <v>MARINA SEWER</v>
      </c>
      <c r="J5" s="567"/>
      <c r="K5" s="567"/>
      <c r="L5" s="567"/>
      <c r="M5" s="568"/>
      <c r="N5" s="76"/>
      <c r="O5" s="569" t="str">
        <f>'All Departments'!O5</f>
        <v>ORD WATER</v>
      </c>
      <c r="P5" s="567"/>
      <c r="Q5" s="567"/>
      <c r="R5" s="567"/>
      <c r="S5" s="568"/>
      <c r="T5" s="76"/>
      <c r="U5" s="569" t="str">
        <f>'All Departments'!U5</f>
        <v>ORD SEWER</v>
      </c>
      <c r="V5" s="567"/>
      <c r="W5" s="567"/>
      <c r="X5" s="567"/>
      <c r="Y5" s="568"/>
      <c r="Z5" s="569" t="str">
        <f>'All Departments'!AL5</f>
        <v>TOTAL</v>
      </c>
      <c r="AA5" s="567"/>
      <c r="AB5" s="567"/>
      <c r="AC5" s="567"/>
      <c r="AD5" s="568"/>
    </row>
    <row r="6" spans="1:44" s="29" customFormat="1" x14ac:dyDescent="0.25">
      <c r="A6" s="37" t="s">
        <v>23</v>
      </c>
      <c r="B6" s="77" t="s">
        <v>952</v>
      </c>
      <c r="C6" s="24" t="str">
        <f>'All Departments'!$C$6</f>
        <v>ANNUAL</v>
      </c>
      <c r="D6" s="24" t="str">
        <f>'All Departments'!$D$6</f>
        <v>JUL - DEC</v>
      </c>
      <c r="E6" s="24" t="str">
        <f>'All Departments'!$E$6</f>
        <v>JUL - DEC</v>
      </c>
      <c r="F6" s="24" t="str">
        <f>'All Departments'!$F$6</f>
        <v>BUD vs ACTUALS</v>
      </c>
      <c r="G6" s="36" t="str">
        <f>'All Departments'!$G$6</f>
        <v>BUD vs ACTUALS</v>
      </c>
      <c r="H6" s="77" t="s">
        <v>952</v>
      </c>
      <c r="I6" s="35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35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35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35" t="str">
        <f>$C$6</f>
        <v>ANNUAL</v>
      </c>
      <c r="AA6" s="24" t="str">
        <f>$D$6</f>
        <v>JUL - DEC</v>
      </c>
      <c r="AB6" s="24" t="str">
        <f>$E$6</f>
        <v>JUL - DEC</v>
      </c>
      <c r="AC6" s="24" t="str">
        <f>$F$6</f>
        <v>BUD vs ACTUALS</v>
      </c>
      <c r="AD6" s="36" t="str">
        <f>$G$6</f>
        <v>BUD vs ACTUALS</v>
      </c>
      <c r="AE6" s="3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36"/>
    </row>
    <row r="7" spans="1:44" x14ac:dyDescent="0.25">
      <c r="A7" s="5"/>
      <c r="B7" s="78" t="s">
        <v>953</v>
      </c>
      <c r="C7" s="6" t="str">
        <f>'All Departments'!$C$7</f>
        <v>BUDGET</v>
      </c>
      <c r="D7" s="6" t="str">
        <f>'All Departments'!$D$7</f>
        <v>BUDGET</v>
      </c>
      <c r="E7" s="6" t="str">
        <f>'All Departments'!$E$7</f>
        <v>ACTUALS</v>
      </c>
      <c r="F7" s="6" t="str">
        <f>'All Departments'!$F$7</f>
        <v>$ CHANGE</v>
      </c>
      <c r="G7" s="7" t="str">
        <f>'All Departments'!$G$7</f>
        <v>% CHANGE</v>
      </c>
      <c r="H7" s="78" t="s">
        <v>953</v>
      </c>
      <c r="I7" s="154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154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154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154" t="str">
        <f>$C$7</f>
        <v>BUDGET</v>
      </c>
      <c r="AA7" s="6" t="str">
        <f>$D$7</f>
        <v>BUDGET</v>
      </c>
      <c r="AB7" s="6" t="str">
        <f>$E$7</f>
        <v>ACTUALS</v>
      </c>
      <c r="AC7" s="6" t="str">
        <f>$F$7</f>
        <v>$ CHANGE</v>
      </c>
      <c r="AD7" s="7" t="str">
        <f>$G$7</f>
        <v>% CHANGE</v>
      </c>
    </row>
    <row r="8" spans="1:44" x14ac:dyDescent="0.25">
      <c r="A8" s="12"/>
      <c r="B8" s="12"/>
      <c r="C8" s="440"/>
      <c r="D8" s="441"/>
      <c r="E8" s="442"/>
      <c r="F8" s="443"/>
      <c r="G8" s="444"/>
      <c r="H8" s="83"/>
      <c r="I8" s="445"/>
      <c r="J8" s="43"/>
      <c r="K8" s="42"/>
      <c r="L8" s="24"/>
      <c r="M8" s="47"/>
      <c r="N8" s="83"/>
      <c r="O8" s="445"/>
      <c r="P8" s="43"/>
      <c r="Q8" s="42"/>
      <c r="R8" s="24"/>
      <c r="S8" s="47"/>
      <c r="T8" s="83"/>
      <c r="U8" s="445"/>
      <c r="V8" s="43"/>
      <c r="W8" s="42"/>
      <c r="X8" s="24"/>
      <c r="Y8" s="47"/>
      <c r="Z8" s="445"/>
      <c r="AA8" s="43"/>
      <c r="AB8" s="42"/>
      <c r="AC8" s="24"/>
      <c r="AD8" s="47"/>
    </row>
    <row r="9" spans="1:44" x14ac:dyDescent="0.25">
      <c r="A9" s="13" t="s">
        <v>1249</v>
      </c>
      <c r="B9" s="131" t="s">
        <v>194</v>
      </c>
      <c r="C9" s="156">
        <f>VLOOKUP(B9,'TB - Expense Data'!$H$3:$N$758,3,FALSE)</f>
        <v>375643.52</v>
      </c>
      <c r="D9" s="14">
        <f>C9/2</f>
        <v>187821.76</v>
      </c>
      <c r="E9" s="26">
        <f>VLOOKUP(B9,'TB - Expense Data'!$H$3:$N$758,7,FALSE)</f>
        <v>133681.70000000001</v>
      </c>
      <c r="F9" s="92">
        <f>E9-D9</f>
        <v>-54140.06</v>
      </c>
      <c r="G9" s="48">
        <f>IF(AND(D9&lt;&gt;0,F9&lt;&gt;0,ISNUMBER(D9),ISNUMBER(F9)),F9/D9,"-    ")</f>
        <v>-0.28825233029442382</v>
      </c>
      <c r="H9" s="131" t="s">
        <v>243</v>
      </c>
      <c r="I9" s="156">
        <f>VLOOKUP(H9,'TB - Expense Data'!$H$3:$N$758,3,FALSE)</f>
        <v>164344.04</v>
      </c>
      <c r="J9" s="14">
        <f>I9/2</f>
        <v>82172.02</v>
      </c>
      <c r="K9" s="26">
        <f>VLOOKUP(H9,'TB - Expense Data'!$H$3:$N$758,7,FALSE)</f>
        <v>69034.720000000001</v>
      </c>
      <c r="L9" s="92">
        <f>K9-J9</f>
        <v>-13137.300000000003</v>
      </c>
      <c r="M9" s="48">
        <f>IF(AND(J9&lt;&gt;0,L9&lt;&gt;0,ISNUMBER(J9),ISNUMBER(L9)),L9/J9,"-    ")</f>
        <v>-0.15987558782174277</v>
      </c>
      <c r="N9" s="131" t="s">
        <v>283</v>
      </c>
      <c r="O9" s="156">
        <f>VLOOKUP(N9,'TB - Expense Data'!$H$3:$N$758,3,FALSE)</f>
        <v>446076.68</v>
      </c>
      <c r="P9" s="14">
        <f>O9/2</f>
        <v>223038.34</v>
      </c>
      <c r="Q9" s="26">
        <f>VLOOKUP(N9,'TB - Expense Data'!$H$3:$N$758,7,FALSE)</f>
        <v>217222.63</v>
      </c>
      <c r="R9" s="92">
        <f>Q9-P9</f>
        <v>-5815.7099999999919</v>
      </c>
      <c r="S9" s="48">
        <f>IF(AND(P9&lt;&gt;0,R9&lt;&gt;0,ISNUMBER(P9),ISNUMBER(R9)),R9/P9,"-    ")</f>
        <v>-2.6074934022554112E-2</v>
      </c>
      <c r="T9" s="131" t="s">
        <v>339</v>
      </c>
      <c r="U9" s="156">
        <f>VLOOKUP(T9,'TB - Expense Data'!$H$3:$N$758,3,FALSE)</f>
        <v>187821.76</v>
      </c>
      <c r="V9" s="14">
        <f>U9/2</f>
        <v>93910.88</v>
      </c>
      <c r="W9" s="26">
        <f>VLOOKUP(T9,'TB - Expense Data'!$H$3:$N$758,7,FALSE)</f>
        <v>93277.07</v>
      </c>
      <c r="X9" s="92">
        <f>W9-V9</f>
        <v>-633.80999999999767</v>
      </c>
      <c r="Y9" s="48">
        <f>IF(AND(V9&lt;&gt;0,X9&lt;&gt;0,ISNUMBER(V9),ISNUMBER(X9)),X9/V9,"-    ")</f>
        <v>-6.7490582560827631E-3</v>
      </c>
      <c r="Z9" s="156">
        <f>C9+I9+O9+U9</f>
        <v>1173886</v>
      </c>
      <c r="AA9" s="14">
        <f>D9+J9+P9+V9</f>
        <v>586943</v>
      </c>
      <c r="AB9" s="14">
        <f>E9+K9+Q9+W9</f>
        <v>513216.12000000005</v>
      </c>
      <c r="AC9" s="92">
        <f>AB9-AA9</f>
        <v>-73726.879999999946</v>
      </c>
      <c r="AD9" s="48">
        <f>IF(AND(AA9&lt;&gt;0,AC9&lt;&gt;0,ISNUMBER(AA9),ISNUMBER(AC9)),AC9/AA9,"-    ")</f>
        <v>-0.12561165223880333</v>
      </c>
    </row>
    <row r="10" spans="1:44" x14ac:dyDescent="0.25">
      <c r="A10" s="13" t="s">
        <v>37</v>
      </c>
      <c r="B10" s="131" t="s">
        <v>195</v>
      </c>
      <c r="C10" s="156">
        <f>VLOOKUP(B10,'TB - Expense Data'!$H$3:$N$758,3,FALSE)</f>
        <v>11792.64</v>
      </c>
      <c r="D10" s="14">
        <f t="shared" ref="D10:D26" si="0">C10/2</f>
        <v>5896.32</v>
      </c>
      <c r="E10" s="26">
        <f>VLOOKUP(B10,'TB - Expense Data'!$H$3:$N$758,7,FALSE)</f>
        <v>4930.58</v>
      </c>
      <c r="F10" s="92">
        <f t="shared" ref="F10:F26" si="1">E10-D10</f>
        <v>-965.73999999999978</v>
      </c>
      <c r="G10" s="48">
        <f t="shared" ref="G10:G26" si="2">IF(AND(D10&lt;&gt;0,F10&lt;&gt;0,ISNUMBER(D10),ISNUMBER(F10)),F10/D10,"-    ")</f>
        <v>-0.16378690437425375</v>
      </c>
      <c r="H10" s="131" t="s">
        <v>244</v>
      </c>
      <c r="I10" s="156">
        <f>VLOOKUP(H10,'TB - Expense Data'!$H$3:$N$758,3,FALSE)</f>
        <v>5159.28</v>
      </c>
      <c r="J10" s="14">
        <f t="shared" ref="J10:J26" si="3">I10/2</f>
        <v>2579.64</v>
      </c>
      <c r="K10" s="26">
        <f>VLOOKUP(H10,'TB - Expense Data'!$H$3:$N$758,7,FALSE)</f>
        <v>190.13</v>
      </c>
      <c r="L10" s="92">
        <f t="shared" ref="L10:L26" si="4">K10-J10</f>
        <v>-2389.5099999999998</v>
      </c>
      <c r="M10" s="48">
        <f t="shared" ref="M10:M26" si="5">IF(AND(J10&lt;&gt;0,L10&lt;&gt;0,ISNUMBER(J10),ISNUMBER(L10)),L10/J10,"-    ")</f>
        <v>-0.92629591725977267</v>
      </c>
      <c r="N10" s="131" t="s">
        <v>284</v>
      </c>
      <c r="O10" s="156">
        <f>VLOOKUP(N10,'TB - Expense Data'!$H$3:$N$758,3,FALSE)</f>
        <v>14003.76</v>
      </c>
      <c r="P10" s="14">
        <f t="shared" ref="P10:P26" si="6">O10/2</f>
        <v>7001.88</v>
      </c>
      <c r="Q10" s="26">
        <f>VLOOKUP(N10,'TB - Expense Data'!$H$3:$N$758,7,FALSE)</f>
        <v>3919.31</v>
      </c>
      <c r="R10" s="92">
        <f t="shared" ref="R10:R26" si="7">Q10-P10</f>
        <v>-3082.57</v>
      </c>
      <c r="S10" s="48">
        <f t="shared" ref="S10:S26" si="8">IF(AND(P10&lt;&gt;0,R10&lt;&gt;0,ISNUMBER(P10),ISNUMBER(R10)),R10/P10,"-    ")</f>
        <v>-0.44024890457991284</v>
      </c>
      <c r="T10" s="131" t="s">
        <v>340</v>
      </c>
      <c r="U10" s="156">
        <f>VLOOKUP(T10,'TB - Expense Data'!$H$3:$N$758,3,FALSE)</f>
        <v>5896.32</v>
      </c>
      <c r="V10" s="14">
        <f t="shared" ref="V10:V26" si="9">U10/2</f>
        <v>2948.16</v>
      </c>
      <c r="W10" s="26">
        <f>VLOOKUP(T10,'TB - Expense Data'!$H$3:$N$758,7,FALSE)</f>
        <v>817</v>
      </c>
      <c r="X10" s="92">
        <f t="shared" ref="X10:X26" si="10">W10-V10</f>
        <v>-2131.16</v>
      </c>
      <c r="Y10" s="48">
        <f t="shared" ref="Y10:Y26" si="11">IF(AND(V10&lt;&gt;0,X10&lt;&gt;0,ISNUMBER(V10),ISNUMBER(X10)),X10/V10,"-    ")</f>
        <v>-0.72287799848040812</v>
      </c>
      <c r="Z10" s="156">
        <f t="shared" ref="Z10:Z26" si="12">C10+I10+O10+U10</f>
        <v>36852</v>
      </c>
      <c r="AA10" s="14">
        <f t="shared" ref="AA10:AA26" si="13">D10+J10+P10+V10</f>
        <v>18426</v>
      </c>
      <c r="AB10" s="14">
        <f t="shared" ref="AB10:AB26" si="14">E10+K10+Q10+W10</f>
        <v>9857.02</v>
      </c>
      <c r="AC10" s="92">
        <f t="shared" ref="AC10:AC26" si="15">AB10-AA10</f>
        <v>-8568.98</v>
      </c>
      <c r="AD10" s="48">
        <f t="shared" ref="AD10:AD26" si="16">IF(AND(AA10&lt;&gt;0,AC10&lt;&gt;0,ISNUMBER(AA10),ISNUMBER(AC10)),AC10/AA10,"-    ")</f>
        <v>-0.46504830131336156</v>
      </c>
    </row>
    <row r="11" spans="1:44" x14ac:dyDescent="0.25">
      <c r="A11" s="13" t="s">
        <v>1076</v>
      </c>
      <c r="B11" s="131" t="s">
        <v>196</v>
      </c>
      <c r="C11" s="156">
        <f>VLOOKUP(B11,'TB - Expense Data'!$H$3:$N$758,3,FALSE)</f>
        <v>9318.4</v>
      </c>
      <c r="D11" s="14">
        <f t="shared" si="0"/>
        <v>4659.2</v>
      </c>
      <c r="E11" s="26">
        <f>VLOOKUP(B11,'TB - Expense Data'!$H$3:$N$758,7,FALSE)</f>
        <v>3360</v>
      </c>
      <c r="F11" s="92">
        <f t="shared" si="1"/>
        <v>-1299.1999999999998</v>
      </c>
      <c r="G11" s="48">
        <f t="shared" si="2"/>
        <v>-0.2788461538461538</v>
      </c>
      <c r="H11" s="131" t="s">
        <v>245</v>
      </c>
      <c r="I11" s="156">
        <f>VLOOKUP(H11,'TB - Expense Data'!$H$3:$N$758,3,FALSE)</f>
        <v>4076.8</v>
      </c>
      <c r="J11" s="14">
        <f t="shared" si="3"/>
        <v>2038.4</v>
      </c>
      <c r="K11" s="26">
        <f>VLOOKUP(H11,'TB - Expense Data'!$H$3:$N$758,7,FALSE)</f>
        <v>3360</v>
      </c>
      <c r="L11" s="92">
        <f t="shared" si="4"/>
        <v>1321.6</v>
      </c>
      <c r="M11" s="48">
        <f t="shared" si="5"/>
        <v>0.64835164835164827</v>
      </c>
      <c r="N11" s="131" t="s">
        <v>285</v>
      </c>
      <c r="O11" s="156">
        <f>VLOOKUP(N11,'TB - Expense Data'!$H$3:$N$758,3,FALSE)</f>
        <v>11065.6</v>
      </c>
      <c r="P11" s="14">
        <f t="shared" si="6"/>
        <v>5532.8</v>
      </c>
      <c r="Q11" s="26">
        <f>VLOOKUP(N11,'TB - Expense Data'!$H$3:$N$758,7,FALSE)</f>
        <v>3360</v>
      </c>
      <c r="R11" s="92">
        <f t="shared" si="7"/>
        <v>-2172.8000000000002</v>
      </c>
      <c r="S11" s="48">
        <f t="shared" si="8"/>
        <v>-0.39271255060728749</v>
      </c>
      <c r="T11" s="131" t="s">
        <v>341</v>
      </c>
      <c r="U11" s="156">
        <f>VLOOKUP(T11,'TB - Expense Data'!$H$3:$N$758,3,FALSE)</f>
        <v>4659.2</v>
      </c>
      <c r="V11" s="14">
        <f t="shared" si="9"/>
        <v>2329.6</v>
      </c>
      <c r="W11" s="26">
        <f>VLOOKUP(T11,'TB - Expense Data'!$H$3:$N$758,7,FALSE)</f>
        <v>3360</v>
      </c>
      <c r="X11" s="92">
        <f t="shared" si="10"/>
        <v>1030.4000000000001</v>
      </c>
      <c r="Y11" s="48">
        <f t="shared" si="11"/>
        <v>0.44230769230769235</v>
      </c>
      <c r="Z11" s="156">
        <f t="shared" si="12"/>
        <v>29120.000000000004</v>
      </c>
      <c r="AA11" s="14">
        <f t="shared" si="13"/>
        <v>14560.000000000002</v>
      </c>
      <c r="AB11" s="14">
        <f t="shared" si="14"/>
        <v>13440</v>
      </c>
      <c r="AC11" s="92">
        <f t="shared" si="15"/>
        <v>-1120.0000000000018</v>
      </c>
      <c r="AD11" s="48">
        <f t="shared" si="16"/>
        <v>-7.6923076923077038E-2</v>
      </c>
    </row>
    <row r="12" spans="1:44" x14ac:dyDescent="0.25">
      <c r="A12" s="13" t="s">
        <v>153</v>
      </c>
      <c r="B12" s="131" t="s">
        <v>197</v>
      </c>
      <c r="C12" s="156">
        <f>VLOOKUP(B12,'TB - Expense Data'!$H$3:$N$758,3,FALSE)</f>
        <v>24598.720000000001</v>
      </c>
      <c r="D12" s="14">
        <f t="shared" si="0"/>
        <v>12299.36</v>
      </c>
      <c r="E12" s="26">
        <f>VLOOKUP(B12,'TB - Expense Data'!$H$3:$N$758,7,FALSE)</f>
        <v>8523.51</v>
      </c>
      <c r="F12" s="92">
        <f t="shared" si="1"/>
        <v>-3775.8500000000004</v>
      </c>
      <c r="G12" s="48">
        <f t="shared" si="2"/>
        <v>-0.30699564855407113</v>
      </c>
      <c r="H12" s="131" t="s">
        <v>246</v>
      </c>
      <c r="I12" s="156">
        <f>VLOOKUP(H12,'TB - Expense Data'!$H$3:$N$758,3,FALSE)</f>
        <v>10761.94</v>
      </c>
      <c r="J12" s="14">
        <f t="shared" si="3"/>
        <v>5380.97</v>
      </c>
      <c r="K12" s="26">
        <f>VLOOKUP(H12,'TB - Expense Data'!$H$3:$N$758,7,FALSE)</f>
        <v>4341.74</v>
      </c>
      <c r="L12" s="92">
        <f t="shared" si="4"/>
        <v>-1039.2300000000005</v>
      </c>
      <c r="M12" s="48">
        <f t="shared" si="5"/>
        <v>-0.1931306065635007</v>
      </c>
      <c r="N12" s="131" t="s">
        <v>286</v>
      </c>
      <c r="O12" s="156">
        <f>VLOOKUP(N12,'TB - Expense Data'!$H$3:$N$758,3,FALSE)</f>
        <v>29210.98</v>
      </c>
      <c r="P12" s="14">
        <f t="shared" si="6"/>
        <v>14605.49</v>
      </c>
      <c r="Q12" s="26">
        <f>VLOOKUP(N12,'TB - Expense Data'!$H$3:$N$758,7,FALSE)</f>
        <v>13561.42</v>
      </c>
      <c r="R12" s="92">
        <f t="shared" si="7"/>
        <v>-1044.0699999999997</v>
      </c>
      <c r="S12" s="48">
        <f t="shared" si="8"/>
        <v>-7.1484763606013885E-2</v>
      </c>
      <c r="T12" s="131" t="s">
        <v>342</v>
      </c>
      <c r="U12" s="156">
        <f>VLOOKUP(T12,'TB - Expense Data'!$H$3:$N$758,3,FALSE)</f>
        <v>12299.36</v>
      </c>
      <c r="V12" s="14">
        <f t="shared" si="9"/>
        <v>6149.68</v>
      </c>
      <c r="W12" s="26">
        <f>VLOOKUP(T12,'TB - Expense Data'!$H$3:$N$758,7,FALSE)</f>
        <v>5857.62</v>
      </c>
      <c r="X12" s="92">
        <f t="shared" si="10"/>
        <v>-292.0600000000004</v>
      </c>
      <c r="Y12" s="48">
        <f t="shared" si="11"/>
        <v>-4.7491902017666024E-2</v>
      </c>
      <c r="Z12" s="156">
        <f t="shared" si="12"/>
        <v>76871</v>
      </c>
      <c r="AA12" s="14">
        <f t="shared" si="13"/>
        <v>38435.5</v>
      </c>
      <c r="AB12" s="14">
        <f t="shared" si="14"/>
        <v>32284.289999999997</v>
      </c>
      <c r="AC12" s="92">
        <f t="shared" si="15"/>
        <v>-6151.2100000000028</v>
      </c>
      <c r="AD12" s="48">
        <f t="shared" si="16"/>
        <v>-0.16003980694930475</v>
      </c>
    </row>
    <row r="13" spans="1:44" x14ac:dyDescent="0.25">
      <c r="A13" s="13" t="s">
        <v>154</v>
      </c>
      <c r="B13" s="131" t="s">
        <v>198</v>
      </c>
      <c r="C13" s="156">
        <f>VLOOKUP(B13,'TB - Expense Data'!$H$3:$N$758,3,FALSE)</f>
        <v>5752.96</v>
      </c>
      <c r="D13" s="14">
        <f t="shared" si="0"/>
        <v>2876.48</v>
      </c>
      <c r="E13" s="26">
        <f>VLOOKUP(B13,'TB - Expense Data'!$H$3:$N$758,7,FALSE)</f>
        <v>2045.67</v>
      </c>
      <c r="F13" s="92">
        <f t="shared" si="1"/>
        <v>-830.81</v>
      </c>
      <c r="G13" s="48">
        <f t="shared" si="2"/>
        <v>-0.28882870730893312</v>
      </c>
      <c r="H13" s="131" t="s">
        <v>247</v>
      </c>
      <c r="I13" s="156">
        <f>VLOOKUP(H13,'TB - Expense Data'!$H$3:$N$758,3,FALSE)</f>
        <v>2516.92</v>
      </c>
      <c r="J13" s="14">
        <f t="shared" si="3"/>
        <v>1258.46</v>
      </c>
      <c r="K13" s="26">
        <f>VLOOKUP(H13,'TB - Expense Data'!$H$3:$N$758,7,FALSE)</f>
        <v>1037.21</v>
      </c>
      <c r="L13" s="92">
        <f t="shared" si="4"/>
        <v>-221.25</v>
      </c>
      <c r="M13" s="48">
        <f t="shared" si="5"/>
        <v>-0.17581011712728253</v>
      </c>
      <c r="N13" s="131" t="s">
        <v>287</v>
      </c>
      <c r="O13" s="156">
        <f>VLOOKUP(N13,'TB - Expense Data'!$H$3:$N$758,3,FALSE)</f>
        <v>6831.64</v>
      </c>
      <c r="P13" s="14">
        <f t="shared" si="6"/>
        <v>3415.82</v>
      </c>
      <c r="Q13" s="26">
        <f>VLOOKUP(N13,'TB - Expense Data'!$H$3:$N$758,7,FALSE)</f>
        <v>3240.79</v>
      </c>
      <c r="R13" s="92">
        <f t="shared" si="7"/>
        <v>-175.0300000000002</v>
      </c>
      <c r="S13" s="48">
        <f t="shared" si="8"/>
        <v>-5.1240990450316527E-2</v>
      </c>
      <c r="T13" s="131" t="s">
        <v>343</v>
      </c>
      <c r="U13" s="156">
        <f>VLOOKUP(T13,'TB - Expense Data'!$H$3:$N$758,3,FALSE)</f>
        <v>2876.48</v>
      </c>
      <c r="V13" s="14">
        <f t="shared" si="9"/>
        <v>1438.24</v>
      </c>
      <c r="W13" s="26">
        <f>VLOOKUP(T13,'TB - Expense Data'!$H$3:$N$758,7,FALSE)</f>
        <v>1394.59</v>
      </c>
      <c r="X13" s="92">
        <f t="shared" si="10"/>
        <v>-43.650000000000091</v>
      </c>
      <c r="Y13" s="48">
        <f t="shared" si="11"/>
        <v>-3.0349593948158924E-2</v>
      </c>
      <c r="Z13" s="156">
        <f t="shared" si="12"/>
        <v>17978</v>
      </c>
      <c r="AA13" s="14">
        <f t="shared" si="13"/>
        <v>8989</v>
      </c>
      <c r="AB13" s="14">
        <f t="shared" si="14"/>
        <v>7718.26</v>
      </c>
      <c r="AC13" s="92">
        <f t="shared" si="15"/>
        <v>-1270.7399999999998</v>
      </c>
      <c r="AD13" s="48">
        <f t="shared" si="16"/>
        <v>-0.14136611413950381</v>
      </c>
    </row>
    <row r="14" spans="1:44" x14ac:dyDescent="0.25">
      <c r="A14" s="13" t="s">
        <v>38</v>
      </c>
      <c r="B14" s="131" t="s">
        <v>199</v>
      </c>
      <c r="C14" s="156">
        <f>VLOOKUP(B14,'TB - Expense Data'!$H$3:$N$758,3,FALSE)</f>
        <v>109343.67999999999</v>
      </c>
      <c r="D14" s="14">
        <f t="shared" si="0"/>
        <v>54671.839999999997</v>
      </c>
      <c r="E14" s="26">
        <f>VLOOKUP(B14,'TB - Expense Data'!$H$3:$N$758,7,FALSE)</f>
        <v>37153.050000000003</v>
      </c>
      <c r="F14" s="92">
        <f t="shared" si="1"/>
        <v>-17518.789999999994</v>
      </c>
      <c r="G14" s="48">
        <f t="shared" si="2"/>
        <v>-0.32043534660622353</v>
      </c>
      <c r="H14" s="131" t="s">
        <v>248</v>
      </c>
      <c r="I14" s="156">
        <f>VLOOKUP(H14,'TB - Expense Data'!$H$3:$N$758,3,FALSE)</f>
        <v>47837.86</v>
      </c>
      <c r="J14" s="14">
        <f t="shared" si="3"/>
        <v>23918.93</v>
      </c>
      <c r="K14" s="26">
        <f>VLOOKUP(H14,'TB - Expense Data'!$H$3:$N$758,7,FALSE)</f>
        <v>17953.88</v>
      </c>
      <c r="L14" s="92">
        <f t="shared" si="4"/>
        <v>-5965.0499999999993</v>
      </c>
      <c r="M14" s="48">
        <f t="shared" si="5"/>
        <v>-0.24938615565161149</v>
      </c>
      <c r="N14" s="131" t="s">
        <v>288</v>
      </c>
      <c r="O14" s="156">
        <f>VLOOKUP(N14,'TB - Expense Data'!$H$3:$N$758,3,FALSE)</f>
        <v>129845.62</v>
      </c>
      <c r="P14" s="14">
        <f t="shared" si="6"/>
        <v>64922.81</v>
      </c>
      <c r="Q14" s="26">
        <f>VLOOKUP(N14,'TB - Expense Data'!$H$3:$N$758,7,FALSE)</f>
        <v>64933.18</v>
      </c>
      <c r="R14" s="92">
        <f t="shared" si="7"/>
        <v>10.370000000002619</v>
      </c>
      <c r="S14" s="48">
        <f t="shared" si="8"/>
        <v>1.5972814485390604E-4</v>
      </c>
      <c r="T14" s="131" t="s">
        <v>344</v>
      </c>
      <c r="U14" s="156">
        <f>VLOOKUP(T14,'TB - Expense Data'!$H$3:$N$758,3,FALSE)</f>
        <v>54671.839999999997</v>
      </c>
      <c r="V14" s="14">
        <f t="shared" si="9"/>
        <v>27335.919999999998</v>
      </c>
      <c r="W14" s="26">
        <f>VLOOKUP(T14,'TB - Expense Data'!$H$3:$N$758,7,FALSE)</f>
        <v>17428.169999999998</v>
      </c>
      <c r="X14" s="92">
        <f t="shared" si="10"/>
        <v>-9907.75</v>
      </c>
      <c r="Y14" s="48">
        <f t="shared" si="11"/>
        <v>-0.36244435892408233</v>
      </c>
      <c r="Z14" s="156">
        <f t="shared" si="12"/>
        <v>341699</v>
      </c>
      <c r="AA14" s="14">
        <f t="shared" si="13"/>
        <v>170849.5</v>
      </c>
      <c r="AB14" s="14">
        <f t="shared" si="14"/>
        <v>137468.28000000003</v>
      </c>
      <c r="AC14" s="92">
        <f t="shared" si="15"/>
        <v>-33381.219999999972</v>
      </c>
      <c r="AD14" s="48">
        <f t="shared" si="16"/>
        <v>-0.19538377343802571</v>
      </c>
    </row>
    <row r="15" spans="1:44" x14ac:dyDescent="0.25">
      <c r="A15" s="13" t="s">
        <v>77</v>
      </c>
      <c r="B15" s="131" t="s">
        <v>200</v>
      </c>
      <c r="C15" s="156">
        <f>VLOOKUP(B15,'TB - Expense Data'!$H$3:$N$758,3,FALSE)</f>
        <v>6249.6</v>
      </c>
      <c r="D15" s="14">
        <f t="shared" si="0"/>
        <v>3124.8</v>
      </c>
      <c r="E15" s="26">
        <f>VLOOKUP(B15,'TB - Expense Data'!$H$3:$N$758,7,FALSE)</f>
        <v>2120.9699999999998</v>
      </c>
      <c r="F15" s="92">
        <f t="shared" si="1"/>
        <v>-1003.8300000000004</v>
      </c>
      <c r="G15" s="48">
        <f t="shared" si="2"/>
        <v>-0.32124615975422438</v>
      </c>
      <c r="H15" s="131" t="s">
        <v>249</v>
      </c>
      <c r="I15" s="156">
        <f>VLOOKUP(H15,'TB - Expense Data'!$H$3:$N$758,3,FALSE)</f>
        <v>2734.2</v>
      </c>
      <c r="J15" s="14">
        <f t="shared" si="3"/>
        <v>1367.1</v>
      </c>
      <c r="K15" s="26">
        <f>VLOOKUP(H15,'TB - Expense Data'!$H$3:$N$758,7,FALSE)</f>
        <v>1013.6</v>
      </c>
      <c r="L15" s="92">
        <f t="shared" si="4"/>
        <v>-353.49999999999989</v>
      </c>
      <c r="M15" s="48">
        <f t="shared" si="5"/>
        <v>-0.25857654889912945</v>
      </c>
      <c r="N15" s="131" t="s">
        <v>289</v>
      </c>
      <c r="O15" s="156">
        <f>VLOOKUP(N15,'TB - Expense Data'!$H$3:$N$758,3,FALSE)</f>
        <v>7421.4</v>
      </c>
      <c r="P15" s="14">
        <f t="shared" si="6"/>
        <v>3710.7</v>
      </c>
      <c r="Q15" s="26">
        <f>VLOOKUP(N15,'TB - Expense Data'!$H$3:$N$758,7,FALSE)</f>
        <v>3755.84</v>
      </c>
      <c r="R15" s="92">
        <f t="shared" si="7"/>
        <v>45.140000000000327</v>
      </c>
      <c r="S15" s="48">
        <f t="shared" si="8"/>
        <v>1.2164820653785088E-2</v>
      </c>
      <c r="T15" s="131" t="s">
        <v>345</v>
      </c>
      <c r="U15" s="156">
        <f>VLOOKUP(T15,'TB - Expense Data'!$H$3:$N$758,3,FALSE)</f>
        <v>3124.8</v>
      </c>
      <c r="V15" s="14">
        <f t="shared" si="9"/>
        <v>1562.4</v>
      </c>
      <c r="W15" s="26">
        <f>VLOOKUP(T15,'TB - Expense Data'!$H$3:$N$758,7,FALSE)</f>
        <v>1012.14</v>
      </c>
      <c r="X15" s="92">
        <f t="shared" si="10"/>
        <v>-550.2600000000001</v>
      </c>
      <c r="Y15" s="48">
        <f t="shared" si="11"/>
        <v>-0.35218894009216595</v>
      </c>
      <c r="Z15" s="156">
        <f t="shared" si="12"/>
        <v>19529.999999999996</v>
      </c>
      <c r="AA15" s="14">
        <f t="shared" si="13"/>
        <v>9764.9999999999982</v>
      </c>
      <c r="AB15" s="14">
        <f t="shared" si="14"/>
        <v>7902.55</v>
      </c>
      <c r="AC15" s="92">
        <f t="shared" si="15"/>
        <v>-1862.449999999998</v>
      </c>
      <c r="AD15" s="48">
        <f t="shared" si="16"/>
        <v>-0.19072708653353798</v>
      </c>
    </row>
    <row r="16" spans="1:44" x14ac:dyDescent="0.25">
      <c r="A16" s="13" t="s">
        <v>78</v>
      </c>
      <c r="B16" s="131" t="s">
        <v>201</v>
      </c>
      <c r="C16" s="156">
        <f>VLOOKUP(B16,'TB - Expense Data'!$H$3:$N$758,3,FALSE)</f>
        <v>1103.68</v>
      </c>
      <c r="D16" s="14">
        <f t="shared" si="0"/>
        <v>551.84</v>
      </c>
      <c r="E16" s="26">
        <f>VLOOKUP(B16,'TB - Expense Data'!$H$3:$N$758,7,FALSE)</f>
        <v>406.2</v>
      </c>
      <c r="F16" s="92">
        <f t="shared" si="1"/>
        <v>-145.64000000000004</v>
      </c>
      <c r="G16" s="48">
        <f t="shared" si="2"/>
        <v>-0.26391707741374315</v>
      </c>
      <c r="H16" s="131" t="s">
        <v>250</v>
      </c>
      <c r="I16" s="156">
        <f>VLOOKUP(H16,'TB - Expense Data'!$H$3:$N$758,3,FALSE)</f>
        <v>482.86</v>
      </c>
      <c r="J16" s="14">
        <f t="shared" si="3"/>
        <v>241.43</v>
      </c>
      <c r="K16" s="26">
        <f>VLOOKUP(H16,'TB - Expense Data'!$H$3:$N$758,7,FALSE)</f>
        <v>204.64</v>
      </c>
      <c r="L16" s="92">
        <f t="shared" si="4"/>
        <v>-36.79000000000002</v>
      </c>
      <c r="M16" s="48">
        <f t="shared" si="5"/>
        <v>-0.15238371370583614</v>
      </c>
      <c r="N16" s="131" t="s">
        <v>290</v>
      </c>
      <c r="O16" s="156">
        <f>VLOOKUP(N16,'TB - Expense Data'!$H$3:$N$758,3,FALSE)</f>
        <v>1310.6199999999999</v>
      </c>
      <c r="P16" s="14">
        <f t="shared" si="6"/>
        <v>655.30999999999995</v>
      </c>
      <c r="Q16" s="26">
        <f>VLOOKUP(N16,'TB - Expense Data'!$H$3:$N$758,7,FALSE)</f>
        <v>708.48</v>
      </c>
      <c r="R16" s="92">
        <f t="shared" si="7"/>
        <v>53.170000000000073</v>
      </c>
      <c r="S16" s="48">
        <f t="shared" si="8"/>
        <v>8.1137171720254656E-2</v>
      </c>
      <c r="T16" s="131" t="s">
        <v>346</v>
      </c>
      <c r="U16" s="156">
        <f>VLOOKUP(T16,'TB - Expense Data'!$H$3:$N$758,3,FALSE)</f>
        <v>551.84</v>
      </c>
      <c r="V16" s="14">
        <f t="shared" si="9"/>
        <v>275.92</v>
      </c>
      <c r="W16" s="26">
        <f>VLOOKUP(T16,'TB - Expense Data'!$H$3:$N$758,7,FALSE)</f>
        <v>198.67</v>
      </c>
      <c r="X16" s="92">
        <f t="shared" si="10"/>
        <v>-77.250000000000028</v>
      </c>
      <c r="Y16" s="48">
        <f t="shared" si="11"/>
        <v>-0.27997245578428537</v>
      </c>
      <c r="Z16" s="156">
        <f t="shared" si="12"/>
        <v>3449</v>
      </c>
      <c r="AA16" s="14">
        <f t="shared" si="13"/>
        <v>1724.5</v>
      </c>
      <c r="AB16" s="14">
        <f t="shared" si="14"/>
        <v>1517.99</v>
      </c>
      <c r="AC16" s="92">
        <f t="shared" si="15"/>
        <v>-206.51</v>
      </c>
      <c r="AD16" s="48">
        <f t="shared" si="16"/>
        <v>-0.11975065236300377</v>
      </c>
    </row>
    <row r="17" spans="1:30" x14ac:dyDescent="0.25">
      <c r="A17" s="13" t="s">
        <v>79</v>
      </c>
      <c r="B17" s="131" t="s">
        <v>202</v>
      </c>
      <c r="C17" s="156">
        <f>VLOOKUP(B17,'TB - Expense Data'!$H$3:$N$758,3,FALSE)</f>
        <v>15318.4</v>
      </c>
      <c r="D17" s="14">
        <f t="shared" si="0"/>
        <v>7659.2</v>
      </c>
      <c r="E17" s="26">
        <f>VLOOKUP(B17,'TB - Expense Data'!$H$3:$N$758,7,FALSE)</f>
        <v>5989.49</v>
      </c>
      <c r="F17" s="92">
        <f t="shared" si="1"/>
        <v>-1669.71</v>
      </c>
      <c r="G17" s="48">
        <f t="shared" si="2"/>
        <v>-0.21800057447252977</v>
      </c>
      <c r="H17" s="131" t="s">
        <v>251</v>
      </c>
      <c r="I17" s="156">
        <f>VLOOKUP(H17,'TB - Expense Data'!$H$3:$N$758,3,FALSE)</f>
        <v>6701.8</v>
      </c>
      <c r="J17" s="14">
        <f t="shared" si="3"/>
        <v>3350.9</v>
      </c>
      <c r="K17" s="26">
        <f>VLOOKUP(H17,'TB - Expense Data'!$H$3:$N$758,7,FALSE)</f>
        <v>2792.1</v>
      </c>
      <c r="L17" s="92">
        <f t="shared" si="4"/>
        <v>-558.80000000000018</v>
      </c>
      <c r="M17" s="48">
        <f t="shared" si="5"/>
        <v>-0.16676116864126062</v>
      </c>
      <c r="N17" s="131" t="s">
        <v>291</v>
      </c>
      <c r="O17" s="156">
        <f>VLOOKUP(N17,'TB - Expense Data'!$H$3:$N$758,3,FALSE)</f>
        <v>18190.599999999999</v>
      </c>
      <c r="P17" s="14">
        <f t="shared" si="6"/>
        <v>9095.2999999999993</v>
      </c>
      <c r="Q17" s="26">
        <f>VLOOKUP(N17,'TB - Expense Data'!$H$3:$N$758,7,FALSE)</f>
        <v>9476.35</v>
      </c>
      <c r="R17" s="92">
        <f t="shared" si="7"/>
        <v>381.05000000000109</v>
      </c>
      <c r="S17" s="48">
        <f t="shared" si="8"/>
        <v>4.1895264587204502E-2</v>
      </c>
      <c r="T17" s="131" t="s">
        <v>347</v>
      </c>
      <c r="U17" s="156">
        <f>VLOOKUP(T17,'TB - Expense Data'!$H$3:$N$758,3,FALSE)</f>
        <v>7659.2</v>
      </c>
      <c r="V17" s="14">
        <f t="shared" si="9"/>
        <v>3829.6</v>
      </c>
      <c r="W17" s="26">
        <f>VLOOKUP(T17,'TB - Expense Data'!$H$3:$N$758,7,FALSE)</f>
        <v>3747.47</v>
      </c>
      <c r="X17" s="92">
        <f t="shared" si="10"/>
        <v>-82.130000000000109</v>
      </c>
      <c r="Y17" s="48">
        <f t="shared" si="11"/>
        <v>-2.1446104031752691E-2</v>
      </c>
      <c r="Z17" s="156">
        <f t="shared" si="12"/>
        <v>47870</v>
      </c>
      <c r="AA17" s="14">
        <f t="shared" si="13"/>
        <v>23935</v>
      </c>
      <c r="AB17" s="14">
        <f t="shared" si="14"/>
        <v>22005.410000000003</v>
      </c>
      <c r="AC17" s="92">
        <f t="shared" si="15"/>
        <v>-1929.5899999999965</v>
      </c>
      <c r="AD17" s="48">
        <f t="shared" si="16"/>
        <v>-8.0617923542928613E-2</v>
      </c>
    </row>
    <row r="18" spans="1:30" x14ac:dyDescent="0.25">
      <c r="A18" s="13" t="s">
        <v>1248</v>
      </c>
      <c r="B18" s="131" t="s">
        <v>203</v>
      </c>
      <c r="C18" s="156">
        <f>VLOOKUP(B18,'TB - Expense Data'!$H$3:$N$758,3,FALSE)</f>
        <v>1487.68</v>
      </c>
      <c r="D18" s="14">
        <f t="shared" si="0"/>
        <v>743.84</v>
      </c>
      <c r="E18" s="26">
        <f>VLOOKUP(B18,'TB - Expense Data'!$H$3:$N$758,7,FALSE)</f>
        <v>649.88</v>
      </c>
      <c r="F18" s="92">
        <f t="shared" si="1"/>
        <v>-93.960000000000036</v>
      </c>
      <c r="G18" s="48">
        <f t="shared" si="2"/>
        <v>-0.1263174876317488</v>
      </c>
      <c r="H18" s="131" t="s">
        <v>252</v>
      </c>
      <c r="I18" s="156">
        <f>VLOOKUP(H18,'TB - Expense Data'!$H$3:$N$758,3,FALSE)</f>
        <v>650.86</v>
      </c>
      <c r="J18" s="14">
        <f t="shared" si="3"/>
        <v>325.43</v>
      </c>
      <c r="K18" s="26">
        <f>VLOOKUP(H18,'TB - Expense Data'!$H$3:$N$758,7,FALSE)</f>
        <v>179.28</v>
      </c>
      <c r="L18" s="92">
        <f t="shared" si="4"/>
        <v>-146.15</v>
      </c>
      <c r="M18" s="48">
        <f t="shared" si="5"/>
        <v>-0.44909811633838309</v>
      </c>
      <c r="N18" s="131" t="s">
        <v>292</v>
      </c>
      <c r="O18" s="156">
        <f>VLOOKUP(N18,'TB - Expense Data'!$H$3:$N$758,3,FALSE)</f>
        <v>1766.62</v>
      </c>
      <c r="P18" s="14">
        <f t="shared" si="6"/>
        <v>883.31</v>
      </c>
      <c r="Q18" s="26">
        <f>VLOOKUP(N18,'TB - Expense Data'!$H$3:$N$758,7,FALSE)</f>
        <v>1165.28</v>
      </c>
      <c r="R18" s="92">
        <f t="shared" si="7"/>
        <v>281.97000000000003</v>
      </c>
      <c r="S18" s="48">
        <f t="shared" si="8"/>
        <v>0.31921975297460692</v>
      </c>
      <c r="T18" s="131" t="s">
        <v>348</v>
      </c>
      <c r="U18" s="156">
        <f>VLOOKUP(T18,'TB - Expense Data'!$H$3:$N$758,3,FALSE)</f>
        <v>743.84</v>
      </c>
      <c r="V18" s="14">
        <f t="shared" si="9"/>
        <v>371.92</v>
      </c>
      <c r="W18" s="26">
        <f>VLOOKUP(T18,'TB - Expense Data'!$H$3:$N$758,7,FALSE)</f>
        <v>246.5</v>
      </c>
      <c r="X18" s="92">
        <f t="shared" si="10"/>
        <v>-125.42000000000002</v>
      </c>
      <c r="Y18" s="48">
        <f t="shared" si="11"/>
        <v>-0.3372230587223059</v>
      </c>
      <c r="Z18" s="156">
        <f t="shared" si="12"/>
        <v>4649</v>
      </c>
      <c r="AA18" s="14">
        <f t="shared" si="13"/>
        <v>2324.5</v>
      </c>
      <c r="AB18" s="14">
        <f t="shared" si="14"/>
        <v>2240.94</v>
      </c>
      <c r="AC18" s="92">
        <f t="shared" si="15"/>
        <v>-83.559999999999945</v>
      </c>
      <c r="AD18" s="48">
        <f t="shared" si="16"/>
        <v>-3.5947515594751539E-2</v>
      </c>
    </row>
    <row r="19" spans="1:30" x14ac:dyDescent="0.25">
      <c r="A19" s="13" t="s">
        <v>64</v>
      </c>
      <c r="B19" s="131" t="s">
        <v>204</v>
      </c>
      <c r="C19" s="156">
        <f>VLOOKUP(B19,'TB - Expense Data'!$H$3:$N$758,3,FALSE)</f>
        <v>2176</v>
      </c>
      <c r="D19" s="14">
        <f t="shared" si="0"/>
        <v>1088</v>
      </c>
      <c r="E19" s="26">
        <f>VLOOKUP(B19,'TB - Expense Data'!$H$3:$N$758,7,FALSE)</f>
        <v>954.55</v>
      </c>
      <c r="F19" s="92">
        <f t="shared" si="1"/>
        <v>-133.45000000000005</v>
      </c>
      <c r="G19" s="48">
        <f t="shared" si="2"/>
        <v>-0.12265625000000004</v>
      </c>
      <c r="H19" s="131" t="s">
        <v>253</v>
      </c>
      <c r="I19" s="156">
        <f>VLOOKUP(H19,'TB - Expense Data'!$H$3:$N$758,3,FALSE)</f>
        <v>952</v>
      </c>
      <c r="J19" s="14">
        <f t="shared" si="3"/>
        <v>476</v>
      </c>
      <c r="K19" s="26">
        <f>VLOOKUP(H19,'TB - Expense Data'!$H$3:$N$758,7,FALSE)</f>
        <v>263.43</v>
      </c>
      <c r="L19" s="92">
        <f t="shared" si="4"/>
        <v>-212.57</v>
      </c>
      <c r="M19" s="48">
        <f t="shared" si="5"/>
        <v>-0.44657563025210084</v>
      </c>
      <c r="N19" s="131" t="s">
        <v>293</v>
      </c>
      <c r="O19" s="156">
        <f>VLOOKUP(N19,'TB - Expense Data'!$H$3:$N$758,3,FALSE)</f>
        <v>2584</v>
      </c>
      <c r="P19" s="14">
        <f t="shared" si="6"/>
        <v>1292</v>
      </c>
      <c r="Q19" s="26">
        <f>VLOOKUP(N19,'TB - Expense Data'!$H$3:$N$758,7,FALSE)</f>
        <v>1711.51</v>
      </c>
      <c r="R19" s="92">
        <f t="shared" si="7"/>
        <v>419.51</v>
      </c>
      <c r="S19" s="48">
        <f t="shared" si="8"/>
        <v>0.32469814241486067</v>
      </c>
      <c r="T19" s="131" t="s">
        <v>349</v>
      </c>
      <c r="U19" s="156">
        <f>VLOOKUP(T19,'TB - Expense Data'!$H$3:$N$758,3,FALSE)</f>
        <v>1088</v>
      </c>
      <c r="V19" s="14">
        <f t="shared" si="9"/>
        <v>544</v>
      </c>
      <c r="W19" s="26">
        <f>VLOOKUP(T19,'TB - Expense Data'!$H$3:$N$758,7,FALSE)</f>
        <v>362.09</v>
      </c>
      <c r="X19" s="92">
        <f t="shared" si="10"/>
        <v>-181.91000000000003</v>
      </c>
      <c r="Y19" s="48">
        <f t="shared" si="11"/>
        <v>-0.33439338235294125</v>
      </c>
      <c r="Z19" s="156">
        <f t="shared" si="12"/>
        <v>6800</v>
      </c>
      <c r="AA19" s="14">
        <f t="shared" si="13"/>
        <v>3400</v>
      </c>
      <c r="AB19" s="14">
        <f t="shared" si="14"/>
        <v>3291.58</v>
      </c>
      <c r="AC19" s="92">
        <f t="shared" si="15"/>
        <v>-108.42000000000007</v>
      </c>
      <c r="AD19" s="48">
        <f t="shared" si="16"/>
        <v>-3.1888235294117669E-2</v>
      </c>
    </row>
    <row r="20" spans="1:30" x14ac:dyDescent="0.25">
      <c r="A20" s="13" t="s">
        <v>65</v>
      </c>
      <c r="B20" s="131" t="s">
        <v>205</v>
      </c>
      <c r="C20" s="156">
        <f>VLOOKUP(B20,'TB - Expense Data'!$H$3:$N$758,3,FALSE)</f>
        <v>1088</v>
      </c>
      <c r="D20" s="14">
        <f t="shared" si="0"/>
        <v>544</v>
      </c>
      <c r="E20" s="26">
        <f>VLOOKUP(B20,'TB - Expense Data'!$H$3:$N$758,7,FALSE)</f>
        <v>252.55</v>
      </c>
      <c r="F20" s="92">
        <f t="shared" si="1"/>
        <v>-291.45</v>
      </c>
      <c r="G20" s="48">
        <f t="shared" si="2"/>
        <v>-0.53575367647058825</v>
      </c>
      <c r="H20" s="131" t="s">
        <v>254</v>
      </c>
      <c r="I20" s="156">
        <f>VLOOKUP(H20,'TB - Expense Data'!$H$3:$N$758,3,FALSE)</f>
        <v>476</v>
      </c>
      <c r="J20" s="14">
        <f t="shared" si="3"/>
        <v>238</v>
      </c>
      <c r="K20" s="26">
        <f>VLOOKUP(H20,'TB - Expense Data'!$H$3:$N$758,7,FALSE)</f>
        <v>69.680000000000007</v>
      </c>
      <c r="L20" s="92">
        <f t="shared" si="4"/>
        <v>-168.32</v>
      </c>
      <c r="M20" s="48">
        <f t="shared" si="5"/>
        <v>-0.70722689075630252</v>
      </c>
      <c r="N20" s="131" t="s">
        <v>294</v>
      </c>
      <c r="O20" s="156">
        <f>VLOOKUP(N20,'TB - Expense Data'!$H$3:$N$758,3,FALSE)</f>
        <v>1292</v>
      </c>
      <c r="P20" s="14">
        <f t="shared" si="6"/>
        <v>646</v>
      </c>
      <c r="Q20" s="26">
        <f>VLOOKUP(N20,'TB - Expense Data'!$H$3:$N$758,7,FALSE)</f>
        <v>452.87</v>
      </c>
      <c r="R20" s="92">
        <f t="shared" si="7"/>
        <v>-193.13</v>
      </c>
      <c r="S20" s="48">
        <f t="shared" si="8"/>
        <v>-0.29896284829721359</v>
      </c>
      <c r="T20" s="131" t="s">
        <v>350</v>
      </c>
      <c r="U20" s="156">
        <f>VLOOKUP(T20,'TB - Expense Data'!$H$3:$N$758,3,FALSE)</f>
        <v>544</v>
      </c>
      <c r="V20" s="14">
        <f t="shared" si="9"/>
        <v>272</v>
      </c>
      <c r="W20" s="26">
        <f>VLOOKUP(T20,'TB - Expense Data'!$H$3:$N$758,7,FALSE)</f>
        <v>95.81</v>
      </c>
      <c r="X20" s="92">
        <f t="shared" si="10"/>
        <v>-176.19</v>
      </c>
      <c r="Y20" s="48">
        <f t="shared" si="11"/>
        <v>-0.64775735294117642</v>
      </c>
      <c r="Z20" s="156">
        <f t="shared" si="12"/>
        <v>3400</v>
      </c>
      <c r="AA20" s="14">
        <f t="shared" si="13"/>
        <v>1700</v>
      </c>
      <c r="AB20" s="14">
        <f t="shared" si="14"/>
        <v>870.91000000000008</v>
      </c>
      <c r="AC20" s="92">
        <f t="shared" si="15"/>
        <v>-829.08999999999992</v>
      </c>
      <c r="AD20" s="48">
        <f t="shared" si="16"/>
        <v>-0.48769999999999997</v>
      </c>
    </row>
    <row r="21" spans="1:30" x14ac:dyDescent="0.25">
      <c r="A21" s="13" t="s">
        <v>40</v>
      </c>
      <c r="B21" s="131" t="s">
        <v>206</v>
      </c>
      <c r="C21" s="156">
        <f>VLOOKUP(B21,'TB - Expense Data'!$H$3:$N$758,3,FALSE)</f>
        <v>1683.52</v>
      </c>
      <c r="D21" s="14">
        <f t="shared" si="0"/>
        <v>841.76</v>
      </c>
      <c r="E21" s="26">
        <f>VLOOKUP(B21,'TB - Expense Data'!$H$3:$N$758,7,FALSE)</f>
        <v>6.95</v>
      </c>
      <c r="F21" s="92">
        <f t="shared" si="1"/>
        <v>-834.81</v>
      </c>
      <c r="G21" s="48">
        <f t="shared" si="2"/>
        <v>-0.9917434898308306</v>
      </c>
      <c r="H21" s="131" t="s">
        <v>255</v>
      </c>
      <c r="I21" s="156">
        <f>VLOOKUP(H21,'TB - Expense Data'!$H$3:$N$758,3,FALSE)</f>
        <v>736.54</v>
      </c>
      <c r="J21" s="14">
        <f t="shared" si="3"/>
        <v>368.27</v>
      </c>
      <c r="K21" s="26">
        <f>VLOOKUP(H21,'TB - Expense Data'!$H$3:$N$758,7,FALSE)</f>
        <v>1.92</v>
      </c>
      <c r="L21" s="92">
        <f t="shared" si="4"/>
        <v>-366.34999999999997</v>
      </c>
      <c r="M21" s="48">
        <f t="shared" si="5"/>
        <v>-0.9947864338664566</v>
      </c>
      <c r="N21" s="131" t="s">
        <v>295</v>
      </c>
      <c r="O21" s="156">
        <f>VLOOKUP(N21,'TB - Expense Data'!$H$3:$N$758,3,FALSE)</f>
        <v>1999.18</v>
      </c>
      <c r="P21" s="14">
        <f t="shared" si="6"/>
        <v>999.59</v>
      </c>
      <c r="Q21" s="26">
        <f>VLOOKUP(N21,'TB - Expense Data'!$H$3:$N$758,7,FALSE)</f>
        <v>12.45</v>
      </c>
      <c r="R21" s="92">
        <f t="shared" si="7"/>
        <v>-987.14</v>
      </c>
      <c r="S21" s="48">
        <f t="shared" si="8"/>
        <v>-0.98754489340629659</v>
      </c>
      <c r="T21" s="131" t="s">
        <v>351</v>
      </c>
      <c r="U21" s="156">
        <f>VLOOKUP(T21,'TB - Expense Data'!$H$3:$N$758,3,FALSE)</f>
        <v>841.76</v>
      </c>
      <c r="V21" s="14">
        <f t="shared" si="9"/>
        <v>420.88</v>
      </c>
      <c r="W21" s="26">
        <f>VLOOKUP(T21,'TB - Expense Data'!$H$3:$N$758,7,FALSE)</f>
        <v>2.63</v>
      </c>
      <c r="X21" s="92">
        <f t="shared" si="10"/>
        <v>-418.25</v>
      </c>
      <c r="Y21" s="48">
        <f t="shared" si="11"/>
        <v>-0.99375118798707474</v>
      </c>
      <c r="Z21" s="156">
        <f t="shared" si="12"/>
        <v>5261</v>
      </c>
      <c r="AA21" s="14">
        <f t="shared" si="13"/>
        <v>2630.5</v>
      </c>
      <c r="AB21" s="14">
        <f t="shared" si="14"/>
        <v>23.95</v>
      </c>
      <c r="AC21" s="92">
        <f t="shared" si="15"/>
        <v>-2606.5500000000002</v>
      </c>
      <c r="AD21" s="48">
        <f t="shared" si="16"/>
        <v>-0.99089526705949449</v>
      </c>
    </row>
    <row r="22" spans="1:30" x14ac:dyDescent="0.25">
      <c r="A22" s="13" t="s">
        <v>41</v>
      </c>
      <c r="B22" s="131" t="s">
        <v>207</v>
      </c>
      <c r="C22" s="156">
        <f>VLOOKUP(B22,'TB - Expense Data'!$H$3:$N$758,3,FALSE)</f>
        <v>37.44</v>
      </c>
      <c r="D22" s="14">
        <f t="shared" si="0"/>
        <v>18.72</v>
      </c>
      <c r="E22" s="26">
        <f>VLOOKUP(B22,'TB - Expense Data'!$H$3:$N$758,7,FALSE)</f>
        <v>0</v>
      </c>
      <c r="F22" s="92">
        <f t="shared" si="1"/>
        <v>-18.72</v>
      </c>
      <c r="G22" s="48">
        <f t="shared" si="2"/>
        <v>-1</v>
      </c>
      <c r="H22" s="131" t="s">
        <v>256</v>
      </c>
      <c r="I22" s="156">
        <f>VLOOKUP(H22,'TB - Expense Data'!$H$3:$N$758,3,FALSE)</f>
        <v>16.38</v>
      </c>
      <c r="J22" s="14">
        <f t="shared" si="3"/>
        <v>8.19</v>
      </c>
      <c r="K22" s="26">
        <f>VLOOKUP(H22,'TB - Expense Data'!$H$3:$N$758,7,FALSE)</f>
        <v>0</v>
      </c>
      <c r="L22" s="92">
        <f t="shared" si="4"/>
        <v>-8.19</v>
      </c>
      <c r="M22" s="48">
        <f t="shared" si="5"/>
        <v>-1</v>
      </c>
      <c r="N22" s="131" t="s">
        <v>296</v>
      </c>
      <c r="O22" s="156">
        <f>VLOOKUP(N22,'TB - Expense Data'!$H$3:$N$758,3,FALSE)</f>
        <v>44.46</v>
      </c>
      <c r="P22" s="14">
        <f t="shared" si="6"/>
        <v>22.23</v>
      </c>
      <c r="Q22" s="26">
        <f>VLOOKUP(N22,'TB - Expense Data'!$H$3:$N$758,7,FALSE)</f>
        <v>0</v>
      </c>
      <c r="R22" s="92">
        <f t="shared" si="7"/>
        <v>-22.23</v>
      </c>
      <c r="S22" s="48">
        <f t="shared" si="8"/>
        <v>-1</v>
      </c>
      <c r="T22" s="131" t="s">
        <v>352</v>
      </c>
      <c r="U22" s="156">
        <f>VLOOKUP(T22,'TB - Expense Data'!$H$3:$N$758,3,FALSE)</f>
        <v>18.72</v>
      </c>
      <c r="V22" s="14">
        <f t="shared" si="9"/>
        <v>9.36</v>
      </c>
      <c r="W22" s="26">
        <f>VLOOKUP(T22,'TB - Expense Data'!$H$3:$N$758,7,FALSE)</f>
        <v>0</v>
      </c>
      <c r="X22" s="92">
        <f t="shared" si="10"/>
        <v>-9.36</v>
      </c>
      <c r="Y22" s="48">
        <f t="shared" si="11"/>
        <v>-1</v>
      </c>
      <c r="Z22" s="156">
        <f t="shared" si="12"/>
        <v>117</v>
      </c>
      <c r="AA22" s="14">
        <f t="shared" si="13"/>
        <v>58.5</v>
      </c>
      <c r="AB22" s="14">
        <f t="shared" si="14"/>
        <v>0</v>
      </c>
      <c r="AC22" s="92">
        <f t="shared" si="15"/>
        <v>-58.5</v>
      </c>
      <c r="AD22" s="48">
        <f t="shared" si="16"/>
        <v>-1</v>
      </c>
    </row>
    <row r="23" spans="1:30" x14ac:dyDescent="0.25">
      <c r="A23" s="13" t="s">
        <v>42</v>
      </c>
      <c r="B23" s="131" t="s">
        <v>208</v>
      </c>
      <c r="C23" s="156">
        <f>VLOOKUP(B23,'TB - Expense Data'!$H$3:$N$758,3,FALSE)</f>
        <v>1169.28</v>
      </c>
      <c r="D23" s="14">
        <f t="shared" si="0"/>
        <v>584.64</v>
      </c>
      <c r="E23" s="26">
        <f>VLOOKUP(B23,'TB - Expense Data'!$H$3:$N$758,7,FALSE)</f>
        <v>454.33</v>
      </c>
      <c r="F23" s="92">
        <f t="shared" si="1"/>
        <v>-130.31</v>
      </c>
      <c r="G23" s="48">
        <f t="shared" si="2"/>
        <v>-0.2228892993979201</v>
      </c>
      <c r="H23" s="131" t="s">
        <v>257</v>
      </c>
      <c r="I23" s="156">
        <f>VLOOKUP(H23,'TB - Expense Data'!$H$3:$N$758,3,FALSE)</f>
        <v>511.56</v>
      </c>
      <c r="J23" s="14">
        <f t="shared" si="3"/>
        <v>255.78</v>
      </c>
      <c r="K23" s="26">
        <f>VLOOKUP(H23,'TB - Expense Data'!$H$3:$N$758,7,FALSE)</f>
        <v>125.34</v>
      </c>
      <c r="L23" s="92">
        <f t="shared" si="4"/>
        <v>-130.44</v>
      </c>
      <c r="M23" s="48">
        <f t="shared" si="5"/>
        <v>-0.50996950504339666</v>
      </c>
      <c r="N23" s="131" t="s">
        <v>297</v>
      </c>
      <c r="O23" s="156">
        <f>VLOOKUP(N23,'TB - Expense Data'!$H$3:$N$758,3,FALSE)</f>
        <v>1388.52</v>
      </c>
      <c r="P23" s="14">
        <f t="shared" si="6"/>
        <v>694.26</v>
      </c>
      <c r="Q23" s="26">
        <f>VLOOKUP(N23,'TB - Expense Data'!$H$3:$N$758,7,FALSE)</f>
        <v>814.66</v>
      </c>
      <c r="R23" s="92">
        <f t="shared" si="7"/>
        <v>120.39999999999998</v>
      </c>
      <c r="S23" s="48">
        <f t="shared" si="8"/>
        <v>0.17342206089937484</v>
      </c>
      <c r="T23" s="131" t="s">
        <v>353</v>
      </c>
      <c r="U23" s="156">
        <f>VLOOKUP(T23,'TB - Expense Data'!$H$3:$N$758,3,FALSE)</f>
        <v>584.64</v>
      </c>
      <c r="V23" s="14">
        <f t="shared" si="9"/>
        <v>292.32</v>
      </c>
      <c r="W23" s="26">
        <f>VLOOKUP(T23,'TB - Expense Data'!$H$3:$N$758,7,FALSE)</f>
        <v>172.33</v>
      </c>
      <c r="X23" s="92">
        <f t="shared" si="10"/>
        <v>-119.98999999999998</v>
      </c>
      <c r="Y23" s="48">
        <f t="shared" si="11"/>
        <v>-0.4104748221127531</v>
      </c>
      <c r="Z23" s="156">
        <f t="shared" si="12"/>
        <v>3653.9999999999995</v>
      </c>
      <c r="AA23" s="14">
        <f t="shared" si="13"/>
        <v>1826.9999999999998</v>
      </c>
      <c r="AB23" s="14">
        <f t="shared" si="14"/>
        <v>1566.6599999999999</v>
      </c>
      <c r="AC23" s="92">
        <f t="shared" si="15"/>
        <v>-260.33999999999992</v>
      </c>
      <c r="AD23" s="48">
        <f t="shared" si="16"/>
        <v>-0.14249589490968798</v>
      </c>
    </row>
    <row r="24" spans="1:30" x14ac:dyDescent="0.25">
      <c r="A24" s="498" t="s">
        <v>3441</v>
      </c>
      <c r="B24" s="499" t="s">
        <v>209</v>
      </c>
      <c r="C24" s="156">
        <f>VLOOKUP(B24,'TB - Expense Data'!$H$3:$N$758,3,FALSE)</f>
        <v>34058.879999999997</v>
      </c>
      <c r="D24" s="14">
        <f t="shared" si="0"/>
        <v>17029.439999999999</v>
      </c>
      <c r="E24" s="26">
        <f>VLOOKUP(B24,'TB - Expense Data'!$H$3:$N$758,7,FALSE)</f>
        <v>11474.82</v>
      </c>
      <c r="F24" s="92">
        <f t="shared" si="1"/>
        <v>-5554.619999999999</v>
      </c>
      <c r="G24" s="48">
        <f t="shared" si="2"/>
        <v>-0.32617749027566378</v>
      </c>
      <c r="H24" s="499" t="s">
        <v>258</v>
      </c>
      <c r="I24" s="156">
        <f>VLOOKUP(H24,'TB - Expense Data'!$H$3:$N$758,3,FALSE)</f>
        <v>14900.76</v>
      </c>
      <c r="J24" s="14">
        <f t="shared" si="3"/>
        <v>7450.38</v>
      </c>
      <c r="K24" s="26">
        <f>VLOOKUP(H24,'TB - Expense Data'!$H$3:$N$758,7,FALSE)</f>
        <v>5964.7</v>
      </c>
      <c r="L24" s="92">
        <f t="shared" si="4"/>
        <v>-1485.6800000000003</v>
      </c>
      <c r="M24" s="48">
        <f t="shared" si="5"/>
        <v>-0.19940996298175398</v>
      </c>
      <c r="N24" s="499" t="s">
        <v>298</v>
      </c>
      <c r="O24" s="156">
        <f>VLOOKUP(N24,'TB - Expense Data'!$H$3:$N$758,3,FALSE)</f>
        <v>40444.92</v>
      </c>
      <c r="P24" s="14">
        <f t="shared" si="6"/>
        <v>20222.46</v>
      </c>
      <c r="Q24" s="26">
        <f>VLOOKUP(N24,'TB - Expense Data'!$H$3:$N$758,7,FALSE)</f>
        <v>18910.87</v>
      </c>
      <c r="R24" s="92">
        <f t="shared" si="7"/>
        <v>-1311.5900000000001</v>
      </c>
      <c r="S24" s="48">
        <f t="shared" si="8"/>
        <v>-6.485808353681996E-2</v>
      </c>
      <c r="T24" s="499" t="s">
        <v>354</v>
      </c>
      <c r="U24" s="156">
        <f>VLOOKUP(T24,'TB - Expense Data'!$H$3:$N$758,3,FALSE)</f>
        <v>17029.439999999999</v>
      </c>
      <c r="V24" s="14">
        <f t="shared" si="9"/>
        <v>8514.7199999999993</v>
      </c>
      <c r="W24" s="26">
        <f>VLOOKUP(T24,'TB - Expense Data'!$H$3:$N$758,7,FALSE)</f>
        <v>8143.15</v>
      </c>
      <c r="X24" s="92">
        <f t="shared" si="10"/>
        <v>-371.56999999999971</v>
      </c>
      <c r="Y24" s="48">
        <f t="shared" si="11"/>
        <v>-4.3638545953360738E-2</v>
      </c>
      <c r="Z24" s="156">
        <f t="shared" si="12"/>
        <v>106434</v>
      </c>
      <c r="AA24" s="14">
        <f t="shared" si="13"/>
        <v>53217</v>
      </c>
      <c r="AB24" s="14">
        <f t="shared" si="14"/>
        <v>44493.54</v>
      </c>
      <c r="AC24" s="92">
        <f t="shared" si="15"/>
        <v>-8723.4599999999991</v>
      </c>
      <c r="AD24" s="48">
        <f t="shared" si="16"/>
        <v>-0.16392243080218724</v>
      </c>
    </row>
    <row r="25" spans="1:30" x14ac:dyDescent="0.25">
      <c r="A25" s="498" t="s">
        <v>3442</v>
      </c>
      <c r="B25" s="499" t="s">
        <v>210</v>
      </c>
      <c r="C25" s="156">
        <f>VLOOKUP(B25,'TB - Expense Data'!$H$3:$N$758,3,FALSE)</f>
        <v>28135.68</v>
      </c>
      <c r="D25" s="14">
        <f t="shared" si="0"/>
        <v>14067.84</v>
      </c>
      <c r="E25" s="26">
        <f>VLOOKUP(B25,'TB - Expense Data'!$H$3:$N$758,7,FALSE)</f>
        <v>9535.5300000000007</v>
      </c>
      <c r="F25" s="92">
        <f t="shared" si="1"/>
        <v>-4532.3099999999995</v>
      </c>
      <c r="G25" s="48">
        <f t="shared" si="2"/>
        <v>-0.32217525931486279</v>
      </c>
      <c r="H25" s="499" t="s">
        <v>259</v>
      </c>
      <c r="I25" s="156">
        <f>VLOOKUP(H25,'TB - Expense Data'!$H$3:$N$758,3,FALSE)</f>
        <v>12309.36</v>
      </c>
      <c r="J25" s="14">
        <f t="shared" si="3"/>
        <v>6154.68</v>
      </c>
      <c r="K25" s="26">
        <f>VLOOKUP(H25,'TB - Expense Data'!$H$3:$N$758,7,FALSE)</f>
        <v>4950.95</v>
      </c>
      <c r="L25" s="92">
        <f t="shared" si="4"/>
        <v>-1203.7300000000005</v>
      </c>
      <c r="M25" s="48">
        <f t="shared" si="5"/>
        <v>-0.19557962396095335</v>
      </c>
      <c r="N25" s="499" t="s">
        <v>299</v>
      </c>
      <c r="O25" s="156">
        <f>VLOOKUP(N25,'TB - Expense Data'!$H$3:$N$758,3,FALSE)</f>
        <v>33411.120000000003</v>
      </c>
      <c r="P25" s="14">
        <f t="shared" si="6"/>
        <v>16705.560000000001</v>
      </c>
      <c r="Q25" s="26">
        <f>VLOOKUP(N25,'TB - Expense Data'!$H$3:$N$758,7,FALSE)</f>
        <v>15678.27</v>
      </c>
      <c r="R25" s="92">
        <f t="shared" si="7"/>
        <v>-1027.2900000000009</v>
      </c>
      <c r="S25" s="48">
        <f t="shared" si="8"/>
        <v>-6.1493897840000623E-2</v>
      </c>
      <c r="T25" s="499" t="s">
        <v>355</v>
      </c>
      <c r="U25" s="156">
        <f>VLOOKUP(T25,'TB - Expense Data'!$H$3:$N$758,3,FALSE)</f>
        <v>14067.84</v>
      </c>
      <c r="V25" s="14">
        <f t="shared" si="9"/>
        <v>7033.92</v>
      </c>
      <c r="W25" s="26">
        <f>VLOOKUP(T25,'TB - Expense Data'!$H$3:$N$758,7,FALSE)</f>
        <v>6759.23</v>
      </c>
      <c r="X25" s="92">
        <f t="shared" si="10"/>
        <v>-274.69000000000051</v>
      </c>
      <c r="Y25" s="48">
        <f t="shared" si="11"/>
        <v>-3.905219280287528E-2</v>
      </c>
      <c r="Z25" s="156">
        <f t="shared" si="12"/>
        <v>87924</v>
      </c>
      <c r="AA25" s="14">
        <f t="shared" si="13"/>
        <v>43962</v>
      </c>
      <c r="AB25" s="14">
        <f t="shared" si="14"/>
        <v>36923.979999999996</v>
      </c>
      <c r="AC25" s="92">
        <f t="shared" si="15"/>
        <v>-7038.0200000000041</v>
      </c>
      <c r="AD25" s="48">
        <f t="shared" si="16"/>
        <v>-0.16009326236294991</v>
      </c>
    </row>
    <row r="26" spans="1:30" x14ac:dyDescent="0.25">
      <c r="A26" s="13" t="s">
        <v>183</v>
      </c>
      <c r="B26" s="131" t="s">
        <v>211</v>
      </c>
      <c r="C26" s="156">
        <f>VLOOKUP(B26,'TB - Expense Data'!$H$3:$N$758,3,FALSE)</f>
        <v>14400</v>
      </c>
      <c r="D26" s="14">
        <f t="shared" si="0"/>
        <v>7200</v>
      </c>
      <c r="E26" s="26">
        <f>VLOOKUP(B26,'TB - Expense Data'!$H$3:$N$758,7,FALSE)</f>
        <v>0</v>
      </c>
      <c r="F26" s="92">
        <f t="shared" si="1"/>
        <v>-7200</v>
      </c>
      <c r="G26" s="48">
        <f t="shared" si="2"/>
        <v>-1</v>
      </c>
      <c r="H26" s="131" t="s">
        <v>260</v>
      </c>
      <c r="I26" s="156">
        <f>VLOOKUP(H26,'TB - Expense Data'!$H$3:$N$758,3,FALSE)</f>
        <v>6300</v>
      </c>
      <c r="J26" s="14">
        <f t="shared" si="3"/>
        <v>3150</v>
      </c>
      <c r="K26" s="26">
        <f>VLOOKUP(H26,'TB - Expense Data'!$H$3:$N$758,7,FALSE)</f>
        <v>0</v>
      </c>
      <c r="L26" s="92">
        <f t="shared" si="4"/>
        <v>-3150</v>
      </c>
      <c r="M26" s="48">
        <f t="shared" si="5"/>
        <v>-1</v>
      </c>
      <c r="N26" s="131" t="s">
        <v>300</v>
      </c>
      <c r="O26" s="156">
        <f>VLOOKUP(N26,'TB - Expense Data'!$H$3:$N$758,3,FALSE)</f>
        <v>17100</v>
      </c>
      <c r="P26" s="14">
        <f t="shared" si="6"/>
        <v>8550</v>
      </c>
      <c r="Q26" s="26">
        <f>VLOOKUP(N26,'TB - Expense Data'!$H$3:$N$758,7,FALSE)</f>
        <v>0</v>
      </c>
      <c r="R26" s="92">
        <f t="shared" si="7"/>
        <v>-8550</v>
      </c>
      <c r="S26" s="48">
        <f t="shared" si="8"/>
        <v>-1</v>
      </c>
      <c r="T26" s="131" t="s">
        <v>356</v>
      </c>
      <c r="U26" s="156">
        <f>VLOOKUP(T26,'TB - Expense Data'!$H$3:$N$758,3,FALSE)</f>
        <v>7200</v>
      </c>
      <c r="V26" s="14">
        <f t="shared" si="9"/>
        <v>3600</v>
      </c>
      <c r="W26" s="26">
        <f>VLOOKUP(T26,'TB - Expense Data'!$H$3:$N$758,7,FALSE)</f>
        <v>0</v>
      </c>
      <c r="X26" s="92">
        <f t="shared" si="10"/>
        <v>-3600</v>
      </c>
      <c r="Y26" s="48">
        <f t="shared" si="11"/>
        <v>-1</v>
      </c>
      <c r="Z26" s="156">
        <f t="shared" si="12"/>
        <v>45000</v>
      </c>
      <c r="AA26" s="14">
        <f t="shared" si="13"/>
        <v>22500</v>
      </c>
      <c r="AB26" s="14">
        <f t="shared" si="14"/>
        <v>0</v>
      </c>
      <c r="AC26" s="92">
        <f t="shared" si="15"/>
        <v>-22500</v>
      </c>
      <c r="AD26" s="48">
        <f t="shared" si="16"/>
        <v>-1</v>
      </c>
    </row>
    <row r="27" spans="1:30" x14ac:dyDescent="0.25">
      <c r="A27" s="13"/>
      <c r="B27" s="131"/>
      <c r="C27" s="156"/>
      <c r="D27" s="14"/>
      <c r="E27" s="26"/>
      <c r="F27" s="45"/>
      <c r="G27" s="49"/>
      <c r="H27" s="131"/>
      <c r="I27" s="156"/>
      <c r="J27" s="14"/>
      <c r="K27" s="26"/>
      <c r="L27" s="45"/>
      <c r="M27" s="49"/>
      <c r="N27" s="131"/>
      <c r="O27" s="156"/>
      <c r="P27" s="14"/>
      <c r="Q27" s="26"/>
      <c r="R27" s="45"/>
      <c r="S27" s="49"/>
      <c r="T27" s="131"/>
      <c r="U27" s="156"/>
      <c r="V27" s="14"/>
      <c r="W27" s="26"/>
      <c r="X27" s="45"/>
      <c r="Y27" s="49"/>
      <c r="Z27" s="156"/>
      <c r="AA27" s="14"/>
      <c r="AB27" s="26"/>
      <c r="AC27" s="91"/>
      <c r="AD27" s="49"/>
    </row>
    <row r="28" spans="1:30" s="46" customFormat="1" x14ac:dyDescent="0.25">
      <c r="A28" s="30" t="s">
        <v>45</v>
      </c>
      <c r="B28" s="222"/>
      <c r="C28" s="157">
        <f>SUM(C9:C27)</f>
        <v>643358.08000000019</v>
      </c>
      <c r="D28" s="23">
        <f>C28/2</f>
        <v>321679.0400000001</v>
      </c>
      <c r="E28" s="27">
        <f>SUM(E9:E27)</f>
        <v>221539.78</v>
      </c>
      <c r="F28" s="90">
        <f>E28-D28</f>
        <v>-100139.2600000001</v>
      </c>
      <c r="G28" s="50">
        <f>IF(AND(D28&lt;&gt;0,F28&lt;&gt;0,ISNUMBER(D28),ISNUMBER(F28)),F28/D28,"-    ")</f>
        <v>-0.31130178702348799</v>
      </c>
      <c r="H28" s="222"/>
      <c r="I28" s="157">
        <f>SUM(I9:I27)</f>
        <v>281469.15999999997</v>
      </c>
      <c r="J28" s="23">
        <f>I28/2</f>
        <v>140734.57999999999</v>
      </c>
      <c r="K28" s="27">
        <f>SUM(K9:K27)</f>
        <v>111483.32</v>
      </c>
      <c r="L28" s="90">
        <f>K28-J28</f>
        <v>-29251.25999999998</v>
      </c>
      <c r="M28" s="50">
        <f>IF(AND(J28&lt;&gt;0,L28&lt;&gt;0,ISNUMBER(J28),ISNUMBER(L28)),L28/J28,"-    ")</f>
        <v>-0.20784699822886446</v>
      </c>
      <c r="N28" s="222"/>
      <c r="O28" s="157">
        <f>SUM(O9:O27)</f>
        <v>763987.72000000009</v>
      </c>
      <c r="P28" s="23">
        <f>O28/2</f>
        <v>381993.86000000004</v>
      </c>
      <c r="Q28" s="27">
        <f>SUM(Q9:Q27)</f>
        <v>358923.91000000003</v>
      </c>
      <c r="R28" s="90">
        <f>Q28-P28</f>
        <v>-23069.950000000012</v>
      </c>
      <c r="S28" s="50">
        <f>IF(AND(P28&lt;&gt;0,R28&lt;&gt;0,ISNUMBER(P28),ISNUMBER(R28)),R28/P28,"-    ")</f>
        <v>-6.0393509989924994E-2</v>
      </c>
      <c r="T28" s="222"/>
      <c r="U28" s="157">
        <f>SUM(U9:U27)</f>
        <v>321679.0400000001</v>
      </c>
      <c r="V28" s="23">
        <f>U28/2</f>
        <v>160839.52000000005</v>
      </c>
      <c r="W28" s="27">
        <f>SUM(W9:W27)</f>
        <v>142874.47</v>
      </c>
      <c r="X28" s="90">
        <f>W28-V28</f>
        <v>-17965.050000000047</v>
      </c>
      <c r="Y28" s="50">
        <f>IF(AND(V28&lt;&gt;0,X28&lt;&gt;0,ISNUMBER(V28),ISNUMBER(X28)),X28/V28,"-    ")</f>
        <v>-0.11169549623127475</v>
      </c>
      <c r="Z28" s="157">
        <f>SUM(Z9:Z27)</f>
        <v>2010494</v>
      </c>
      <c r="AA28" s="23">
        <f>SUM(AA9:AA27)</f>
        <v>1005247</v>
      </c>
      <c r="AB28" s="27">
        <f>SUM(AB9:AB27)</f>
        <v>834821.48000000021</v>
      </c>
      <c r="AC28" s="90">
        <f>AB28-AA28</f>
        <v>-170425.51999999979</v>
      </c>
      <c r="AD28" s="50">
        <f>IF(AND(AA28&lt;&gt;0,AC28&lt;&gt;0,ISNUMBER(AA28),ISNUMBER(AC28)),AC28/AA28,"-    ")</f>
        <v>-0.16953596479273231</v>
      </c>
    </row>
    <row r="29" spans="1:30" x14ac:dyDescent="0.25">
      <c r="A29" s="13"/>
      <c r="B29" s="131"/>
      <c r="C29" s="156"/>
      <c r="D29" s="14"/>
      <c r="E29" s="26"/>
      <c r="F29" s="39"/>
      <c r="G29" s="51"/>
      <c r="H29" s="131"/>
      <c r="I29" s="156"/>
      <c r="J29" s="14"/>
      <c r="K29" s="26"/>
      <c r="L29" s="39"/>
      <c r="M29" s="51"/>
      <c r="N29" s="131"/>
      <c r="O29" s="156"/>
      <c r="P29" s="14"/>
      <c r="Q29" s="26"/>
      <c r="R29" s="39"/>
      <c r="S29" s="51"/>
      <c r="T29" s="131"/>
      <c r="U29" s="156"/>
      <c r="V29" s="14"/>
      <c r="W29" s="26"/>
      <c r="X29" s="39"/>
      <c r="Y29" s="51"/>
      <c r="Z29" s="156"/>
      <c r="AA29" s="14"/>
      <c r="AB29" s="26"/>
      <c r="AC29" s="89"/>
      <c r="AD29" s="51"/>
    </row>
    <row r="30" spans="1:30" x14ac:dyDescent="0.25">
      <c r="A30" s="13" t="s">
        <v>964</v>
      </c>
      <c r="B30" s="131" t="s">
        <v>212</v>
      </c>
      <c r="C30" s="156">
        <f>VLOOKUP(B30,'TB - Expense Data'!$H$3:$N$758,3,FALSE)</f>
        <v>493</v>
      </c>
      <c r="D30" s="14">
        <f>C30/2</f>
        <v>246.5</v>
      </c>
      <c r="E30" s="26">
        <f>VLOOKUP(B30,'TB - Expense Data'!$H$3:$N$758,7,FALSE)</f>
        <v>0</v>
      </c>
      <c r="F30" s="92">
        <f>E30-D30</f>
        <v>-246.5</v>
      </c>
      <c r="G30" s="48">
        <f>IF(AND(D30&lt;&gt;0,F30&lt;&gt;0,ISNUMBER(D30),ISNUMBER(F30)),F30/D30,"-    ")</f>
        <v>-1</v>
      </c>
      <c r="H30" s="131" t="s">
        <v>261</v>
      </c>
      <c r="I30" s="156">
        <f>VLOOKUP(H30,'TB - Expense Data'!$H$3:$N$758,3,FALSE)</f>
        <v>136</v>
      </c>
      <c r="J30" s="14">
        <f>I30/2</f>
        <v>68</v>
      </c>
      <c r="K30" s="26">
        <f>VLOOKUP(H30,'TB - Expense Data'!$H$3:$N$758,7,FALSE)</f>
        <v>0</v>
      </c>
      <c r="L30" s="92">
        <f>K30-J30</f>
        <v>-68</v>
      </c>
      <c r="M30" s="48">
        <f>IF(AND(J30&lt;&gt;0,L30&lt;&gt;0,ISNUMBER(J30),ISNUMBER(L30)),L30/J30,"-    ")</f>
        <v>-1</v>
      </c>
      <c r="N30" s="131" t="s">
        <v>301</v>
      </c>
      <c r="O30" s="156">
        <f>VLOOKUP(N30,'TB - Expense Data'!$H$3:$N$758,3,FALSE)</f>
        <v>884</v>
      </c>
      <c r="P30" s="14">
        <f>O30/2</f>
        <v>442</v>
      </c>
      <c r="Q30" s="26">
        <f>VLOOKUP(N30,'TB - Expense Data'!$H$3:$N$758,7,FALSE)</f>
        <v>0</v>
      </c>
      <c r="R30" s="92">
        <f>Q30-P30</f>
        <v>-442</v>
      </c>
      <c r="S30" s="48">
        <f>IF(AND(P30&lt;&gt;0,R30&lt;&gt;0,ISNUMBER(P30),ISNUMBER(R30)),R30/P30,"-    ")</f>
        <v>-1</v>
      </c>
      <c r="T30" s="131" t="s">
        <v>357</v>
      </c>
      <c r="U30" s="156">
        <f>VLOOKUP(T30,'TB - Expense Data'!$H$3:$N$758,3,FALSE)</f>
        <v>187</v>
      </c>
      <c r="V30" s="14">
        <f>U30/2</f>
        <v>93.5</v>
      </c>
      <c r="W30" s="26">
        <f>VLOOKUP(T30,'TB - Expense Data'!$H$3:$N$758,7,FALSE)</f>
        <v>0</v>
      </c>
      <c r="X30" s="92">
        <f>W30-V30</f>
        <v>-93.5</v>
      </c>
      <c r="Y30" s="48">
        <f>IF(AND(V30&lt;&gt;0,X30&lt;&gt;0,ISNUMBER(V30),ISNUMBER(X30)),X30/V30,"-    ")</f>
        <v>-1</v>
      </c>
      <c r="Z30" s="156">
        <f>C30+I30+O30+U30</f>
        <v>1700</v>
      </c>
      <c r="AA30" s="14">
        <f>D30+J30+P30+V30</f>
        <v>850</v>
      </c>
      <c r="AB30" s="14">
        <f>E30+K30+Q30+W30</f>
        <v>0</v>
      </c>
      <c r="AC30" s="92">
        <f>AB30-AA30</f>
        <v>-850</v>
      </c>
      <c r="AD30" s="48">
        <f>IF(AND(AA30&lt;&gt;0,AC30&lt;&gt;0,ISNUMBER(AA30),ISNUMBER(AC30)),AC30/AA30,"-    ")</f>
        <v>-1</v>
      </c>
    </row>
    <row r="31" spans="1:30" x14ac:dyDescent="0.25">
      <c r="A31" s="13" t="s">
        <v>965</v>
      </c>
      <c r="B31" s="131" t="s">
        <v>213</v>
      </c>
      <c r="C31" s="156">
        <f>VLOOKUP(B31,'TB - Expense Data'!$H$3:$N$758,3,FALSE)</f>
        <v>290</v>
      </c>
      <c r="D31" s="14">
        <f t="shared" ref="D31:D94" si="17">C31/2</f>
        <v>145</v>
      </c>
      <c r="E31" s="26">
        <f>VLOOKUP(B31,'TB - Expense Data'!$H$3:$N$758,7,FALSE)</f>
        <v>6.98</v>
      </c>
      <c r="F31" s="92">
        <f t="shared" ref="F31:F94" si="18">E31-D31</f>
        <v>-138.02000000000001</v>
      </c>
      <c r="G31" s="48">
        <f t="shared" ref="G31:G94" si="19">IF(AND(D31&lt;&gt;0,F31&lt;&gt;0,ISNUMBER(D31),ISNUMBER(F31)),F31/D31,"-    ")</f>
        <v>-0.95186206896551728</v>
      </c>
      <c r="H31" s="131" t="s">
        <v>262</v>
      </c>
      <c r="I31" s="156">
        <f>VLOOKUP(H31,'TB - Expense Data'!$H$3:$N$758,3,FALSE)</f>
        <v>80</v>
      </c>
      <c r="J31" s="14">
        <f t="shared" ref="J31:J94" si="20">I31/2</f>
        <v>40</v>
      </c>
      <c r="K31" s="26">
        <f>VLOOKUP(H31,'TB - Expense Data'!$H$3:$N$758,7,FALSE)</f>
        <v>0</v>
      </c>
      <c r="L31" s="92">
        <f t="shared" ref="L31:L94" si="21">K31-J31</f>
        <v>-40</v>
      </c>
      <c r="M31" s="48">
        <f t="shared" ref="M31:M94" si="22">IF(AND(J31&lt;&gt;0,L31&lt;&gt;0,ISNUMBER(J31),ISNUMBER(L31)),L31/J31,"-    ")</f>
        <v>-1</v>
      </c>
      <c r="N31" s="131" t="s">
        <v>302</v>
      </c>
      <c r="O31" s="156">
        <f>VLOOKUP(N31,'TB - Expense Data'!$H$3:$N$758,3,FALSE)</f>
        <v>520</v>
      </c>
      <c r="P31" s="14">
        <f t="shared" ref="P31:P94" si="23">O31/2</f>
        <v>260</v>
      </c>
      <c r="Q31" s="26">
        <f>VLOOKUP(N31,'TB - Expense Data'!$H$3:$N$758,7,FALSE)</f>
        <v>0</v>
      </c>
      <c r="R31" s="92">
        <f t="shared" ref="R31:R94" si="24">Q31-P31</f>
        <v>-260</v>
      </c>
      <c r="S31" s="48">
        <f t="shared" ref="S31:S94" si="25">IF(AND(P31&lt;&gt;0,R31&lt;&gt;0,ISNUMBER(P31),ISNUMBER(R31)),R31/P31,"-    ")</f>
        <v>-1</v>
      </c>
      <c r="T31" s="131" t="s">
        <v>358</v>
      </c>
      <c r="U31" s="156">
        <f>VLOOKUP(T31,'TB - Expense Data'!$H$3:$N$758,3,FALSE)</f>
        <v>110</v>
      </c>
      <c r="V31" s="14">
        <f t="shared" ref="V31:V94" si="26">U31/2</f>
        <v>55</v>
      </c>
      <c r="W31" s="26">
        <f>VLOOKUP(T31,'TB - Expense Data'!$H$3:$N$758,7,FALSE)</f>
        <v>0</v>
      </c>
      <c r="X31" s="92">
        <f t="shared" ref="X31:X94" si="27">W31-V31</f>
        <v>-55</v>
      </c>
      <c r="Y31" s="48">
        <f t="shared" ref="Y31:Y94" si="28">IF(AND(V31&lt;&gt;0,X31&lt;&gt;0,ISNUMBER(V31),ISNUMBER(X31)),X31/V31,"-    ")</f>
        <v>-1</v>
      </c>
      <c r="Z31" s="156">
        <f t="shared" ref="Z31:Z94" si="29">C31+I31+O31+U31</f>
        <v>1000</v>
      </c>
      <c r="AA31" s="14">
        <f t="shared" ref="AA31:AA94" si="30">D31+J31+P31+V31</f>
        <v>500</v>
      </c>
      <c r="AB31" s="14">
        <f t="shared" ref="AB31:AB94" si="31">E31+K31+Q31+W31</f>
        <v>6.98</v>
      </c>
      <c r="AC31" s="92">
        <f t="shared" ref="AC31:AC94" si="32">AB31-AA31</f>
        <v>-493.02</v>
      </c>
      <c r="AD31" s="48">
        <f t="shared" ref="AD31:AD94" si="33">IF(AND(AA31&lt;&gt;0,AC31&lt;&gt;0,ISNUMBER(AA31),ISNUMBER(AC31)),AC31/AA31,"-    ")</f>
        <v>-0.98603999999999992</v>
      </c>
    </row>
    <row r="32" spans="1:30" ht="15.75" hidden="1" customHeight="1" outlineLevel="1" x14ac:dyDescent="0.25">
      <c r="A32" s="536" t="s">
        <v>966</v>
      </c>
      <c r="B32" s="537" t="s">
        <v>214</v>
      </c>
      <c r="C32" s="556">
        <f>VLOOKUP(B32,'TB - Expense Data'!$H$3:$N$758,3,FALSE)</f>
        <v>0</v>
      </c>
      <c r="D32" s="538">
        <f t="shared" si="17"/>
        <v>0</v>
      </c>
      <c r="E32" s="538">
        <f>VLOOKUP(B32,'TB - Expense Data'!$H$3:$N$758,7,FALSE)</f>
        <v>0</v>
      </c>
      <c r="F32" s="539">
        <f t="shared" si="18"/>
        <v>0</v>
      </c>
      <c r="G32" s="540" t="str">
        <f t="shared" si="19"/>
        <v xml:space="preserve">-    </v>
      </c>
      <c r="H32" s="537" t="s">
        <v>263</v>
      </c>
      <c r="I32" s="556">
        <f>VLOOKUP(H32,'TB - Expense Data'!$H$3:$N$758,3,FALSE)</f>
        <v>0</v>
      </c>
      <c r="J32" s="538">
        <f t="shared" si="20"/>
        <v>0</v>
      </c>
      <c r="K32" s="538">
        <f>VLOOKUP(H32,'TB - Expense Data'!$H$3:$N$758,7,FALSE)</f>
        <v>0</v>
      </c>
      <c r="L32" s="539">
        <f t="shared" si="21"/>
        <v>0</v>
      </c>
      <c r="M32" s="540" t="str">
        <f t="shared" si="22"/>
        <v xml:space="preserve">-    </v>
      </c>
      <c r="N32" s="537" t="s">
        <v>303</v>
      </c>
      <c r="O32" s="556">
        <f>VLOOKUP(N32,'TB - Expense Data'!$H$3:$N$758,3,FALSE)</f>
        <v>0</v>
      </c>
      <c r="P32" s="538">
        <f t="shared" si="23"/>
        <v>0</v>
      </c>
      <c r="Q32" s="538">
        <f>VLOOKUP(N32,'TB - Expense Data'!$H$3:$N$758,7,FALSE)</f>
        <v>0</v>
      </c>
      <c r="R32" s="539">
        <f t="shared" si="24"/>
        <v>0</v>
      </c>
      <c r="S32" s="540" t="str">
        <f t="shared" si="25"/>
        <v xml:space="preserve">-    </v>
      </c>
      <c r="T32" s="537" t="s">
        <v>359</v>
      </c>
      <c r="U32" s="556">
        <f>VLOOKUP(T32,'TB - Expense Data'!$H$3:$N$758,3,FALSE)</f>
        <v>0</v>
      </c>
      <c r="V32" s="538">
        <f t="shared" si="26"/>
        <v>0</v>
      </c>
      <c r="W32" s="538">
        <f>VLOOKUP(T32,'TB - Expense Data'!$H$3:$N$758,7,FALSE)</f>
        <v>0</v>
      </c>
      <c r="X32" s="539">
        <f t="shared" si="27"/>
        <v>0</v>
      </c>
      <c r="Y32" s="540" t="str">
        <f t="shared" si="28"/>
        <v xml:space="preserve">-    </v>
      </c>
      <c r="Z32" s="556">
        <f t="shared" si="29"/>
        <v>0</v>
      </c>
      <c r="AA32" s="538">
        <f t="shared" si="30"/>
        <v>0</v>
      </c>
      <c r="AB32" s="538">
        <f t="shared" si="31"/>
        <v>0</v>
      </c>
      <c r="AC32" s="539">
        <f t="shared" si="32"/>
        <v>0</v>
      </c>
      <c r="AD32" s="540" t="str">
        <f t="shared" si="33"/>
        <v xml:space="preserve">-    </v>
      </c>
    </row>
    <row r="33" spans="1:30" collapsed="1" x14ac:dyDescent="0.25">
      <c r="A33" s="13" t="s">
        <v>967</v>
      </c>
      <c r="B33" s="131" t="s">
        <v>215</v>
      </c>
      <c r="C33" s="156">
        <f>VLOOKUP(B33,'TB - Expense Data'!$H$3:$N$758,3,FALSE)</f>
        <v>1885</v>
      </c>
      <c r="D33" s="14">
        <f t="shared" si="17"/>
        <v>942.5</v>
      </c>
      <c r="E33" s="26">
        <f>VLOOKUP(B33,'TB - Expense Data'!$H$3:$N$758,7,FALSE)</f>
        <v>470.9</v>
      </c>
      <c r="F33" s="92">
        <f t="shared" si="18"/>
        <v>-471.6</v>
      </c>
      <c r="G33" s="48">
        <f t="shared" si="19"/>
        <v>-0.50037135278514588</v>
      </c>
      <c r="H33" s="131" t="s">
        <v>264</v>
      </c>
      <c r="I33" s="156">
        <f>VLOOKUP(H33,'TB - Expense Data'!$H$3:$N$758,3,FALSE)</f>
        <v>520</v>
      </c>
      <c r="J33" s="14">
        <f t="shared" si="20"/>
        <v>260</v>
      </c>
      <c r="K33" s="26">
        <f>VLOOKUP(H33,'TB - Expense Data'!$H$3:$N$758,7,FALSE)</f>
        <v>468.88</v>
      </c>
      <c r="L33" s="92">
        <f t="shared" si="21"/>
        <v>208.88</v>
      </c>
      <c r="M33" s="48">
        <f t="shared" si="22"/>
        <v>0.80338461538461536</v>
      </c>
      <c r="N33" s="131" t="s">
        <v>304</v>
      </c>
      <c r="O33" s="156">
        <f>VLOOKUP(N33,'TB - Expense Data'!$H$3:$N$758,3,FALSE)</f>
        <v>3380</v>
      </c>
      <c r="P33" s="14">
        <f t="shared" si="23"/>
        <v>1690</v>
      </c>
      <c r="Q33" s="26">
        <f>VLOOKUP(N33,'TB - Expense Data'!$H$3:$N$758,7,FALSE)</f>
        <v>838.64</v>
      </c>
      <c r="R33" s="92">
        <f t="shared" si="24"/>
        <v>-851.36</v>
      </c>
      <c r="S33" s="48">
        <f t="shared" si="25"/>
        <v>-0.50376331360946747</v>
      </c>
      <c r="T33" s="131" t="s">
        <v>360</v>
      </c>
      <c r="U33" s="156">
        <f>VLOOKUP(T33,'TB - Expense Data'!$H$3:$N$758,3,FALSE)</f>
        <v>715</v>
      </c>
      <c r="V33" s="14">
        <f t="shared" si="26"/>
        <v>357.5</v>
      </c>
      <c r="W33" s="26">
        <f>VLOOKUP(T33,'TB - Expense Data'!$H$3:$N$758,7,FALSE)</f>
        <v>647.34</v>
      </c>
      <c r="X33" s="92">
        <f t="shared" si="27"/>
        <v>289.84000000000003</v>
      </c>
      <c r="Y33" s="48">
        <f t="shared" si="28"/>
        <v>0.8107412587412588</v>
      </c>
      <c r="Z33" s="156">
        <f t="shared" si="29"/>
        <v>6500</v>
      </c>
      <c r="AA33" s="14">
        <f t="shared" si="30"/>
        <v>3250</v>
      </c>
      <c r="AB33" s="14">
        <f t="shared" si="31"/>
        <v>2425.7600000000002</v>
      </c>
      <c r="AC33" s="92">
        <f t="shared" si="32"/>
        <v>-824.23999999999978</v>
      </c>
      <c r="AD33" s="48">
        <f t="shared" si="33"/>
        <v>-0.25361230769230764</v>
      </c>
    </row>
    <row r="34" spans="1:30" x14ac:dyDescent="0.25">
      <c r="A34" s="13" t="s">
        <v>968</v>
      </c>
      <c r="B34" s="131" t="s">
        <v>216</v>
      </c>
      <c r="C34" s="156">
        <f>VLOOKUP(B34,'TB - Expense Data'!$H$3:$N$758,3,FALSE)</f>
        <v>3480</v>
      </c>
      <c r="D34" s="14">
        <f t="shared" si="17"/>
        <v>1740</v>
      </c>
      <c r="E34" s="26">
        <f>VLOOKUP(B34,'TB - Expense Data'!$H$3:$N$758,7,FALSE)</f>
        <v>970.5</v>
      </c>
      <c r="F34" s="92">
        <f t="shared" si="18"/>
        <v>-769.5</v>
      </c>
      <c r="G34" s="48">
        <f t="shared" si="19"/>
        <v>-0.44224137931034485</v>
      </c>
      <c r="H34" s="131" t="s">
        <v>265</v>
      </c>
      <c r="I34" s="156">
        <f>VLOOKUP(H34,'TB - Expense Data'!$H$3:$N$758,3,FALSE)</f>
        <v>960</v>
      </c>
      <c r="J34" s="14">
        <f t="shared" si="20"/>
        <v>480</v>
      </c>
      <c r="K34" s="26">
        <f>VLOOKUP(H34,'TB - Expense Data'!$H$3:$N$758,7,FALSE)</f>
        <v>267.70999999999998</v>
      </c>
      <c r="L34" s="92">
        <f t="shared" si="21"/>
        <v>-212.29000000000002</v>
      </c>
      <c r="M34" s="48">
        <f t="shared" si="22"/>
        <v>-0.44227083333333339</v>
      </c>
      <c r="N34" s="131" t="s">
        <v>305</v>
      </c>
      <c r="O34" s="156">
        <f>VLOOKUP(N34,'TB - Expense Data'!$H$3:$N$758,3,FALSE)</f>
        <v>6240</v>
      </c>
      <c r="P34" s="14">
        <f t="shared" si="23"/>
        <v>3120</v>
      </c>
      <c r="Q34" s="26">
        <f>VLOOKUP(N34,'TB - Expense Data'!$H$3:$N$758,7,FALSE)</f>
        <v>1740.21</v>
      </c>
      <c r="R34" s="92">
        <f t="shared" si="24"/>
        <v>-1379.79</v>
      </c>
      <c r="S34" s="48">
        <f t="shared" si="25"/>
        <v>-0.44224038461538462</v>
      </c>
      <c r="T34" s="131" t="s">
        <v>361</v>
      </c>
      <c r="U34" s="156">
        <f>VLOOKUP(T34,'TB - Expense Data'!$H$3:$N$758,3,FALSE)</f>
        <v>1320</v>
      </c>
      <c r="V34" s="14">
        <f t="shared" si="26"/>
        <v>660</v>
      </c>
      <c r="W34" s="26">
        <f>VLOOKUP(T34,'TB - Expense Data'!$H$3:$N$758,7,FALSE)</f>
        <v>368.13</v>
      </c>
      <c r="X34" s="92">
        <f t="shared" si="27"/>
        <v>-291.87</v>
      </c>
      <c r="Y34" s="48">
        <f t="shared" si="28"/>
        <v>-0.44222727272727275</v>
      </c>
      <c r="Z34" s="156">
        <f t="shared" si="29"/>
        <v>12000</v>
      </c>
      <c r="AA34" s="14">
        <f t="shared" si="30"/>
        <v>6000</v>
      </c>
      <c r="AB34" s="14">
        <f t="shared" si="31"/>
        <v>3346.55</v>
      </c>
      <c r="AC34" s="92">
        <f t="shared" si="32"/>
        <v>-2653.45</v>
      </c>
      <c r="AD34" s="48">
        <f t="shared" si="33"/>
        <v>-0.44224166666666664</v>
      </c>
    </row>
    <row r="35" spans="1:30" x14ac:dyDescent="0.25">
      <c r="A35" s="13" t="s">
        <v>969</v>
      </c>
      <c r="B35" s="131" t="s">
        <v>217</v>
      </c>
      <c r="C35" s="156">
        <f>VLOOKUP(B35,'TB - Expense Data'!$H$3:$N$758,3,FALSE)</f>
        <v>1450</v>
      </c>
      <c r="D35" s="14">
        <f t="shared" si="17"/>
        <v>725</v>
      </c>
      <c r="E35" s="26">
        <f>VLOOKUP(B35,'TB - Expense Data'!$H$3:$N$758,7,FALSE)</f>
        <v>898.91</v>
      </c>
      <c r="F35" s="92">
        <f t="shared" si="18"/>
        <v>173.90999999999997</v>
      </c>
      <c r="G35" s="48">
        <f t="shared" si="19"/>
        <v>0.23987586206896547</v>
      </c>
      <c r="H35" s="131" t="s">
        <v>266</v>
      </c>
      <c r="I35" s="156">
        <f>VLOOKUP(H35,'TB - Expense Data'!$H$3:$N$758,3,FALSE)</f>
        <v>400</v>
      </c>
      <c r="J35" s="14">
        <f t="shared" si="20"/>
        <v>200</v>
      </c>
      <c r="K35" s="26">
        <f>VLOOKUP(H35,'TB - Expense Data'!$H$3:$N$758,7,FALSE)</f>
        <v>278.36</v>
      </c>
      <c r="L35" s="92">
        <f t="shared" si="21"/>
        <v>78.360000000000014</v>
      </c>
      <c r="M35" s="48">
        <f t="shared" si="22"/>
        <v>0.39180000000000009</v>
      </c>
      <c r="N35" s="131" t="s">
        <v>306</v>
      </c>
      <c r="O35" s="156">
        <f>VLOOKUP(N35,'TB - Expense Data'!$H$3:$N$758,3,FALSE)</f>
        <v>2600</v>
      </c>
      <c r="P35" s="14">
        <f t="shared" si="23"/>
        <v>1300</v>
      </c>
      <c r="Q35" s="26">
        <f>VLOOKUP(N35,'TB - Expense Data'!$H$3:$N$758,7,FALSE)</f>
        <v>1705.42</v>
      </c>
      <c r="R35" s="92">
        <f t="shared" si="24"/>
        <v>405.42000000000007</v>
      </c>
      <c r="S35" s="48">
        <f t="shared" si="25"/>
        <v>0.31186153846153852</v>
      </c>
      <c r="T35" s="131" t="s">
        <v>362</v>
      </c>
      <c r="U35" s="156">
        <f>VLOOKUP(T35,'TB - Expense Data'!$H$3:$N$758,3,FALSE)</f>
        <v>550</v>
      </c>
      <c r="V35" s="14">
        <f t="shared" si="26"/>
        <v>275</v>
      </c>
      <c r="W35" s="26">
        <f>VLOOKUP(T35,'TB - Expense Data'!$H$3:$N$758,7,FALSE)</f>
        <v>361.5</v>
      </c>
      <c r="X35" s="92">
        <f t="shared" si="27"/>
        <v>86.5</v>
      </c>
      <c r="Y35" s="48">
        <f t="shared" si="28"/>
        <v>0.31454545454545457</v>
      </c>
      <c r="Z35" s="156">
        <f t="shared" si="29"/>
        <v>5000</v>
      </c>
      <c r="AA35" s="14">
        <f t="shared" si="30"/>
        <v>2500</v>
      </c>
      <c r="AB35" s="14">
        <f t="shared" si="31"/>
        <v>3244.19</v>
      </c>
      <c r="AC35" s="92">
        <f t="shared" si="32"/>
        <v>744.19</v>
      </c>
      <c r="AD35" s="48">
        <f t="shared" si="33"/>
        <v>0.297676</v>
      </c>
    </row>
    <row r="36" spans="1:30" x14ac:dyDescent="0.25">
      <c r="A36" s="13" t="s">
        <v>970</v>
      </c>
      <c r="B36" s="131" t="s">
        <v>218</v>
      </c>
      <c r="C36" s="156">
        <f>VLOOKUP(B36,'TB - Expense Data'!$H$3:$N$758,3,FALSE)</f>
        <v>47850</v>
      </c>
      <c r="D36" s="14">
        <f t="shared" si="17"/>
        <v>23925</v>
      </c>
      <c r="E36" s="26">
        <f>VLOOKUP(B36,'TB - Expense Data'!$H$3:$N$758,7,FALSE)</f>
        <v>22958.14</v>
      </c>
      <c r="F36" s="92">
        <f t="shared" si="18"/>
        <v>-966.86000000000058</v>
      </c>
      <c r="G36" s="48">
        <f t="shared" si="19"/>
        <v>-4.0412121212121239E-2</v>
      </c>
      <c r="H36" s="131" t="s">
        <v>267</v>
      </c>
      <c r="I36" s="156">
        <f>VLOOKUP(H36,'TB - Expense Data'!$H$3:$N$758,3,FALSE)</f>
        <v>13200</v>
      </c>
      <c r="J36" s="14">
        <f t="shared" si="20"/>
        <v>6600</v>
      </c>
      <c r="K36" s="26">
        <f>VLOOKUP(H36,'TB - Expense Data'!$H$3:$N$758,7,FALSE)</f>
        <v>2422.09</v>
      </c>
      <c r="L36" s="92">
        <f t="shared" si="21"/>
        <v>-4177.91</v>
      </c>
      <c r="M36" s="48">
        <f t="shared" si="22"/>
        <v>-0.63301666666666667</v>
      </c>
      <c r="N36" s="131" t="s">
        <v>307</v>
      </c>
      <c r="O36" s="156">
        <f>VLOOKUP(N36,'TB - Expense Data'!$H$3:$N$758,3,FALSE)</f>
        <v>85800</v>
      </c>
      <c r="P36" s="14">
        <f t="shared" si="23"/>
        <v>42900</v>
      </c>
      <c r="Q36" s="26">
        <f>VLOOKUP(N36,'TB - Expense Data'!$H$3:$N$758,7,FALSE)</f>
        <v>51531.06</v>
      </c>
      <c r="R36" s="92">
        <f t="shared" si="24"/>
        <v>8631.0599999999977</v>
      </c>
      <c r="S36" s="48">
        <f t="shared" si="25"/>
        <v>0.20119020979020974</v>
      </c>
      <c r="T36" s="131" t="s">
        <v>363</v>
      </c>
      <c r="U36" s="156">
        <f>VLOOKUP(T36,'TB - Expense Data'!$H$3:$N$758,3,FALSE)</f>
        <v>18150</v>
      </c>
      <c r="V36" s="14">
        <f t="shared" si="26"/>
        <v>9075</v>
      </c>
      <c r="W36" s="26">
        <f>VLOOKUP(T36,'TB - Expense Data'!$H$3:$N$758,7,FALSE)</f>
        <v>4484.13</v>
      </c>
      <c r="X36" s="92">
        <f t="shared" si="27"/>
        <v>-4590.87</v>
      </c>
      <c r="Y36" s="48">
        <f t="shared" si="28"/>
        <v>-0.50588099173553713</v>
      </c>
      <c r="Z36" s="156">
        <f t="shared" si="29"/>
        <v>165000</v>
      </c>
      <c r="AA36" s="14">
        <f t="shared" si="30"/>
        <v>82500</v>
      </c>
      <c r="AB36" s="14">
        <f t="shared" si="31"/>
        <v>81395.42</v>
      </c>
      <c r="AC36" s="92">
        <f t="shared" si="32"/>
        <v>-1104.5800000000017</v>
      </c>
      <c r="AD36" s="48">
        <f t="shared" si="33"/>
        <v>-1.3388848484848505E-2</v>
      </c>
    </row>
    <row r="37" spans="1:30" x14ac:dyDescent="0.25">
      <c r="A37" s="13" t="s">
        <v>971</v>
      </c>
      <c r="B37" s="131" t="s">
        <v>219</v>
      </c>
      <c r="C37" s="156">
        <f>VLOOKUP(B37,'TB - Expense Data'!$H$3:$N$758,3,FALSE)</f>
        <v>43.5</v>
      </c>
      <c r="D37" s="14">
        <f t="shared" si="17"/>
        <v>21.75</v>
      </c>
      <c r="E37" s="26">
        <f>VLOOKUP(B37,'TB - Expense Data'!$H$3:$N$758,7,FALSE)</f>
        <v>60.46</v>
      </c>
      <c r="F37" s="92">
        <f t="shared" si="18"/>
        <v>38.71</v>
      </c>
      <c r="G37" s="48">
        <f t="shared" si="19"/>
        <v>1.7797701149425287</v>
      </c>
      <c r="H37" s="131" t="s">
        <v>268</v>
      </c>
      <c r="I37" s="156">
        <f>VLOOKUP(H37,'TB - Expense Data'!$H$3:$N$758,3,FALSE)</f>
        <v>12</v>
      </c>
      <c r="J37" s="14">
        <f t="shared" si="20"/>
        <v>6</v>
      </c>
      <c r="K37" s="26">
        <f>VLOOKUP(H37,'TB - Expense Data'!$H$3:$N$758,7,FALSE)</f>
        <v>0</v>
      </c>
      <c r="L37" s="92">
        <f t="shared" si="21"/>
        <v>-6</v>
      </c>
      <c r="M37" s="48">
        <f t="shared" si="22"/>
        <v>-1</v>
      </c>
      <c r="N37" s="131" t="s">
        <v>308</v>
      </c>
      <c r="O37" s="156">
        <f>VLOOKUP(N37,'TB - Expense Data'!$H$3:$N$758,3,FALSE)</f>
        <v>78</v>
      </c>
      <c r="P37" s="14">
        <f t="shared" si="23"/>
        <v>39</v>
      </c>
      <c r="Q37" s="26">
        <f>VLOOKUP(N37,'TB - Expense Data'!$H$3:$N$758,7,FALSE)</f>
        <v>0</v>
      </c>
      <c r="R37" s="92">
        <f t="shared" si="24"/>
        <v>-39</v>
      </c>
      <c r="S37" s="48">
        <f t="shared" si="25"/>
        <v>-1</v>
      </c>
      <c r="T37" s="131" t="s">
        <v>364</v>
      </c>
      <c r="U37" s="156">
        <f>VLOOKUP(T37,'TB - Expense Data'!$H$3:$N$758,3,FALSE)</f>
        <v>16.5</v>
      </c>
      <c r="V37" s="14">
        <f t="shared" si="26"/>
        <v>8.25</v>
      </c>
      <c r="W37" s="26">
        <f>VLOOKUP(T37,'TB - Expense Data'!$H$3:$N$758,7,FALSE)</f>
        <v>0</v>
      </c>
      <c r="X37" s="92">
        <f t="shared" si="27"/>
        <v>-8.25</v>
      </c>
      <c r="Y37" s="48">
        <f t="shared" si="28"/>
        <v>-1</v>
      </c>
      <c r="Z37" s="156">
        <f t="shared" si="29"/>
        <v>150</v>
      </c>
      <c r="AA37" s="14">
        <f t="shared" si="30"/>
        <v>75</v>
      </c>
      <c r="AB37" s="14">
        <f t="shared" si="31"/>
        <v>60.46</v>
      </c>
      <c r="AC37" s="92">
        <f t="shared" si="32"/>
        <v>-14.54</v>
      </c>
      <c r="AD37" s="48">
        <f t="shared" si="33"/>
        <v>-0.19386666666666666</v>
      </c>
    </row>
    <row r="38" spans="1:30" x14ac:dyDescent="0.25">
      <c r="A38" s="13" t="s">
        <v>972</v>
      </c>
      <c r="B38" s="131" t="s">
        <v>220</v>
      </c>
      <c r="C38" s="156">
        <f>VLOOKUP(B38,'TB - Expense Data'!$H$3:$N$758,3,FALSE)</f>
        <v>4785</v>
      </c>
      <c r="D38" s="14">
        <f t="shared" si="17"/>
        <v>2392.5</v>
      </c>
      <c r="E38" s="26">
        <f>VLOOKUP(B38,'TB - Expense Data'!$H$3:$N$758,7,FALSE)</f>
        <v>2936.51</v>
      </c>
      <c r="F38" s="92">
        <f t="shared" si="18"/>
        <v>544.01000000000022</v>
      </c>
      <c r="G38" s="48">
        <f t="shared" si="19"/>
        <v>0.22738140020898651</v>
      </c>
      <c r="H38" s="131" t="s">
        <v>269</v>
      </c>
      <c r="I38" s="156">
        <f>VLOOKUP(H38,'TB - Expense Data'!$H$3:$N$758,3,FALSE)</f>
        <v>1320</v>
      </c>
      <c r="J38" s="14">
        <f t="shared" si="20"/>
        <v>660</v>
      </c>
      <c r="K38" s="26">
        <f>VLOOKUP(H38,'TB - Expense Data'!$H$3:$N$758,7,FALSE)</f>
        <v>456.13</v>
      </c>
      <c r="L38" s="92">
        <f t="shared" si="21"/>
        <v>-203.87</v>
      </c>
      <c r="M38" s="48">
        <f t="shared" si="22"/>
        <v>-0.30889393939393939</v>
      </c>
      <c r="N38" s="131" t="s">
        <v>309</v>
      </c>
      <c r="O38" s="156">
        <f>VLOOKUP(N38,'TB - Expense Data'!$H$3:$N$758,3,FALSE)</f>
        <v>8580</v>
      </c>
      <c r="P38" s="14">
        <f t="shared" si="23"/>
        <v>4290</v>
      </c>
      <c r="Q38" s="26">
        <f>VLOOKUP(N38,'TB - Expense Data'!$H$3:$N$758,7,FALSE)</f>
        <v>5953.19</v>
      </c>
      <c r="R38" s="92">
        <f t="shared" si="24"/>
        <v>1663.1899999999996</v>
      </c>
      <c r="S38" s="48">
        <f t="shared" si="25"/>
        <v>0.38768997668997662</v>
      </c>
      <c r="T38" s="131" t="s">
        <v>365</v>
      </c>
      <c r="U38" s="156">
        <f>VLOOKUP(T38,'TB - Expense Data'!$H$3:$N$758,3,FALSE)</f>
        <v>1815</v>
      </c>
      <c r="V38" s="14">
        <f t="shared" si="26"/>
        <v>907.5</v>
      </c>
      <c r="W38" s="26">
        <f>VLOOKUP(T38,'TB - Expense Data'!$H$3:$N$758,7,FALSE)</f>
        <v>627.16999999999996</v>
      </c>
      <c r="X38" s="92">
        <f t="shared" si="27"/>
        <v>-280.33000000000004</v>
      </c>
      <c r="Y38" s="48">
        <f t="shared" si="28"/>
        <v>-0.30890358126721768</v>
      </c>
      <c r="Z38" s="156">
        <f t="shared" si="29"/>
        <v>16500</v>
      </c>
      <c r="AA38" s="14">
        <f t="shared" si="30"/>
        <v>8250</v>
      </c>
      <c r="AB38" s="14">
        <f t="shared" si="31"/>
        <v>9973</v>
      </c>
      <c r="AC38" s="92">
        <f t="shared" si="32"/>
        <v>1723</v>
      </c>
      <c r="AD38" s="48">
        <f t="shared" si="33"/>
        <v>0.20884848484848484</v>
      </c>
    </row>
    <row r="39" spans="1:30" ht="15.75" hidden="1" customHeight="1" outlineLevel="1" x14ac:dyDescent="0.25">
      <c r="A39" s="536" t="s">
        <v>973</v>
      </c>
      <c r="B39" s="537" t="s">
        <v>222</v>
      </c>
      <c r="C39" s="556">
        <f>VLOOKUP(B39,'TB - Expense Data'!$H$3:$N$758,3,FALSE)</f>
        <v>0</v>
      </c>
      <c r="D39" s="538">
        <f t="shared" si="17"/>
        <v>0</v>
      </c>
      <c r="E39" s="538">
        <f>VLOOKUP(B39,'TB - Expense Data'!$H$3:$N$758,7,FALSE)</f>
        <v>0</v>
      </c>
      <c r="F39" s="539">
        <f t="shared" si="18"/>
        <v>0</v>
      </c>
      <c r="G39" s="540" t="str">
        <f t="shared" si="19"/>
        <v xml:space="preserve">-    </v>
      </c>
      <c r="H39" s="537" t="s">
        <v>270</v>
      </c>
      <c r="I39" s="556">
        <f>VLOOKUP(H39,'TB - Expense Data'!$H$3:$N$758,3,FALSE)</f>
        <v>0</v>
      </c>
      <c r="J39" s="538">
        <f t="shared" si="20"/>
        <v>0</v>
      </c>
      <c r="K39" s="538">
        <f>VLOOKUP(H39,'TB - Expense Data'!$H$3:$N$758,7,FALSE)</f>
        <v>0</v>
      </c>
      <c r="L39" s="539">
        <f t="shared" si="21"/>
        <v>0</v>
      </c>
      <c r="M39" s="540" t="str">
        <f t="shared" si="22"/>
        <v xml:space="preserve">-    </v>
      </c>
      <c r="N39" s="537" t="s">
        <v>310</v>
      </c>
      <c r="O39" s="556">
        <f>VLOOKUP(N39,'TB - Expense Data'!$H$3:$N$758,3,FALSE)</f>
        <v>0</v>
      </c>
      <c r="P39" s="538">
        <f t="shared" si="23"/>
        <v>0</v>
      </c>
      <c r="Q39" s="538">
        <f>VLOOKUP(N39,'TB - Expense Data'!$H$3:$N$758,7,FALSE)</f>
        <v>0</v>
      </c>
      <c r="R39" s="539">
        <f t="shared" si="24"/>
        <v>0</v>
      </c>
      <c r="S39" s="540" t="str">
        <f t="shared" si="25"/>
        <v xml:space="preserve">-    </v>
      </c>
      <c r="T39" s="537" t="s">
        <v>366</v>
      </c>
      <c r="U39" s="556">
        <f>VLOOKUP(T39,'TB - Expense Data'!$H$3:$N$758,3,FALSE)</f>
        <v>0</v>
      </c>
      <c r="V39" s="538">
        <f t="shared" si="26"/>
        <v>0</v>
      </c>
      <c r="W39" s="538">
        <f>VLOOKUP(T39,'TB - Expense Data'!$H$3:$N$758,7,FALSE)</f>
        <v>0</v>
      </c>
      <c r="X39" s="539">
        <f t="shared" si="27"/>
        <v>0</v>
      </c>
      <c r="Y39" s="540" t="str">
        <f t="shared" si="28"/>
        <v xml:space="preserve">-    </v>
      </c>
      <c r="Z39" s="556">
        <f t="shared" si="29"/>
        <v>0</v>
      </c>
      <c r="AA39" s="538">
        <f t="shared" si="30"/>
        <v>0</v>
      </c>
      <c r="AB39" s="538">
        <f t="shared" si="31"/>
        <v>0</v>
      </c>
      <c r="AC39" s="539">
        <f t="shared" si="32"/>
        <v>0</v>
      </c>
      <c r="AD39" s="540" t="str">
        <f t="shared" si="33"/>
        <v xml:space="preserve">-    </v>
      </c>
    </row>
    <row r="40" spans="1:30" collapsed="1" x14ac:dyDescent="0.25">
      <c r="A40" s="13" t="s">
        <v>974</v>
      </c>
      <c r="B40" s="131" t="s">
        <v>223</v>
      </c>
      <c r="C40" s="156">
        <f>VLOOKUP(B40,'TB - Expense Data'!$H$3:$N$758,3,FALSE)</f>
        <v>1015</v>
      </c>
      <c r="D40" s="14">
        <f t="shared" si="17"/>
        <v>507.5</v>
      </c>
      <c r="E40" s="26">
        <f>VLOOKUP(B40,'TB - Expense Data'!$H$3:$N$758,7,FALSE)</f>
        <v>826.11</v>
      </c>
      <c r="F40" s="92">
        <f t="shared" si="18"/>
        <v>318.61</v>
      </c>
      <c r="G40" s="48">
        <f t="shared" si="19"/>
        <v>0.62780295566502464</v>
      </c>
      <c r="H40" s="131" t="s">
        <v>892</v>
      </c>
      <c r="I40" s="156">
        <f>VLOOKUP(H40,'TB - Expense Data'!$H$3:$N$758,3,FALSE)</f>
        <v>280</v>
      </c>
      <c r="J40" s="14">
        <f t="shared" si="20"/>
        <v>140</v>
      </c>
      <c r="K40" s="26">
        <f>VLOOKUP(H40,'TB - Expense Data'!$H$3:$N$758,7,FALSE)</f>
        <v>31.16</v>
      </c>
      <c r="L40" s="92">
        <f t="shared" si="21"/>
        <v>-108.84</v>
      </c>
      <c r="M40" s="48">
        <f t="shared" si="22"/>
        <v>-0.77742857142857147</v>
      </c>
      <c r="N40" s="131" t="s">
        <v>311</v>
      </c>
      <c r="O40" s="156">
        <f>VLOOKUP(N40,'TB - Expense Data'!$H$3:$N$758,3,FALSE)</f>
        <v>1820</v>
      </c>
      <c r="P40" s="14">
        <f t="shared" si="23"/>
        <v>910</v>
      </c>
      <c r="Q40" s="26">
        <f>VLOOKUP(N40,'TB - Expense Data'!$H$3:$N$758,7,FALSE)</f>
        <v>864.53</v>
      </c>
      <c r="R40" s="92">
        <f t="shared" si="24"/>
        <v>-45.470000000000027</v>
      </c>
      <c r="S40" s="48">
        <f t="shared" si="25"/>
        <v>-4.9967032967032997E-2</v>
      </c>
      <c r="T40" s="131" t="s">
        <v>935</v>
      </c>
      <c r="U40" s="156">
        <f>VLOOKUP(T40,'TB - Expense Data'!$H$3:$N$758,3,FALSE)</f>
        <v>385</v>
      </c>
      <c r="V40" s="14">
        <f t="shared" si="26"/>
        <v>192.5</v>
      </c>
      <c r="W40" s="26">
        <f>VLOOKUP(T40,'TB - Expense Data'!$H$3:$N$758,7,FALSE)</f>
        <v>42.81</v>
      </c>
      <c r="X40" s="92">
        <f t="shared" si="27"/>
        <v>-149.69</v>
      </c>
      <c r="Y40" s="48">
        <f t="shared" si="28"/>
        <v>-0.77761038961038964</v>
      </c>
      <c r="Z40" s="156">
        <f t="shared" si="29"/>
        <v>3500</v>
      </c>
      <c r="AA40" s="14">
        <f t="shared" si="30"/>
        <v>1750</v>
      </c>
      <c r="AB40" s="14">
        <f t="shared" si="31"/>
        <v>1764.61</v>
      </c>
      <c r="AC40" s="92">
        <f t="shared" si="32"/>
        <v>14.6099999999999</v>
      </c>
      <c r="AD40" s="48">
        <f t="shared" si="33"/>
        <v>8.3485714285713719E-3</v>
      </c>
    </row>
    <row r="41" spans="1:30" x14ac:dyDescent="0.25">
      <c r="A41" s="13" t="s">
        <v>1086</v>
      </c>
      <c r="B41" s="131" t="s">
        <v>956</v>
      </c>
      <c r="C41" s="156">
        <f>VLOOKUP(B41,'TB - Expense Data'!$H$3:$N$758,3,FALSE)</f>
        <v>11600</v>
      </c>
      <c r="D41" s="14">
        <f t="shared" si="17"/>
        <v>5800</v>
      </c>
      <c r="E41" s="26">
        <f>VLOOKUP(B41,'TB - Expense Data'!$H$3:$N$758,7,FALSE)</f>
        <v>1101.27</v>
      </c>
      <c r="F41" s="92">
        <f t="shared" si="18"/>
        <v>-4698.7299999999996</v>
      </c>
      <c r="G41" s="48">
        <f t="shared" si="19"/>
        <v>-0.81012586206896542</v>
      </c>
      <c r="H41" s="131" t="s">
        <v>957</v>
      </c>
      <c r="I41" s="156">
        <f>VLOOKUP(H41,'TB - Expense Data'!$H$3:$N$758,3,FALSE)</f>
        <v>3200</v>
      </c>
      <c r="J41" s="14">
        <f t="shared" si="20"/>
        <v>1600</v>
      </c>
      <c r="K41" s="26">
        <f>VLOOKUP(H41,'TB - Expense Data'!$H$3:$N$758,7,FALSE)</f>
        <v>303.8</v>
      </c>
      <c r="L41" s="92">
        <f t="shared" si="21"/>
        <v>-1296.2</v>
      </c>
      <c r="M41" s="48">
        <f t="shared" si="22"/>
        <v>-0.81012499999999998</v>
      </c>
      <c r="N41" s="131" t="s">
        <v>958</v>
      </c>
      <c r="O41" s="156">
        <f>VLOOKUP(N41,'TB - Expense Data'!$H$3:$N$758,3,FALSE)</f>
        <v>20800</v>
      </c>
      <c r="P41" s="14">
        <f t="shared" si="23"/>
        <v>10400</v>
      </c>
      <c r="Q41" s="26">
        <f>VLOOKUP(N41,'TB - Expense Data'!$H$3:$N$758,7,FALSE)</f>
        <v>1974.69</v>
      </c>
      <c r="R41" s="92">
        <f t="shared" si="24"/>
        <v>-8425.31</v>
      </c>
      <c r="S41" s="48">
        <f t="shared" si="25"/>
        <v>-0.8101259615384615</v>
      </c>
      <c r="T41" s="131" t="s">
        <v>959</v>
      </c>
      <c r="U41" s="156">
        <f>VLOOKUP(T41,'TB - Expense Data'!$H$3:$N$758,3,FALSE)</f>
        <v>4400</v>
      </c>
      <c r="V41" s="14">
        <f t="shared" si="26"/>
        <v>2200</v>
      </c>
      <c r="W41" s="26">
        <f>VLOOKUP(T41,'TB - Expense Data'!$H$3:$N$758,7,FALSE)</f>
        <v>417.74</v>
      </c>
      <c r="X41" s="92">
        <f t="shared" si="27"/>
        <v>-1782.26</v>
      </c>
      <c r="Y41" s="48">
        <f t="shared" si="28"/>
        <v>-0.81011818181818185</v>
      </c>
      <c r="Z41" s="156">
        <f t="shared" si="29"/>
        <v>40000</v>
      </c>
      <c r="AA41" s="14">
        <f t="shared" si="30"/>
        <v>20000</v>
      </c>
      <c r="AB41" s="14">
        <f t="shared" si="31"/>
        <v>3797.5</v>
      </c>
      <c r="AC41" s="92">
        <f t="shared" si="32"/>
        <v>-16202.5</v>
      </c>
      <c r="AD41" s="48">
        <f t="shared" si="33"/>
        <v>-0.81012499999999998</v>
      </c>
    </row>
    <row r="42" spans="1:30" x14ac:dyDescent="0.25">
      <c r="A42" s="13" t="s">
        <v>975</v>
      </c>
      <c r="B42" s="131" t="s">
        <v>225</v>
      </c>
      <c r="C42" s="156">
        <f>VLOOKUP(B42,'TB - Expense Data'!$H$3:$N$758,3,FALSE)</f>
        <v>11600</v>
      </c>
      <c r="D42" s="14">
        <f t="shared" si="17"/>
        <v>5800</v>
      </c>
      <c r="E42" s="26">
        <f>VLOOKUP(B42,'TB - Expense Data'!$H$3:$N$758,7,FALSE)</f>
        <v>1800.76</v>
      </c>
      <c r="F42" s="92">
        <f t="shared" si="18"/>
        <v>-3999.24</v>
      </c>
      <c r="G42" s="48">
        <f t="shared" si="19"/>
        <v>-0.6895241379310344</v>
      </c>
      <c r="H42" s="131" t="s">
        <v>271</v>
      </c>
      <c r="I42" s="156">
        <f>VLOOKUP(H42,'TB - Expense Data'!$H$3:$N$758,3,FALSE)</f>
        <v>3200</v>
      </c>
      <c r="J42" s="14">
        <f t="shared" si="20"/>
        <v>1600</v>
      </c>
      <c r="K42" s="26">
        <f>VLOOKUP(H42,'TB - Expense Data'!$H$3:$N$758,7,FALSE)</f>
        <v>912.93</v>
      </c>
      <c r="L42" s="92">
        <f t="shared" si="21"/>
        <v>-687.07</v>
      </c>
      <c r="M42" s="48">
        <f t="shared" si="22"/>
        <v>-0.42941875000000002</v>
      </c>
      <c r="N42" s="131" t="s">
        <v>313</v>
      </c>
      <c r="O42" s="156">
        <f>VLOOKUP(N42,'TB - Expense Data'!$H$3:$N$758,3,FALSE)</f>
        <v>20800</v>
      </c>
      <c r="P42" s="14">
        <f t="shared" si="23"/>
        <v>10400</v>
      </c>
      <c r="Q42" s="26">
        <f>VLOOKUP(N42,'TB - Expense Data'!$H$3:$N$758,7,FALSE)</f>
        <v>5890.84</v>
      </c>
      <c r="R42" s="92">
        <f t="shared" si="24"/>
        <v>-4509.16</v>
      </c>
      <c r="S42" s="48">
        <f t="shared" si="25"/>
        <v>-0.43357307692307689</v>
      </c>
      <c r="T42" s="131" t="s">
        <v>367</v>
      </c>
      <c r="U42" s="156">
        <f>VLOOKUP(T42,'TB - Expense Data'!$H$3:$N$758,3,FALSE)</f>
        <v>4400</v>
      </c>
      <c r="V42" s="14">
        <f t="shared" si="26"/>
        <v>2200</v>
      </c>
      <c r="W42" s="26">
        <f>VLOOKUP(T42,'TB - Expense Data'!$H$3:$N$758,7,FALSE)</f>
        <v>4919.6099999999997</v>
      </c>
      <c r="X42" s="92">
        <f t="shared" si="27"/>
        <v>2719.6099999999997</v>
      </c>
      <c r="Y42" s="48">
        <f t="shared" si="28"/>
        <v>1.2361863636363635</v>
      </c>
      <c r="Z42" s="156">
        <f t="shared" si="29"/>
        <v>40000</v>
      </c>
      <c r="AA42" s="14">
        <f t="shared" si="30"/>
        <v>20000</v>
      </c>
      <c r="AB42" s="14">
        <f t="shared" si="31"/>
        <v>13524.14</v>
      </c>
      <c r="AC42" s="92">
        <f t="shared" si="32"/>
        <v>-6475.8600000000006</v>
      </c>
      <c r="AD42" s="48">
        <f t="shared" si="33"/>
        <v>-0.32379300000000005</v>
      </c>
    </row>
    <row r="43" spans="1:30" x14ac:dyDescent="0.25">
      <c r="A43" s="13" t="s">
        <v>976</v>
      </c>
      <c r="B43" s="131" t="s">
        <v>238</v>
      </c>
      <c r="C43" s="156">
        <f>VLOOKUP(B43,'TB - Expense Data'!$H$3:$N$758,3,FALSE)</f>
        <v>11600</v>
      </c>
      <c r="D43" s="14">
        <f t="shared" si="17"/>
        <v>5800</v>
      </c>
      <c r="E43" s="26">
        <f>VLOOKUP(B43,'TB - Expense Data'!$H$3:$N$758,7,FALSE)</f>
        <v>2193.48</v>
      </c>
      <c r="F43" s="92">
        <f t="shared" si="18"/>
        <v>-3606.52</v>
      </c>
      <c r="G43" s="48">
        <f t="shared" si="19"/>
        <v>-0.62181379310344831</v>
      </c>
      <c r="H43" s="131" t="s">
        <v>272</v>
      </c>
      <c r="I43" s="156">
        <f>VLOOKUP(H43,'TB - Expense Data'!$H$3:$N$758,3,FALSE)</f>
        <v>3200</v>
      </c>
      <c r="J43" s="14">
        <f t="shared" si="20"/>
        <v>1600</v>
      </c>
      <c r="K43" s="26">
        <f>VLOOKUP(H43,'TB - Expense Data'!$H$3:$N$758,7,FALSE)</f>
        <v>605.09</v>
      </c>
      <c r="L43" s="92">
        <f t="shared" si="21"/>
        <v>-994.91</v>
      </c>
      <c r="M43" s="48">
        <f t="shared" si="22"/>
        <v>-0.62181874999999998</v>
      </c>
      <c r="N43" s="131" t="s">
        <v>314</v>
      </c>
      <c r="O43" s="156">
        <f>VLOOKUP(N43,'TB - Expense Data'!$H$3:$N$758,3,FALSE)</f>
        <v>20800</v>
      </c>
      <c r="P43" s="14">
        <f t="shared" si="23"/>
        <v>10400</v>
      </c>
      <c r="Q43" s="26">
        <f>VLOOKUP(N43,'TB - Expense Data'!$H$3:$N$758,7,FALSE)</f>
        <v>5507.52</v>
      </c>
      <c r="R43" s="92">
        <f t="shared" si="24"/>
        <v>-4892.4799999999996</v>
      </c>
      <c r="S43" s="48">
        <f t="shared" si="25"/>
        <v>-0.47043076923076921</v>
      </c>
      <c r="T43" s="131" t="s">
        <v>368</v>
      </c>
      <c r="U43" s="156">
        <f>VLOOKUP(T43,'TB - Expense Data'!$H$3:$N$758,3,FALSE)</f>
        <v>4400</v>
      </c>
      <c r="V43" s="14">
        <f t="shared" si="26"/>
        <v>2200</v>
      </c>
      <c r="W43" s="26">
        <f>VLOOKUP(T43,'TB - Expense Data'!$H$3:$N$758,7,FALSE)</f>
        <v>1177.6099999999999</v>
      </c>
      <c r="X43" s="92">
        <f t="shared" si="27"/>
        <v>-1022.3900000000001</v>
      </c>
      <c r="Y43" s="48">
        <f t="shared" si="28"/>
        <v>-0.46472272727272734</v>
      </c>
      <c r="Z43" s="156">
        <f t="shared" si="29"/>
        <v>40000</v>
      </c>
      <c r="AA43" s="14">
        <f t="shared" si="30"/>
        <v>20000</v>
      </c>
      <c r="AB43" s="14">
        <f t="shared" si="31"/>
        <v>9483.7000000000007</v>
      </c>
      <c r="AC43" s="92">
        <f t="shared" si="32"/>
        <v>-10516.3</v>
      </c>
      <c r="AD43" s="48">
        <f t="shared" si="33"/>
        <v>-0.52581499999999992</v>
      </c>
    </row>
    <row r="44" spans="1:30" x14ac:dyDescent="0.25">
      <c r="A44" s="13" t="s">
        <v>977</v>
      </c>
      <c r="B44" s="131" t="s">
        <v>239</v>
      </c>
      <c r="C44" s="156">
        <f>VLOOKUP(B44,'TB - Expense Data'!$H$3:$N$758,3,FALSE)</f>
        <v>17400</v>
      </c>
      <c r="D44" s="14">
        <f t="shared" si="17"/>
        <v>8700</v>
      </c>
      <c r="E44" s="26">
        <f>VLOOKUP(B44,'TB - Expense Data'!$H$3:$N$758,7,FALSE)</f>
        <v>6959.99</v>
      </c>
      <c r="F44" s="92">
        <f t="shared" si="18"/>
        <v>-1740.0100000000002</v>
      </c>
      <c r="G44" s="48">
        <f t="shared" si="19"/>
        <v>-0.20000114942528738</v>
      </c>
      <c r="H44" s="131" t="s">
        <v>281</v>
      </c>
      <c r="I44" s="156">
        <f>VLOOKUP(H44,'TB - Expense Data'!$H$3:$N$758,3,FALSE)</f>
        <v>4800</v>
      </c>
      <c r="J44" s="14">
        <f t="shared" si="20"/>
        <v>2400</v>
      </c>
      <c r="K44" s="26">
        <f>VLOOKUP(H44,'TB - Expense Data'!$H$3:$N$758,7,FALSE)</f>
        <v>3612.4</v>
      </c>
      <c r="L44" s="92">
        <f t="shared" si="21"/>
        <v>1212.4000000000001</v>
      </c>
      <c r="M44" s="48">
        <f t="shared" si="22"/>
        <v>0.50516666666666665</v>
      </c>
      <c r="N44" s="131" t="s">
        <v>315</v>
      </c>
      <c r="O44" s="156">
        <f>VLOOKUP(N44,'TB - Expense Data'!$H$3:$N$758,3,FALSE)</f>
        <v>31200</v>
      </c>
      <c r="P44" s="14">
        <f t="shared" si="23"/>
        <v>15600</v>
      </c>
      <c r="Q44" s="26">
        <f>VLOOKUP(N44,'TB - Expense Data'!$H$3:$N$758,7,FALSE)</f>
        <v>12395.59</v>
      </c>
      <c r="R44" s="92">
        <f t="shared" si="24"/>
        <v>-3204.41</v>
      </c>
      <c r="S44" s="48">
        <f t="shared" si="25"/>
        <v>-0.20541089743589744</v>
      </c>
      <c r="T44" s="131" t="s">
        <v>369</v>
      </c>
      <c r="U44" s="156">
        <f>VLOOKUP(T44,'TB - Expense Data'!$H$3:$N$758,3,FALSE)</f>
        <v>6600</v>
      </c>
      <c r="V44" s="14">
        <f t="shared" si="26"/>
        <v>3300</v>
      </c>
      <c r="W44" s="26">
        <f>VLOOKUP(T44,'TB - Expense Data'!$H$3:$N$758,7,FALSE)</f>
        <v>4946.53</v>
      </c>
      <c r="X44" s="92">
        <f t="shared" si="27"/>
        <v>1646.5299999999997</v>
      </c>
      <c r="Y44" s="48">
        <f t="shared" si="28"/>
        <v>0.49894848484848475</v>
      </c>
      <c r="Z44" s="156">
        <f t="shared" si="29"/>
        <v>60000</v>
      </c>
      <c r="AA44" s="14">
        <f t="shared" si="30"/>
        <v>30000</v>
      </c>
      <c r="AB44" s="14">
        <f t="shared" si="31"/>
        <v>27914.51</v>
      </c>
      <c r="AC44" s="92">
        <f t="shared" si="32"/>
        <v>-2085.4900000000016</v>
      </c>
      <c r="AD44" s="48">
        <f t="shared" si="33"/>
        <v>-6.9516333333333388E-2</v>
      </c>
    </row>
    <row r="45" spans="1:30" x14ac:dyDescent="0.25">
      <c r="A45" s="13" t="s">
        <v>978</v>
      </c>
      <c r="B45" s="131" t="s">
        <v>242</v>
      </c>
      <c r="C45" s="156">
        <f>VLOOKUP(B45,'TB - Expense Data'!$H$3:$N$758,3,FALSE)</f>
        <v>21750</v>
      </c>
      <c r="D45" s="14">
        <f t="shared" si="17"/>
        <v>10875</v>
      </c>
      <c r="E45" s="26">
        <f>VLOOKUP(B45,'TB - Expense Data'!$H$3:$N$758,7,FALSE)</f>
        <v>0</v>
      </c>
      <c r="F45" s="92">
        <f t="shared" si="18"/>
        <v>-10875</v>
      </c>
      <c r="G45" s="48">
        <f t="shared" si="19"/>
        <v>-1</v>
      </c>
      <c r="H45" s="131" t="s">
        <v>282</v>
      </c>
      <c r="I45" s="156">
        <f>VLOOKUP(H45,'TB - Expense Data'!$H$3:$N$758,3,FALSE)</f>
        <v>6000</v>
      </c>
      <c r="J45" s="14">
        <f t="shared" si="20"/>
        <v>3000</v>
      </c>
      <c r="K45" s="26">
        <f>VLOOKUP(H45,'TB - Expense Data'!$H$3:$N$758,7,FALSE)</f>
        <v>0</v>
      </c>
      <c r="L45" s="92">
        <f t="shared" si="21"/>
        <v>-3000</v>
      </c>
      <c r="M45" s="48">
        <f t="shared" si="22"/>
        <v>-1</v>
      </c>
      <c r="N45" s="131" t="s">
        <v>316</v>
      </c>
      <c r="O45" s="156">
        <f>VLOOKUP(N45,'TB - Expense Data'!$H$3:$N$758,3,FALSE)</f>
        <v>39000</v>
      </c>
      <c r="P45" s="14">
        <f t="shared" si="23"/>
        <v>19500</v>
      </c>
      <c r="Q45" s="26">
        <f>VLOOKUP(N45,'TB - Expense Data'!$H$3:$N$758,7,FALSE)</f>
        <v>0</v>
      </c>
      <c r="R45" s="92">
        <f t="shared" si="24"/>
        <v>-19500</v>
      </c>
      <c r="S45" s="48">
        <f t="shared" si="25"/>
        <v>-1</v>
      </c>
      <c r="T45" s="131" t="s">
        <v>370</v>
      </c>
      <c r="U45" s="156">
        <f>VLOOKUP(T45,'TB - Expense Data'!$H$3:$N$758,3,FALSE)</f>
        <v>8250</v>
      </c>
      <c r="V45" s="14">
        <f t="shared" si="26"/>
        <v>4125</v>
      </c>
      <c r="W45" s="26">
        <f>VLOOKUP(T45,'TB - Expense Data'!$H$3:$N$758,7,FALSE)</f>
        <v>0</v>
      </c>
      <c r="X45" s="92">
        <f t="shared" si="27"/>
        <v>-4125</v>
      </c>
      <c r="Y45" s="48">
        <f t="shared" si="28"/>
        <v>-1</v>
      </c>
      <c r="Z45" s="156">
        <f t="shared" si="29"/>
        <v>75000</v>
      </c>
      <c r="AA45" s="14">
        <f t="shared" si="30"/>
        <v>37500</v>
      </c>
      <c r="AB45" s="14">
        <f t="shared" si="31"/>
        <v>0</v>
      </c>
      <c r="AC45" s="92">
        <f t="shared" si="32"/>
        <v>-37500</v>
      </c>
      <c r="AD45" s="48">
        <f t="shared" si="33"/>
        <v>-1</v>
      </c>
    </row>
    <row r="46" spans="1:30" x14ac:dyDescent="0.25">
      <c r="A46" s="44" t="s">
        <v>980</v>
      </c>
      <c r="B46" s="131" t="s">
        <v>224</v>
      </c>
      <c r="C46" s="156">
        <f>VLOOKUP(B46,'TB - Expense Data'!$H$3:$N$758,3,FALSE)</f>
        <v>20000</v>
      </c>
      <c r="D46" s="14">
        <f t="shared" si="17"/>
        <v>10000</v>
      </c>
      <c r="E46" s="26">
        <f>VLOOKUP(B46,'TB - Expense Data'!$H$3:$N$758,7,FALSE)</f>
        <v>11785.41</v>
      </c>
      <c r="F46" s="92">
        <f t="shared" si="18"/>
        <v>1785.4099999999999</v>
      </c>
      <c r="G46" s="48">
        <f t="shared" si="19"/>
        <v>0.17854099999999998</v>
      </c>
      <c r="H46" s="131" t="s">
        <v>979</v>
      </c>
      <c r="I46" s="156">
        <f>VLOOKUP(H46,'TB - Expense Data'!$H$3:$N$758,3,FALSE)</f>
        <v>0</v>
      </c>
      <c r="J46" s="14">
        <f t="shared" si="20"/>
        <v>0</v>
      </c>
      <c r="K46" s="26">
        <f>VLOOKUP(H46,'TB - Expense Data'!$H$3:$N$758,7,FALSE)</f>
        <v>0</v>
      </c>
      <c r="L46" s="92">
        <f t="shared" si="21"/>
        <v>0</v>
      </c>
      <c r="M46" s="48" t="str">
        <f t="shared" si="22"/>
        <v xml:space="preserve">-    </v>
      </c>
      <c r="N46" s="131" t="s">
        <v>312</v>
      </c>
      <c r="O46" s="156">
        <f>VLOOKUP(N46,'TB - Expense Data'!$H$3:$N$758,3,FALSE)</f>
        <v>30000</v>
      </c>
      <c r="P46" s="14">
        <f t="shared" si="23"/>
        <v>15000</v>
      </c>
      <c r="Q46" s="26">
        <f>VLOOKUP(N46,'TB - Expense Data'!$H$3:$N$758,7,FALSE)</f>
        <v>20951.849999999999</v>
      </c>
      <c r="R46" s="92">
        <f t="shared" si="24"/>
        <v>5951.8499999999985</v>
      </c>
      <c r="S46" s="48">
        <f t="shared" si="25"/>
        <v>0.39678999999999992</v>
      </c>
      <c r="T46" s="131" t="s">
        <v>979</v>
      </c>
      <c r="U46" s="156">
        <f>VLOOKUP(T46,'TB - Expense Data'!$H$3:$N$758,3,FALSE)</f>
        <v>0</v>
      </c>
      <c r="V46" s="14">
        <f t="shared" si="26"/>
        <v>0</v>
      </c>
      <c r="W46" s="26">
        <f>VLOOKUP(T46,'TB - Expense Data'!$H$3:$N$758,7,FALSE)</f>
        <v>0</v>
      </c>
      <c r="X46" s="92">
        <f t="shared" si="27"/>
        <v>0</v>
      </c>
      <c r="Y46" s="48" t="str">
        <f t="shared" si="28"/>
        <v xml:space="preserve">-    </v>
      </c>
      <c r="Z46" s="156">
        <f t="shared" si="29"/>
        <v>50000</v>
      </c>
      <c r="AA46" s="14">
        <f t="shared" si="30"/>
        <v>25000</v>
      </c>
      <c r="AB46" s="14">
        <f t="shared" si="31"/>
        <v>32737.26</v>
      </c>
      <c r="AC46" s="92">
        <f t="shared" si="32"/>
        <v>7737.2599999999984</v>
      </c>
      <c r="AD46" s="48">
        <f t="shared" si="33"/>
        <v>0.30949039999999994</v>
      </c>
    </row>
    <row r="47" spans="1:30" x14ac:dyDescent="0.25">
      <c r="A47" s="44" t="s">
        <v>981</v>
      </c>
      <c r="B47" s="131" t="s">
        <v>226</v>
      </c>
      <c r="C47" s="156">
        <f>VLOOKUP(B47,'TB - Expense Data'!$H$3:$N$758,3,FALSE)</f>
        <v>50</v>
      </c>
      <c r="D47" s="14">
        <f t="shared" si="17"/>
        <v>25</v>
      </c>
      <c r="E47" s="26">
        <f>VLOOKUP(B47,'TB - Expense Data'!$H$3:$N$758,7,FALSE)</f>
        <v>2224.4</v>
      </c>
      <c r="F47" s="92">
        <f t="shared" si="18"/>
        <v>2199.4</v>
      </c>
      <c r="G47" s="48">
        <f t="shared" si="19"/>
        <v>87.975999999999999</v>
      </c>
      <c r="H47" s="131" t="s">
        <v>979</v>
      </c>
      <c r="I47" s="156">
        <f>VLOOKUP(H47,'TB - Expense Data'!$H$3:$N$758,3,FALSE)</f>
        <v>0</v>
      </c>
      <c r="J47" s="14">
        <f t="shared" si="20"/>
        <v>0</v>
      </c>
      <c r="K47" s="26">
        <f>VLOOKUP(H47,'TB - Expense Data'!$H$3:$N$758,7,FALSE)</f>
        <v>0</v>
      </c>
      <c r="L47" s="92">
        <f t="shared" si="21"/>
        <v>0</v>
      </c>
      <c r="M47" s="48" t="str">
        <f t="shared" si="22"/>
        <v xml:space="preserve">-    </v>
      </c>
      <c r="N47" s="131" t="s">
        <v>979</v>
      </c>
      <c r="O47" s="156">
        <f>VLOOKUP(N47,'TB - Expense Data'!$H$3:$N$758,3,FALSE)</f>
        <v>0</v>
      </c>
      <c r="P47" s="14">
        <f t="shared" si="23"/>
        <v>0</v>
      </c>
      <c r="Q47" s="26">
        <f>VLOOKUP(N47,'TB - Expense Data'!$H$3:$N$758,7,FALSE)</f>
        <v>0</v>
      </c>
      <c r="R47" s="92">
        <f t="shared" si="24"/>
        <v>0</v>
      </c>
      <c r="S47" s="48" t="str">
        <f t="shared" si="25"/>
        <v xml:space="preserve">-    </v>
      </c>
      <c r="T47" s="131" t="s">
        <v>979</v>
      </c>
      <c r="U47" s="156">
        <f>VLOOKUP(T47,'TB - Expense Data'!$H$3:$N$758,3,FALSE)</f>
        <v>0</v>
      </c>
      <c r="V47" s="14">
        <f t="shared" si="26"/>
        <v>0</v>
      </c>
      <c r="W47" s="26">
        <f>VLOOKUP(T47,'TB - Expense Data'!$H$3:$N$758,7,FALSE)</f>
        <v>0</v>
      </c>
      <c r="X47" s="92">
        <f t="shared" si="27"/>
        <v>0</v>
      </c>
      <c r="Y47" s="48" t="str">
        <f t="shared" si="28"/>
        <v xml:space="preserve">-    </v>
      </c>
      <c r="Z47" s="156">
        <f t="shared" si="29"/>
        <v>50</v>
      </c>
      <c r="AA47" s="14">
        <f t="shared" si="30"/>
        <v>25</v>
      </c>
      <c r="AB47" s="14">
        <f t="shared" si="31"/>
        <v>2224.4</v>
      </c>
      <c r="AC47" s="92">
        <f t="shared" si="32"/>
        <v>2199.4</v>
      </c>
      <c r="AD47" s="48">
        <f t="shared" si="33"/>
        <v>87.975999999999999</v>
      </c>
    </row>
    <row r="48" spans="1:30" x14ac:dyDescent="0.25">
      <c r="A48" s="44" t="s">
        <v>982</v>
      </c>
      <c r="B48" s="131" t="s">
        <v>227</v>
      </c>
      <c r="C48" s="156">
        <f>VLOOKUP(B48,'TB - Expense Data'!$H$3:$N$758,3,FALSE)</f>
        <v>400</v>
      </c>
      <c r="D48" s="14">
        <f t="shared" si="17"/>
        <v>200</v>
      </c>
      <c r="E48" s="26">
        <f>VLOOKUP(B48,'TB - Expense Data'!$H$3:$N$758,7,FALSE)</f>
        <v>201.52</v>
      </c>
      <c r="F48" s="92">
        <f t="shared" si="18"/>
        <v>1.5200000000000102</v>
      </c>
      <c r="G48" s="48">
        <f t="shared" si="19"/>
        <v>7.6000000000000512E-3</v>
      </c>
      <c r="H48" s="131" t="s">
        <v>979</v>
      </c>
      <c r="I48" s="156">
        <f>VLOOKUP(H48,'TB - Expense Data'!$H$3:$N$758,3,FALSE)</f>
        <v>0</v>
      </c>
      <c r="J48" s="14">
        <f t="shared" si="20"/>
        <v>0</v>
      </c>
      <c r="K48" s="26">
        <f>VLOOKUP(H48,'TB - Expense Data'!$H$3:$N$758,7,FALSE)</f>
        <v>0</v>
      </c>
      <c r="L48" s="92">
        <f t="shared" si="21"/>
        <v>0</v>
      </c>
      <c r="M48" s="48" t="str">
        <f t="shared" si="22"/>
        <v xml:space="preserve">-    </v>
      </c>
      <c r="N48" s="131" t="s">
        <v>979</v>
      </c>
      <c r="O48" s="156">
        <f>VLOOKUP(N48,'TB - Expense Data'!$H$3:$N$758,3,FALSE)</f>
        <v>0</v>
      </c>
      <c r="P48" s="14">
        <f t="shared" si="23"/>
        <v>0</v>
      </c>
      <c r="Q48" s="26">
        <f>VLOOKUP(N48,'TB - Expense Data'!$H$3:$N$758,7,FALSE)</f>
        <v>0</v>
      </c>
      <c r="R48" s="92">
        <f t="shared" si="24"/>
        <v>0</v>
      </c>
      <c r="S48" s="48" t="str">
        <f t="shared" si="25"/>
        <v xml:space="preserve">-    </v>
      </c>
      <c r="T48" s="131" t="s">
        <v>979</v>
      </c>
      <c r="U48" s="156">
        <f>VLOOKUP(T48,'TB - Expense Data'!$H$3:$N$758,3,FALSE)</f>
        <v>0</v>
      </c>
      <c r="V48" s="14">
        <f t="shared" si="26"/>
        <v>0</v>
      </c>
      <c r="W48" s="26">
        <f>VLOOKUP(T48,'TB - Expense Data'!$H$3:$N$758,7,FALSE)</f>
        <v>0</v>
      </c>
      <c r="X48" s="92">
        <f t="shared" si="27"/>
        <v>0</v>
      </c>
      <c r="Y48" s="48" t="str">
        <f t="shared" si="28"/>
        <v xml:space="preserve">-    </v>
      </c>
      <c r="Z48" s="156">
        <f t="shared" si="29"/>
        <v>400</v>
      </c>
      <c r="AA48" s="14">
        <f t="shared" si="30"/>
        <v>200</v>
      </c>
      <c r="AB48" s="14">
        <f t="shared" si="31"/>
        <v>201.52</v>
      </c>
      <c r="AC48" s="92">
        <f t="shared" si="32"/>
        <v>1.5200000000000102</v>
      </c>
      <c r="AD48" s="48">
        <f t="shared" si="33"/>
        <v>7.6000000000000512E-3</v>
      </c>
    </row>
    <row r="49" spans="1:30" x14ac:dyDescent="0.25">
      <c r="A49" s="44" t="s">
        <v>983</v>
      </c>
      <c r="B49" s="131" t="s">
        <v>228</v>
      </c>
      <c r="C49" s="156">
        <f>VLOOKUP(B49,'TB - Expense Data'!$H$3:$N$758,3,FALSE)</f>
        <v>5000</v>
      </c>
      <c r="D49" s="14">
        <f t="shared" si="17"/>
        <v>2500</v>
      </c>
      <c r="E49" s="26">
        <f>VLOOKUP(B49,'TB - Expense Data'!$H$3:$N$758,7,FALSE)</f>
        <v>0</v>
      </c>
      <c r="F49" s="92">
        <f t="shared" si="18"/>
        <v>-2500</v>
      </c>
      <c r="G49" s="48">
        <f t="shared" si="19"/>
        <v>-1</v>
      </c>
      <c r="H49" s="131" t="s">
        <v>979</v>
      </c>
      <c r="I49" s="156">
        <f>VLOOKUP(H49,'TB - Expense Data'!$H$3:$N$758,3,FALSE)</f>
        <v>0</v>
      </c>
      <c r="J49" s="14">
        <f t="shared" si="20"/>
        <v>0</v>
      </c>
      <c r="K49" s="26">
        <f>VLOOKUP(H49,'TB - Expense Data'!$H$3:$N$758,7,FALSE)</f>
        <v>0</v>
      </c>
      <c r="L49" s="92">
        <f t="shared" si="21"/>
        <v>0</v>
      </c>
      <c r="M49" s="48" t="str">
        <f t="shared" si="22"/>
        <v xml:space="preserve">-    </v>
      </c>
      <c r="N49" s="131" t="s">
        <v>979</v>
      </c>
      <c r="O49" s="156">
        <f>VLOOKUP(N49,'TB - Expense Data'!$H$3:$N$758,3,FALSE)</f>
        <v>0</v>
      </c>
      <c r="P49" s="14">
        <f t="shared" si="23"/>
        <v>0</v>
      </c>
      <c r="Q49" s="26">
        <f>VLOOKUP(N49,'TB - Expense Data'!$H$3:$N$758,7,FALSE)</f>
        <v>0</v>
      </c>
      <c r="R49" s="92">
        <f t="shared" si="24"/>
        <v>0</v>
      </c>
      <c r="S49" s="48" t="str">
        <f t="shared" si="25"/>
        <v xml:space="preserve">-    </v>
      </c>
      <c r="T49" s="131" t="s">
        <v>979</v>
      </c>
      <c r="U49" s="156">
        <f>VLOOKUP(T49,'TB - Expense Data'!$H$3:$N$758,3,FALSE)</f>
        <v>0</v>
      </c>
      <c r="V49" s="14">
        <f t="shared" si="26"/>
        <v>0</v>
      </c>
      <c r="W49" s="26">
        <f>VLOOKUP(T49,'TB - Expense Data'!$H$3:$N$758,7,FALSE)</f>
        <v>0</v>
      </c>
      <c r="X49" s="92">
        <f t="shared" si="27"/>
        <v>0</v>
      </c>
      <c r="Y49" s="48" t="str">
        <f t="shared" si="28"/>
        <v xml:space="preserve">-    </v>
      </c>
      <c r="Z49" s="156">
        <f t="shared" si="29"/>
        <v>5000</v>
      </c>
      <c r="AA49" s="14">
        <f t="shared" si="30"/>
        <v>2500</v>
      </c>
      <c r="AB49" s="14">
        <f t="shared" si="31"/>
        <v>0</v>
      </c>
      <c r="AC49" s="92">
        <f t="shared" si="32"/>
        <v>-2500</v>
      </c>
      <c r="AD49" s="48">
        <f t="shared" si="33"/>
        <v>-1</v>
      </c>
    </row>
    <row r="50" spans="1:30" s="29" customFormat="1" x14ac:dyDescent="0.25">
      <c r="A50" s="44" t="s">
        <v>984</v>
      </c>
      <c r="B50" s="131" t="s">
        <v>229</v>
      </c>
      <c r="C50" s="156">
        <f>VLOOKUP(B50,'TB - Expense Data'!$H$3:$N$758,3,FALSE)</f>
        <v>80000</v>
      </c>
      <c r="D50" s="14">
        <f t="shared" si="17"/>
        <v>40000</v>
      </c>
      <c r="E50" s="26">
        <f>VLOOKUP(B50,'TB - Expense Data'!$H$3:$N$758,7,FALSE)</f>
        <v>47896.86</v>
      </c>
      <c r="F50" s="92">
        <f t="shared" si="18"/>
        <v>7896.8600000000006</v>
      </c>
      <c r="G50" s="48">
        <f t="shared" si="19"/>
        <v>0.19742150000000003</v>
      </c>
      <c r="H50" s="131" t="s">
        <v>979</v>
      </c>
      <c r="I50" s="156">
        <f>VLOOKUP(H50,'TB - Expense Data'!$H$3:$N$758,3,FALSE)</f>
        <v>0</v>
      </c>
      <c r="J50" s="14">
        <f t="shared" si="20"/>
        <v>0</v>
      </c>
      <c r="K50" s="26">
        <f>VLOOKUP(H50,'TB - Expense Data'!$H$3:$N$758,7,FALSE)</f>
        <v>0</v>
      </c>
      <c r="L50" s="92">
        <f t="shared" si="21"/>
        <v>0</v>
      </c>
      <c r="M50" s="48" t="str">
        <f t="shared" si="22"/>
        <v xml:space="preserve">-    </v>
      </c>
      <c r="N50" s="131" t="s">
        <v>979</v>
      </c>
      <c r="O50" s="156">
        <f>VLOOKUP(N50,'TB - Expense Data'!$H$3:$N$758,3,FALSE)</f>
        <v>0</v>
      </c>
      <c r="P50" s="14">
        <f t="shared" si="23"/>
        <v>0</v>
      </c>
      <c r="Q50" s="26">
        <f>VLOOKUP(N50,'TB - Expense Data'!$H$3:$N$758,7,FALSE)</f>
        <v>0</v>
      </c>
      <c r="R50" s="92">
        <f t="shared" si="24"/>
        <v>0</v>
      </c>
      <c r="S50" s="48" t="str">
        <f t="shared" si="25"/>
        <v xml:space="preserve">-    </v>
      </c>
      <c r="T50" s="131" t="s">
        <v>979</v>
      </c>
      <c r="U50" s="156">
        <f>VLOOKUP(T50,'TB - Expense Data'!$H$3:$N$758,3,FALSE)</f>
        <v>0</v>
      </c>
      <c r="V50" s="14">
        <f t="shared" si="26"/>
        <v>0</v>
      </c>
      <c r="W50" s="26">
        <f>VLOOKUP(T50,'TB - Expense Data'!$H$3:$N$758,7,FALSE)</f>
        <v>0</v>
      </c>
      <c r="X50" s="92">
        <f t="shared" si="27"/>
        <v>0</v>
      </c>
      <c r="Y50" s="48" t="str">
        <f t="shared" si="28"/>
        <v xml:space="preserve">-    </v>
      </c>
      <c r="Z50" s="156">
        <f t="shared" si="29"/>
        <v>80000</v>
      </c>
      <c r="AA50" s="14">
        <f t="shared" si="30"/>
        <v>40000</v>
      </c>
      <c r="AB50" s="14">
        <f t="shared" si="31"/>
        <v>47896.86</v>
      </c>
      <c r="AC50" s="92">
        <f t="shared" si="32"/>
        <v>7896.8600000000006</v>
      </c>
      <c r="AD50" s="48">
        <f t="shared" si="33"/>
        <v>0.19742150000000003</v>
      </c>
    </row>
    <row r="51" spans="1:30" x14ac:dyDescent="0.25">
      <c r="A51" s="44" t="s">
        <v>985</v>
      </c>
      <c r="B51" s="131" t="s">
        <v>230</v>
      </c>
      <c r="C51" s="156">
        <f>VLOOKUP(B51,'TB - Expense Data'!$H$3:$N$758,3,FALSE)</f>
        <v>5000</v>
      </c>
      <c r="D51" s="14">
        <f t="shared" si="17"/>
        <v>2500</v>
      </c>
      <c r="E51" s="26">
        <f>VLOOKUP(B51,'TB - Expense Data'!$H$3:$N$758,7,FALSE)</f>
        <v>453.76</v>
      </c>
      <c r="F51" s="92">
        <f t="shared" si="18"/>
        <v>-2046.24</v>
      </c>
      <c r="G51" s="48">
        <f t="shared" si="19"/>
        <v>-0.818496</v>
      </c>
      <c r="H51" s="131" t="s">
        <v>979</v>
      </c>
      <c r="I51" s="156">
        <f>VLOOKUP(H51,'TB - Expense Data'!$H$3:$N$758,3,FALSE)</f>
        <v>0</v>
      </c>
      <c r="J51" s="14">
        <f t="shared" si="20"/>
        <v>0</v>
      </c>
      <c r="K51" s="26">
        <f>VLOOKUP(H51,'TB - Expense Data'!$H$3:$N$758,7,FALSE)</f>
        <v>0</v>
      </c>
      <c r="L51" s="92">
        <f t="shared" si="21"/>
        <v>0</v>
      </c>
      <c r="M51" s="48" t="str">
        <f t="shared" si="22"/>
        <v xml:space="preserve">-    </v>
      </c>
      <c r="N51" s="131" t="s">
        <v>979</v>
      </c>
      <c r="O51" s="156">
        <f>VLOOKUP(N51,'TB - Expense Data'!$H$3:$N$758,3,FALSE)</f>
        <v>0</v>
      </c>
      <c r="P51" s="14">
        <f t="shared" si="23"/>
        <v>0</v>
      </c>
      <c r="Q51" s="26">
        <f>VLOOKUP(N51,'TB - Expense Data'!$H$3:$N$758,7,FALSE)</f>
        <v>0</v>
      </c>
      <c r="R51" s="92">
        <f t="shared" si="24"/>
        <v>0</v>
      </c>
      <c r="S51" s="48" t="str">
        <f t="shared" si="25"/>
        <v xml:space="preserve">-    </v>
      </c>
      <c r="T51" s="131" t="s">
        <v>979</v>
      </c>
      <c r="U51" s="156">
        <f>VLOOKUP(T51,'TB - Expense Data'!$H$3:$N$758,3,FALSE)</f>
        <v>0</v>
      </c>
      <c r="V51" s="14">
        <f t="shared" si="26"/>
        <v>0</v>
      </c>
      <c r="W51" s="26">
        <f>VLOOKUP(T51,'TB - Expense Data'!$H$3:$N$758,7,FALSE)</f>
        <v>0</v>
      </c>
      <c r="X51" s="92">
        <f t="shared" si="27"/>
        <v>0</v>
      </c>
      <c r="Y51" s="48" t="str">
        <f t="shared" si="28"/>
        <v xml:space="preserve">-    </v>
      </c>
      <c r="Z51" s="156">
        <f t="shared" si="29"/>
        <v>5000</v>
      </c>
      <c r="AA51" s="14">
        <f t="shared" si="30"/>
        <v>2500</v>
      </c>
      <c r="AB51" s="14">
        <f t="shared" si="31"/>
        <v>453.76</v>
      </c>
      <c r="AC51" s="92">
        <f t="shared" si="32"/>
        <v>-2046.24</v>
      </c>
      <c r="AD51" s="48">
        <f t="shared" si="33"/>
        <v>-0.818496</v>
      </c>
    </row>
    <row r="52" spans="1:30" x14ac:dyDescent="0.25">
      <c r="A52" s="44" t="s">
        <v>986</v>
      </c>
      <c r="B52" s="131" t="s">
        <v>231</v>
      </c>
      <c r="C52" s="156">
        <f>VLOOKUP(B52,'TB - Expense Data'!$H$3:$N$758,3,FALSE)</f>
        <v>110000</v>
      </c>
      <c r="D52" s="14">
        <f t="shared" si="17"/>
        <v>55000</v>
      </c>
      <c r="E52" s="26">
        <f>VLOOKUP(B52,'TB - Expense Data'!$H$3:$N$758,7,FALSE)</f>
        <v>55545.18</v>
      </c>
      <c r="F52" s="92">
        <f t="shared" si="18"/>
        <v>545.18000000000029</v>
      </c>
      <c r="G52" s="48">
        <f t="shared" si="19"/>
        <v>9.912363636363641E-3</v>
      </c>
      <c r="H52" s="131" t="s">
        <v>979</v>
      </c>
      <c r="I52" s="156">
        <f>VLOOKUP(H52,'TB - Expense Data'!$H$3:$N$758,3,FALSE)</f>
        <v>0</v>
      </c>
      <c r="J52" s="14">
        <f t="shared" si="20"/>
        <v>0</v>
      </c>
      <c r="K52" s="26">
        <f>VLOOKUP(H52,'TB - Expense Data'!$H$3:$N$758,7,FALSE)</f>
        <v>0</v>
      </c>
      <c r="L52" s="92">
        <f t="shared" si="21"/>
        <v>0</v>
      </c>
      <c r="M52" s="48" t="str">
        <f t="shared" si="22"/>
        <v xml:space="preserve">-    </v>
      </c>
      <c r="N52" s="131" t="s">
        <v>979</v>
      </c>
      <c r="O52" s="156">
        <f>VLOOKUP(N52,'TB - Expense Data'!$H$3:$N$758,3,FALSE)</f>
        <v>0</v>
      </c>
      <c r="P52" s="14">
        <f t="shared" si="23"/>
        <v>0</v>
      </c>
      <c r="Q52" s="26">
        <f>VLOOKUP(N52,'TB - Expense Data'!$H$3:$N$758,7,FALSE)</f>
        <v>0</v>
      </c>
      <c r="R52" s="92">
        <f t="shared" si="24"/>
        <v>0</v>
      </c>
      <c r="S52" s="48" t="str">
        <f t="shared" si="25"/>
        <v xml:space="preserve">-    </v>
      </c>
      <c r="T52" s="131" t="s">
        <v>979</v>
      </c>
      <c r="U52" s="156">
        <f>VLOOKUP(T52,'TB - Expense Data'!$H$3:$N$758,3,FALSE)</f>
        <v>0</v>
      </c>
      <c r="V52" s="14">
        <f t="shared" si="26"/>
        <v>0</v>
      </c>
      <c r="W52" s="26">
        <f>VLOOKUP(T52,'TB - Expense Data'!$H$3:$N$758,7,FALSE)</f>
        <v>0</v>
      </c>
      <c r="X52" s="92">
        <f t="shared" si="27"/>
        <v>0</v>
      </c>
      <c r="Y52" s="48" t="str">
        <f t="shared" si="28"/>
        <v xml:space="preserve">-    </v>
      </c>
      <c r="Z52" s="156">
        <f t="shared" si="29"/>
        <v>110000</v>
      </c>
      <c r="AA52" s="14">
        <f t="shared" si="30"/>
        <v>55000</v>
      </c>
      <c r="AB52" s="14">
        <f t="shared" si="31"/>
        <v>55545.18</v>
      </c>
      <c r="AC52" s="92">
        <f t="shared" si="32"/>
        <v>545.18000000000029</v>
      </c>
      <c r="AD52" s="48">
        <f t="shared" si="33"/>
        <v>9.912363636363641E-3</v>
      </c>
    </row>
    <row r="53" spans="1:30" x14ac:dyDescent="0.25">
      <c r="A53" s="44" t="s">
        <v>987</v>
      </c>
      <c r="B53" s="131" t="s">
        <v>232</v>
      </c>
      <c r="C53" s="156">
        <f>VLOOKUP(B53,'TB - Expense Data'!$H$3:$N$758,3,FALSE)</f>
        <v>20000</v>
      </c>
      <c r="D53" s="14">
        <f t="shared" si="17"/>
        <v>10000</v>
      </c>
      <c r="E53" s="26">
        <f>VLOOKUP(B53,'TB - Expense Data'!$H$3:$N$758,7,FALSE)</f>
        <v>324.2</v>
      </c>
      <c r="F53" s="92">
        <f t="shared" si="18"/>
        <v>-9675.7999999999993</v>
      </c>
      <c r="G53" s="48">
        <f t="shared" si="19"/>
        <v>-0.96757999999999988</v>
      </c>
      <c r="H53" s="131" t="s">
        <v>979</v>
      </c>
      <c r="I53" s="156">
        <f>VLOOKUP(H53,'TB - Expense Data'!$H$3:$N$758,3,FALSE)</f>
        <v>0</v>
      </c>
      <c r="J53" s="14">
        <f t="shared" si="20"/>
        <v>0</v>
      </c>
      <c r="K53" s="26">
        <f>VLOOKUP(H53,'TB - Expense Data'!$H$3:$N$758,7,FALSE)</f>
        <v>0</v>
      </c>
      <c r="L53" s="92">
        <f t="shared" si="21"/>
        <v>0</v>
      </c>
      <c r="M53" s="48" t="str">
        <f t="shared" si="22"/>
        <v xml:space="preserve">-    </v>
      </c>
      <c r="N53" s="131" t="s">
        <v>979</v>
      </c>
      <c r="O53" s="156">
        <f>VLOOKUP(N53,'TB - Expense Data'!$H$3:$N$758,3,FALSE)</f>
        <v>0</v>
      </c>
      <c r="P53" s="14">
        <f t="shared" si="23"/>
        <v>0</v>
      </c>
      <c r="Q53" s="26">
        <f>VLOOKUP(N53,'TB - Expense Data'!$H$3:$N$758,7,FALSE)</f>
        <v>0</v>
      </c>
      <c r="R53" s="92">
        <f t="shared" si="24"/>
        <v>0</v>
      </c>
      <c r="S53" s="48" t="str">
        <f t="shared" si="25"/>
        <v xml:space="preserve">-    </v>
      </c>
      <c r="T53" s="131" t="s">
        <v>979</v>
      </c>
      <c r="U53" s="156">
        <f>VLOOKUP(T53,'TB - Expense Data'!$H$3:$N$758,3,FALSE)</f>
        <v>0</v>
      </c>
      <c r="V53" s="14">
        <f t="shared" si="26"/>
        <v>0</v>
      </c>
      <c r="W53" s="26">
        <f>VLOOKUP(T53,'TB - Expense Data'!$H$3:$N$758,7,FALSE)</f>
        <v>0</v>
      </c>
      <c r="X53" s="92">
        <f t="shared" si="27"/>
        <v>0</v>
      </c>
      <c r="Y53" s="48" t="str">
        <f t="shared" si="28"/>
        <v xml:space="preserve">-    </v>
      </c>
      <c r="Z53" s="156">
        <f t="shared" si="29"/>
        <v>20000</v>
      </c>
      <c r="AA53" s="14">
        <f t="shared" si="30"/>
        <v>10000</v>
      </c>
      <c r="AB53" s="14">
        <f t="shared" si="31"/>
        <v>324.2</v>
      </c>
      <c r="AC53" s="92">
        <f t="shared" si="32"/>
        <v>-9675.7999999999993</v>
      </c>
      <c r="AD53" s="48">
        <f t="shared" si="33"/>
        <v>-0.96757999999999988</v>
      </c>
    </row>
    <row r="54" spans="1:30" x14ac:dyDescent="0.25">
      <c r="A54" s="44" t="s">
        <v>988</v>
      </c>
      <c r="B54" s="131" t="s">
        <v>233</v>
      </c>
      <c r="C54" s="156">
        <f>VLOOKUP(B54,'TB - Expense Data'!$H$3:$N$758,3,FALSE)</f>
        <v>8500</v>
      </c>
      <c r="D54" s="14">
        <f t="shared" si="17"/>
        <v>4250</v>
      </c>
      <c r="E54" s="26">
        <f>VLOOKUP(B54,'TB - Expense Data'!$H$3:$N$758,7,FALSE)</f>
        <v>3058.28</v>
      </c>
      <c r="F54" s="92">
        <f t="shared" si="18"/>
        <v>-1191.7199999999998</v>
      </c>
      <c r="G54" s="48">
        <f t="shared" si="19"/>
        <v>-0.28040470588235289</v>
      </c>
      <c r="H54" s="131" t="s">
        <v>979</v>
      </c>
      <c r="I54" s="156">
        <f>VLOOKUP(H54,'TB - Expense Data'!$H$3:$N$758,3,FALSE)</f>
        <v>0</v>
      </c>
      <c r="J54" s="14">
        <f t="shared" si="20"/>
        <v>0</v>
      </c>
      <c r="K54" s="26">
        <f>VLOOKUP(H54,'TB - Expense Data'!$H$3:$N$758,7,FALSE)</f>
        <v>0</v>
      </c>
      <c r="L54" s="92">
        <f t="shared" si="21"/>
        <v>0</v>
      </c>
      <c r="M54" s="48" t="str">
        <f t="shared" si="22"/>
        <v xml:space="preserve">-    </v>
      </c>
      <c r="N54" s="131" t="s">
        <v>979</v>
      </c>
      <c r="O54" s="156">
        <f>VLOOKUP(N54,'TB - Expense Data'!$H$3:$N$758,3,FALSE)</f>
        <v>0</v>
      </c>
      <c r="P54" s="14">
        <f t="shared" si="23"/>
        <v>0</v>
      </c>
      <c r="Q54" s="26">
        <f>VLOOKUP(N54,'TB - Expense Data'!$H$3:$N$758,7,FALSE)</f>
        <v>0</v>
      </c>
      <c r="R54" s="92">
        <f t="shared" si="24"/>
        <v>0</v>
      </c>
      <c r="S54" s="48" t="str">
        <f t="shared" si="25"/>
        <v xml:space="preserve">-    </v>
      </c>
      <c r="T54" s="131" t="s">
        <v>979</v>
      </c>
      <c r="U54" s="156">
        <f>VLOOKUP(T54,'TB - Expense Data'!$H$3:$N$758,3,FALSE)</f>
        <v>0</v>
      </c>
      <c r="V54" s="14">
        <f t="shared" si="26"/>
        <v>0</v>
      </c>
      <c r="W54" s="26">
        <f>VLOOKUP(T54,'TB - Expense Data'!$H$3:$N$758,7,FALSE)</f>
        <v>0</v>
      </c>
      <c r="X54" s="92">
        <f t="shared" si="27"/>
        <v>0</v>
      </c>
      <c r="Y54" s="48" t="str">
        <f t="shared" si="28"/>
        <v xml:space="preserve">-    </v>
      </c>
      <c r="Z54" s="156">
        <f t="shared" si="29"/>
        <v>8500</v>
      </c>
      <c r="AA54" s="14">
        <f t="shared" si="30"/>
        <v>4250</v>
      </c>
      <c r="AB54" s="14">
        <f t="shared" si="31"/>
        <v>3058.28</v>
      </c>
      <c r="AC54" s="92">
        <f t="shared" si="32"/>
        <v>-1191.7199999999998</v>
      </c>
      <c r="AD54" s="48">
        <f t="shared" si="33"/>
        <v>-0.28040470588235289</v>
      </c>
    </row>
    <row r="55" spans="1:30" x14ac:dyDescent="0.25">
      <c r="A55" s="44" t="s">
        <v>989</v>
      </c>
      <c r="B55" s="131" t="s">
        <v>235</v>
      </c>
      <c r="C55" s="156">
        <f>VLOOKUP(B55,'TB - Expense Data'!$H$3:$N$758,3,FALSE)</f>
        <v>0</v>
      </c>
      <c r="D55" s="14">
        <f t="shared" si="17"/>
        <v>0</v>
      </c>
      <c r="E55" s="26">
        <f>VLOOKUP(B55,'TB - Expense Data'!$H$3:$N$758,7,FALSE)</f>
        <v>19.18</v>
      </c>
      <c r="F55" s="92">
        <f t="shared" si="18"/>
        <v>19.18</v>
      </c>
      <c r="G55" s="48">
        <v>1</v>
      </c>
      <c r="H55" s="131" t="s">
        <v>979</v>
      </c>
      <c r="I55" s="156">
        <f>VLOOKUP(H55,'TB - Expense Data'!$H$3:$N$758,3,FALSE)</f>
        <v>0</v>
      </c>
      <c r="J55" s="14">
        <f t="shared" si="20"/>
        <v>0</v>
      </c>
      <c r="K55" s="26">
        <f>VLOOKUP(H55,'TB - Expense Data'!$H$3:$N$758,7,FALSE)</f>
        <v>0</v>
      </c>
      <c r="L55" s="92">
        <f t="shared" si="21"/>
        <v>0</v>
      </c>
      <c r="M55" s="48" t="str">
        <f t="shared" si="22"/>
        <v xml:space="preserve">-    </v>
      </c>
      <c r="N55" s="131" t="s">
        <v>979</v>
      </c>
      <c r="O55" s="156">
        <f>VLOOKUP(N55,'TB - Expense Data'!$H$3:$N$758,3,FALSE)</f>
        <v>0</v>
      </c>
      <c r="P55" s="14">
        <f t="shared" si="23"/>
        <v>0</v>
      </c>
      <c r="Q55" s="26">
        <f>VLOOKUP(N55,'TB - Expense Data'!$H$3:$N$758,7,FALSE)</f>
        <v>0</v>
      </c>
      <c r="R55" s="92">
        <f t="shared" si="24"/>
        <v>0</v>
      </c>
      <c r="S55" s="48" t="str">
        <f t="shared" si="25"/>
        <v xml:space="preserve">-    </v>
      </c>
      <c r="T55" s="131" t="s">
        <v>979</v>
      </c>
      <c r="U55" s="156">
        <f>VLOOKUP(T55,'TB - Expense Data'!$H$3:$N$758,3,FALSE)</f>
        <v>0</v>
      </c>
      <c r="V55" s="14">
        <f t="shared" si="26"/>
        <v>0</v>
      </c>
      <c r="W55" s="26">
        <f>VLOOKUP(T55,'TB - Expense Data'!$H$3:$N$758,7,FALSE)</f>
        <v>0</v>
      </c>
      <c r="X55" s="92">
        <f t="shared" si="27"/>
        <v>0</v>
      </c>
      <c r="Y55" s="48" t="str">
        <f t="shared" si="28"/>
        <v xml:space="preserve">-    </v>
      </c>
      <c r="Z55" s="156">
        <f t="shared" si="29"/>
        <v>0</v>
      </c>
      <c r="AA55" s="14">
        <f t="shared" si="30"/>
        <v>0</v>
      </c>
      <c r="AB55" s="14">
        <f t="shared" si="31"/>
        <v>19.18</v>
      </c>
      <c r="AC55" s="92">
        <f t="shared" si="32"/>
        <v>19.18</v>
      </c>
      <c r="AD55" s="48">
        <v>1</v>
      </c>
    </row>
    <row r="56" spans="1:30" ht="15.75" hidden="1" customHeight="1" outlineLevel="1" x14ac:dyDescent="0.25">
      <c r="A56" s="536" t="s">
        <v>990</v>
      </c>
      <c r="B56" s="537" t="s">
        <v>236</v>
      </c>
      <c r="C56" s="556">
        <f>VLOOKUP(B56,'TB - Expense Data'!$H$3:$N$758,3,FALSE)</f>
        <v>0</v>
      </c>
      <c r="D56" s="538">
        <f t="shared" si="17"/>
        <v>0</v>
      </c>
      <c r="E56" s="538">
        <f>VLOOKUP(B56,'TB - Expense Data'!$H$3:$N$758,7,FALSE)</f>
        <v>0</v>
      </c>
      <c r="F56" s="539">
        <f t="shared" si="18"/>
        <v>0</v>
      </c>
      <c r="G56" s="540" t="str">
        <f t="shared" si="19"/>
        <v xml:space="preserve">-    </v>
      </c>
      <c r="H56" s="537" t="s">
        <v>979</v>
      </c>
      <c r="I56" s="556">
        <f>VLOOKUP(H56,'TB - Expense Data'!$H$3:$N$758,3,FALSE)</f>
        <v>0</v>
      </c>
      <c r="J56" s="538">
        <f t="shared" si="20"/>
        <v>0</v>
      </c>
      <c r="K56" s="538">
        <f>VLOOKUP(H56,'TB - Expense Data'!$H$3:$N$758,7,FALSE)</f>
        <v>0</v>
      </c>
      <c r="L56" s="539">
        <f t="shared" si="21"/>
        <v>0</v>
      </c>
      <c r="M56" s="540" t="str">
        <f t="shared" si="22"/>
        <v xml:space="preserve">-    </v>
      </c>
      <c r="N56" s="537" t="s">
        <v>979</v>
      </c>
      <c r="O56" s="556">
        <f>VLOOKUP(N56,'TB - Expense Data'!$H$3:$N$758,3,FALSE)</f>
        <v>0</v>
      </c>
      <c r="P56" s="538">
        <f t="shared" si="23"/>
        <v>0</v>
      </c>
      <c r="Q56" s="538">
        <f>VLOOKUP(N56,'TB - Expense Data'!$H$3:$N$758,7,FALSE)</f>
        <v>0</v>
      </c>
      <c r="R56" s="539">
        <f t="shared" si="24"/>
        <v>0</v>
      </c>
      <c r="S56" s="540" t="str">
        <f t="shared" si="25"/>
        <v xml:space="preserve">-    </v>
      </c>
      <c r="T56" s="537" t="s">
        <v>979</v>
      </c>
      <c r="U56" s="556">
        <f>VLOOKUP(T56,'TB - Expense Data'!$H$3:$N$758,3,FALSE)</f>
        <v>0</v>
      </c>
      <c r="V56" s="538">
        <f t="shared" si="26"/>
        <v>0</v>
      </c>
      <c r="W56" s="538">
        <f>VLOOKUP(T56,'TB - Expense Data'!$H$3:$N$758,7,FALSE)</f>
        <v>0</v>
      </c>
      <c r="X56" s="539">
        <f t="shared" si="27"/>
        <v>0</v>
      </c>
      <c r="Y56" s="540" t="str">
        <f t="shared" si="28"/>
        <v xml:space="preserve">-    </v>
      </c>
      <c r="Z56" s="556">
        <f t="shared" si="29"/>
        <v>0</v>
      </c>
      <c r="AA56" s="538">
        <f t="shared" si="30"/>
        <v>0</v>
      </c>
      <c r="AB56" s="538">
        <f t="shared" si="31"/>
        <v>0</v>
      </c>
      <c r="AC56" s="539">
        <f t="shared" si="32"/>
        <v>0</v>
      </c>
      <c r="AD56" s="540" t="str">
        <f t="shared" si="33"/>
        <v xml:space="preserve">-    </v>
      </c>
    </row>
    <row r="57" spans="1:30" ht="15.75" hidden="1" customHeight="1" outlineLevel="1" x14ac:dyDescent="0.25">
      <c r="A57" s="536" t="s">
        <v>991</v>
      </c>
      <c r="B57" s="537" t="s">
        <v>875</v>
      </c>
      <c r="C57" s="556">
        <f>VLOOKUP(B57,'TB - Expense Data'!$H$3:$N$758,3,FALSE)</f>
        <v>0</v>
      </c>
      <c r="D57" s="538">
        <f t="shared" si="17"/>
        <v>0</v>
      </c>
      <c r="E57" s="538">
        <f>VLOOKUP(B57,'TB - Expense Data'!$H$3:$N$758,7,FALSE)</f>
        <v>0</v>
      </c>
      <c r="F57" s="539">
        <f t="shared" si="18"/>
        <v>0</v>
      </c>
      <c r="G57" s="540" t="str">
        <f t="shared" si="19"/>
        <v xml:space="preserve">-    </v>
      </c>
      <c r="H57" s="537" t="s">
        <v>979</v>
      </c>
      <c r="I57" s="556">
        <f>VLOOKUP(H57,'TB - Expense Data'!$H$3:$N$758,3,FALSE)</f>
        <v>0</v>
      </c>
      <c r="J57" s="538">
        <f t="shared" si="20"/>
        <v>0</v>
      </c>
      <c r="K57" s="538">
        <f>VLOOKUP(H57,'TB - Expense Data'!$H$3:$N$758,7,FALSE)</f>
        <v>0</v>
      </c>
      <c r="L57" s="539">
        <f t="shared" si="21"/>
        <v>0</v>
      </c>
      <c r="M57" s="540" t="str">
        <f t="shared" si="22"/>
        <v xml:space="preserve">-    </v>
      </c>
      <c r="N57" s="537" t="s">
        <v>979</v>
      </c>
      <c r="O57" s="556">
        <f>VLOOKUP(N57,'TB - Expense Data'!$H$3:$N$758,3,FALSE)</f>
        <v>0</v>
      </c>
      <c r="P57" s="538">
        <f t="shared" si="23"/>
        <v>0</v>
      </c>
      <c r="Q57" s="538">
        <f>VLOOKUP(N57,'TB - Expense Data'!$H$3:$N$758,7,FALSE)</f>
        <v>0</v>
      </c>
      <c r="R57" s="539">
        <f t="shared" si="24"/>
        <v>0</v>
      </c>
      <c r="S57" s="540" t="str">
        <f t="shared" si="25"/>
        <v xml:space="preserve">-    </v>
      </c>
      <c r="T57" s="537" t="s">
        <v>979</v>
      </c>
      <c r="U57" s="556">
        <f>VLOOKUP(T57,'TB - Expense Data'!$H$3:$N$758,3,FALSE)</f>
        <v>0</v>
      </c>
      <c r="V57" s="538">
        <f t="shared" si="26"/>
        <v>0</v>
      </c>
      <c r="W57" s="538">
        <f>VLOOKUP(T57,'TB - Expense Data'!$H$3:$N$758,7,FALSE)</f>
        <v>0</v>
      </c>
      <c r="X57" s="539">
        <f t="shared" si="27"/>
        <v>0</v>
      </c>
      <c r="Y57" s="540" t="str">
        <f t="shared" si="28"/>
        <v xml:space="preserve">-    </v>
      </c>
      <c r="Z57" s="556">
        <f t="shared" si="29"/>
        <v>0</v>
      </c>
      <c r="AA57" s="538">
        <f t="shared" si="30"/>
        <v>0</v>
      </c>
      <c r="AB57" s="538">
        <f t="shared" si="31"/>
        <v>0</v>
      </c>
      <c r="AC57" s="539">
        <f t="shared" si="32"/>
        <v>0</v>
      </c>
      <c r="AD57" s="540" t="str">
        <f t="shared" si="33"/>
        <v xml:space="preserve">-    </v>
      </c>
    </row>
    <row r="58" spans="1:30" ht="15.75" hidden="1" customHeight="1" outlineLevel="1" x14ac:dyDescent="0.25">
      <c r="A58" s="536" t="s">
        <v>992</v>
      </c>
      <c r="B58" s="537" t="s">
        <v>873</v>
      </c>
      <c r="C58" s="556">
        <f>VLOOKUP(B58,'TB - Expense Data'!$H$3:$N$758,3,FALSE)</f>
        <v>0</v>
      </c>
      <c r="D58" s="538">
        <f t="shared" si="17"/>
        <v>0</v>
      </c>
      <c r="E58" s="538">
        <f>VLOOKUP(B58,'TB - Expense Data'!$H$3:$N$758,7,FALSE)</f>
        <v>0</v>
      </c>
      <c r="F58" s="539">
        <f t="shared" si="18"/>
        <v>0</v>
      </c>
      <c r="G58" s="540" t="str">
        <f t="shared" si="19"/>
        <v xml:space="preserve">-    </v>
      </c>
      <c r="H58" s="537" t="s">
        <v>979</v>
      </c>
      <c r="I58" s="556">
        <f>VLOOKUP(H58,'TB - Expense Data'!$H$3:$N$758,3,FALSE)</f>
        <v>0</v>
      </c>
      <c r="J58" s="538">
        <f t="shared" si="20"/>
        <v>0</v>
      </c>
      <c r="K58" s="538">
        <f>VLOOKUP(H58,'TB - Expense Data'!$H$3:$N$758,7,FALSE)</f>
        <v>0</v>
      </c>
      <c r="L58" s="539">
        <f t="shared" si="21"/>
        <v>0</v>
      </c>
      <c r="M58" s="540" t="str">
        <f t="shared" si="22"/>
        <v xml:space="preserve">-    </v>
      </c>
      <c r="N58" s="537" t="s">
        <v>979</v>
      </c>
      <c r="O58" s="556">
        <f>VLOOKUP(N58,'TB - Expense Data'!$H$3:$N$758,3,FALSE)</f>
        <v>0</v>
      </c>
      <c r="P58" s="538">
        <f t="shared" si="23"/>
        <v>0</v>
      </c>
      <c r="Q58" s="538">
        <f>VLOOKUP(N58,'TB - Expense Data'!$H$3:$N$758,7,FALSE)</f>
        <v>0</v>
      </c>
      <c r="R58" s="539">
        <f t="shared" si="24"/>
        <v>0</v>
      </c>
      <c r="S58" s="540" t="str">
        <f t="shared" si="25"/>
        <v xml:space="preserve">-    </v>
      </c>
      <c r="T58" s="537" t="s">
        <v>979</v>
      </c>
      <c r="U58" s="556">
        <f>VLOOKUP(T58,'TB - Expense Data'!$H$3:$N$758,3,FALSE)</f>
        <v>0</v>
      </c>
      <c r="V58" s="538">
        <f t="shared" si="26"/>
        <v>0</v>
      </c>
      <c r="W58" s="538">
        <f>VLOOKUP(T58,'TB - Expense Data'!$H$3:$N$758,7,FALSE)</f>
        <v>0</v>
      </c>
      <c r="X58" s="539">
        <f t="shared" si="27"/>
        <v>0</v>
      </c>
      <c r="Y58" s="540" t="str">
        <f t="shared" si="28"/>
        <v xml:space="preserve">-    </v>
      </c>
      <c r="Z58" s="556">
        <f t="shared" si="29"/>
        <v>0</v>
      </c>
      <c r="AA58" s="538">
        <f t="shared" si="30"/>
        <v>0</v>
      </c>
      <c r="AB58" s="538">
        <f t="shared" si="31"/>
        <v>0</v>
      </c>
      <c r="AC58" s="539">
        <f t="shared" si="32"/>
        <v>0</v>
      </c>
      <c r="AD58" s="540" t="str">
        <f t="shared" si="33"/>
        <v xml:space="preserve">-    </v>
      </c>
    </row>
    <row r="59" spans="1:30" collapsed="1" x14ac:dyDescent="0.25">
      <c r="A59" s="44" t="s">
        <v>993</v>
      </c>
      <c r="B59" s="131" t="s">
        <v>237</v>
      </c>
      <c r="C59" s="156">
        <f>VLOOKUP(B59,'TB - Expense Data'!$H$3:$N$758,3,FALSE)</f>
        <v>20000</v>
      </c>
      <c r="D59" s="14">
        <f t="shared" si="17"/>
        <v>10000</v>
      </c>
      <c r="E59" s="26">
        <f>VLOOKUP(B59,'TB - Expense Data'!$H$3:$N$758,7,FALSE)</f>
        <v>8617.33</v>
      </c>
      <c r="F59" s="92">
        <f t="shared" si="18"/>
        <v>-1382.67</v>
      </c>
      <c r="G59" s="48">
        <f t="shared" si="19"/>
        <v>-0.138267</v>
      </c>
      <c r="H59" s="131" t="s">
        <v>979</v>
      </c>
      <c r="I59" s="156">
        <f>VLOOKUP(H59,'TB - Expense Data'!$H$3:$N$758,3,FALSE)</f>
        <v>0</v>
      </c>
      <c r="J59" s="14">
        <f t="shared" si="20"/>
        <v>0</v>
      </c>
      <c r="K59" s="26">
        <f>VLOOKUP(H59,'TB - Expense Data'!$H$3:$N$758,7,FALSE)</f>
        <v>0</v>
      </c>
      <c r="L59" s="92">
        <f t="shared" si="21"/>
        <v>0</v>
      </c>
      <c r="M59" s="48" t="str">
        <f t="shared" si="22"/>
        <v xml:space="preserve">-    </v>
      </c>
      <c r="N59" s="131" t="s">
        <v>979</v>
      </c>
      <c r="O59" s="156">
        <f>VLOOKUP(N59,'TB - Expense Data'!$H$3:$N$758,3,FALSE)</f>
        <v>0</v>
      </c>
      <c r="P59" s="14">
        <f t="shared" si="23"/>
        <v>0</v>
      </c>
      <c r="Q59" s="26">
        <f>VLOOKUP(N59,'TB - Expense Data'!$H$3:$N$758,7,FALSE)</f>
        <v>0</v>
      </c>
      <c r="R59" s="92">
        <f t="shared" si="24"/>
        <v>0</v>
      </c>
      <c r="S59" s="48" t="str">
        <f t="shared" si="25"/>
        <v xml:space="preserve">-    </v>
      </c>
      <c r="T59" s="131" t="s">
        <v>979</v>
      </c>
      <c r="U59" s="156">
        <f>VLOOKUP(T59,'TB - Expense Data'!$H$3:$N$758,3,FALSE)</f>
        <v>0</v>
      </c>
      <c r="V59" s="14">
        <f t="shared" si="26"/>
        <v>0</v>
      </c>
      <c r="W59" s="26">
        <f>VLOOKUP(T59,'TB - Expense Data'!$H$3:$N$758,7,FALSE)</f>
        <v>0</v>
      </c>
      <c r="X59" s="92">
        <f t="shared" si="27"/>
        <v>0</v>
      </c>
      <c r="Y59" s="48" t="str">
        <f t="shared" si="28"/>
        <v xml:space="preserve">-    </v>
      </c>
      <c r="Z59" s="156">
        <f t="shared" si="29"/>
        <v>20000</v>
      </c>
      <c r="AA59" s="14">
        <f t="shared" si="30"/>
        <v>10000</v>
      </c>
      <c r="AB59" s="14">
        <f t="shared" si="31"/>
        <v>8617.33</v>
      </c>
      <c r="AC59" s="92">
        <f t="shared" si="32"/>
        <v>-1382.67</v>
      </c>
      <c r="AD59" s="48">
        <f t="shared" si="33"/>
        <v>-0.138267</v>
      </c>
    </row>
    <row r="60" spans="1:30" x14ac:dyDescent="0.25">
      <c r="A60" s="44" t="s">
        <v>994</v>
      </c>
      <c r="B60" s="131" t="s">
        <v>240</v>
      </c>
      <c r="C60" s="156">
        <f>VLOOKUP(B60,'TB - Expense Data'!$H$3:$N$758,3,FALSE)</f>
        <v>1000</v>
      </c>
      <c r="D60" s="14">
        <f t="shared" si="17"/>
        <v>500</v>
      </c>
      <c r="E60" s="26">
        <f>VLOOKUP(B60,'TB - Expense Data'!$H$3:$N$758,7,FALSE)</f>
        <v>0</v>
      </c>
      <c r="F60" s="92">
        <f t="shared" si="18"/>
        <v>-500</v>
      </c>
      <c r="G60" s="48">
        <f t="shared" si="19"/>
        <v>-1</v>
      </c>
      <c r="H60" s="131" t="s">
        <v>979</v>
      </c>
      <c r="I60" s="156">
        <f>VLOOKUP(H60,'TB - Expense Data'!$H$3:$N$758,3,FALSE)</f>
        <v>0</v>
      </c>
      <c r="J60" s="14">
        <f t="shared" si="20"/>
        <v>0</v>
      </c>
      <c r="K60" s="26">
        <f>VLOOKUP(H60,'TB - Expense Data'!$H$3:$N$758,7,FALSE)</f>
        <v>0</v>
      </c>
      <c r="L60" s="92">
        <f t="shared" si="21"/>
        <v>0</v>
      </c>
      <c r="M60" s="48" t="str">
        <f t="shared" si="22"/>
        <v xml:space="preserve">-    </v>
      </c>
      <c r="N60" s="131" t="s">
        <v>979</v>
      </c>
      <c r="O60" s="156">
        <f>VLOOKUP(N60,'TB - Expense Data'!$H$3:$N$758,3,FALSE)</f>
        <v>0</v>
      </c>
      <c r="P60" s="14">
        <f t="shared" si="23"/>
        <v>0</v>
      </c>
      <c r="Q60" s="26">
        <f>VLOOKUP(N60,'TB - Expense Data'!$H$3:$N$758,7,FALSE)</f>
        <v>0</v>
      </c>
      <c r="R60" s="92">
        <f t="shared" si="24"/>
        <v>0</v>
      </c>
      <c r="S60" s="48" t="str">
        <f t="shared" si="25"/>
        <v xml:space="preserve">-    </v>
      </c>
      <c r="T60" s="131" t="s">
        <v>979</v>
      </c>
      <c r="U60" s="156">
        <f>VLOOKUP(T60,'TB - Expense Data'!$H$3:$N$758,3,FALSE)</f>
        <v>0</v>
      </c>
      <c r="V60" s="14">
        <f t="shared" si="26"/>
        <v>0</v>
      </c>
      <c r="W60" s="26">
        <f>VLOOKUP(T60,'TB - Expense Data'!$H$3:$N$758,7,FALSE)</f>
        <v>0</v>
      </c>
      <c r="X60" s="92">
        <f t="shared" si="27"/>
        <v>0</v>
      </c>
      <c r="Y60" s="48" t="str">
        <f t="shared" si="28"/>
        <v xml:space="preserve">-    </v>
      </c>
      <c r="Z60" s="156">
        <f t="shared" si="29"/>
        <v>1000</v>
      </c>
      <c r="AA60" s="14">
        <f t="shared" si="30"/>
        <v>500</v>
      </c>
      <c r="AB60" s="14">
        <f t="shared" si="31"/>
        <v>0</v>
      </c>
      <c r="AC60" s="92">
        <f t="shared" si="32"/>
        <v>-500</v>
      </c>
      <c r="AD60" s="48">
        <f t="shared" si="33"/>
        <v>-1</v>
      </c>
    </row>
    <row r="61" spans="1:30" x14ac:dyDescent="0.25">
      <c r="A61" s="44" t="s">
        <v>995</v>
      </c>
      <c r="B61" s="131" t="s">
        <v>241</v>
      </c>
      <c r="C61" s="156">
        <f>VLOOKUP(B61,'TB - Expense Data'!$H$3:$N$758,3,FALSE)</f>
        <v>3000</v>
      </c>
      <c r="D61" s="14">
        <f t="shared" si="17"/>
        <v>1500</v>
      </c>
      <c r="E61" s="26">
        <f>VLOOKUP(B61,'TB - Expense Data'!$H$3:$N$758,7,FALSE)</f>
        <v>0</v>
      </c>
      <c r="F61" s="92">
        <f t="shared" si="18"/>
        <v>-1500</v>
      </c>
      <c r="G61" s="48">
        <f t="shared" si="19"/>
        <v>-1</v>
      </c>
      <c r="H61" s="131" t="s">
        <v>979</v>
      </c>
      <c r="I61" s="156">
        <f>VLOOKUP(H61,'TB - Expense Data'!$H$3:$N$758,3,FALSE)</f>
        <v>0</v>
      </c>
      <c r="J61" s="14">
        <f t="shared" si="20"/>
        <v>0</v>
      </c>
      <c r="K61" s="26">
        <f>VLOOKUP(H61,'TB - Expense Data'!$H$3:$N$758,7,FALSE)</f>
        <v>0</v>
      </c>
      <c r="L61" s="92">
        <f t="shared" si="21"/>
        <v>0</v>
      </c>
      <c r="M61" s="48" t="str">
        <f t="shared" si="22"/>
        <v xml:space="preserve">-    </v>
      </c>
      <c r="N61" s="131" t="s">
        <v>979</v>
      </c>
      <c r="O61" s="156">
        <f>VLOOKUP(N61,'TB - Expense Data'!$H$3:$N$758,3,FALSE)</f>
        <v>0</v>
      </c>
      <c r="P61" s="14">
        <f t="shared" si="23"/>
        <v>0</v>
      </c>
      <c r="Q61" s="26">
        <f>VLOOKUP(N61,'TB - Expense Data'!$H$3:$N$758,7,FALSE)</f>
        <v>0</v>
      </c>
      <c r="R61" s="92">
        <f t="shared" si="24"/>
        <v>0</v>
      </c>
      <c r="S61" s="48" t="str">
        <f t="shared" si="25"/>
        <v xml:space="preserve">-    </v>
      </c>
      <c r="T61" s="131" t="s">
        <v>979</v>
      </c>
      <c r="U61" s="156">
        <f>VLOOKUP(T61,'TB - Expense Data'!$H$3:$N$758,3,FALSE)</f>
        <v>0</v>
      </c>
      <c r="V61" s="14">
        <f t="shared" si="26"/>
        <v>0</v>
      </c>
      <c r="W61" s="26">
        <f>VLOOKUP(T61,'TB - Expense Data'!$H$3:$N$758,7,FALSE)</f>
        <v>0</v>
      </c>
      <c r="X61" s="92">
        <f t="shared" si="27"/>
        <v>0</v>
      </c>
      <c r="Y61" s="48" t="str">
        <f t="shared" si="28"/>
        <v xml:space="preserve">-    </v>
      </c>
      <c r="Z61" s="156">
        <f t="shared" si="29"/>
        <v>3000</v>
      </c>
      <c r="AA61" s="14">
        <f t="shared" si="30"/>
        <v>1500</v>
      </c>
      <c r="AB61" s="14">
        <f t="shared" si="31"/>
        <v>0</v>
      </c>
      <c r="AC61" s="92">
        <f t="shared" si="32"/>
        <v>-1500</v>
      </c>
      <c r="AD61" s="48">
        <f t="shared" si="33"/>
        <v>-1</v>
      </c>
    </row>
    <row r="62" spans="1:30" x14ac:dyDescent="0.25">
      <c r="A62" s="44" t="s">
        <v>996</v>
      </c>
      <c r="B62" s="131" t="s">
        <v>979</v>
      </c>
      <c r="C62" s="156">
        <f>VLOOKUP(B62,'TB - Expense Data'!$H$3:$N$758,3,FALSE)</f>
        <v>0</v>
      </c>
      <c r="D62" s="14">
        <f t="shared" si="17"/>
        <v>0</v>
      </c>
      <c r="E62" s="26">
        <f>VLOOKUP(B62,'TB - Expense Data'!$H$3:$N$758,7,FALSE)</f>
        <v>0</v>
      </c>
      <c r="F62" s="92">
        <f t="shared" si="18"/>
        <v>0</v>
      </c>
      <c r="G62" s="48" t="str">
        <f t="shared" si="19"/>
        <v xml:space="preserve">-    </v>
      </c>
      <c r="H62" s="131" t="s">
        <v>273</v>
      </c>
      <c r="I62" s="156">
        <f>VLOOKUP(H62,'TB - Expense Data'!$H$3:$N$758,3,FALSE)</f>
        <v>5000</v>
      </c>
      <c r="J62" s="14">
        <f t="shared" si="20"/>
        <v>2500</v>
      </c>
      <c r="K62" s="26">
        <f>VLOOKUP(H62,'TB - Expense Data'!$H$3:$N$758,7,FALSE)</f>
        <v>0</v>
      </c>
      <c r="L62" s="92">
        <f t="shared" si="21"/>
        <v>-2500</v>
      </c>
      <c r="M62" s="48">
        <f t="shared" si="22"/>
        <v>-1</v>
      </c>
      <c r="N62" s="131" t="s">
        <v>979</v>
      </c>
      <c r="O62" s="156">
        <f>VLOOKUP(N62,'TB - Expense Data'!$H$3:$N$758,3,FALSE)</f>
        <v>0</v>
      </c>
      <c r="P62" s="14">
        <f t="shared" si="23"/>
        <v>0</v>
      </c>
      <c r="Q62" s="26">
        <f>VLOOKUP(N62,'TB - Expense Data'!$H$3:$N$758,7,FALSE)</f>
        <v>0</v>
      </c>
      <c r="R62" s="92">
        <f t="shared" si="24"/>
        <v>0</v>
      </c>
      <c r="S62" s="48" t="str">
        <f t="shared" si="25"/>
        <v xml:space="preserve">-    </v>
      </c>
      <c r="T62" s="131" t="s">
        <v>979</v>
      </c>
      <c r="U62" s="156">
        <f>VLOOKUP(T62,'TB - Expense Data'!$H$3:$N$758,3,FALSE)</f>
        <v>0</v>
      </c>
      <c r="V62" s="14">
        <f t="shared" si="26"/>
        <v>0</v>
      </c>
      <c r="W62" s="26">
        <f>VLOOKUP(T62,'TB - Expense Data'!$H$3:$N$758,7,FALSE)</f>
        <v>0</v>
      </c>
      <c r="X62" s="92">
        <f t="shared" si="27"/>
        <v>0</v>
      </c>
      <c r="Y62" s="48" t="str">
        <f t="shared" si="28"/>
        <v xml:space="preserve">-    </v>
      </c>
      <c r="Z62" s="156">
        <f t="shared" si="29"/>
        <v>5000</v>
      </c>
      <c r="AA62" s="14">
        <f t="shared" si="30"/>
        <v>2500</v>
      </c>
      <c r="AB62" s="14">
        <f t="shared" si="31"/>
        <v>0</v>
      </c>
      <c r="AC62" s="92">
        <f t="shared" si="32"/>
        <v>-2500</v>
      </c>
      <c r="AD62" s="48">
        <f t="shared" si="33"/>
        <v>-1</v>
      </c>
    </row>
    <row r="63" spans="1:30" x14ac:dyDescent="0.25">
      <c r="A63" s="44" t="s">
        <v>997</v>
      </c>
      <c r="B63" s="131" t="s">
        <v>979</v>
      </c>
      <c r="C63" s="156">
        <f>VLOOKUP(B63,'TB - Expense Data'!$H$3:$N$758,3,FALSE)</f>
        <v>0</v>
      </c>
      <c r="D63" s="14">
        <f t="shared" si="17"/>
        <v>0</v>
      </c>
      <c r="E63" s="26">
        <f>VLOOKUP(B63,'TB - Expense Data'!$H$3:$N$758,7,FALSE)</f>
        <v>0</v>
      </c>
      <c r="F63" s="92">
        <f t="shared" si="18"/>
        <v>0</v>
      </c>
      <c r="G63" s="48" t="str">
        <f t="shared" si="19"/>
        <v xml:space="preserve">-    </v>
      </c>
      <c r="H63" s="131" t="s">
        <v>274</v>
      </c>
      <c r="I63" s="156">
        <f>VLOOKUP(H63,'TB - Expense Data'!$H$3:$N$758,3,FALSE)</f>
        <v>8000</v>
      </c>
      <c r="J63" s="14">
        <f t="shared" si="20"/>
        <v>4000</v>
      </c>
      <c r="K63" s="26">
        <f>VLOOKUP(H63,'TB - Expense Data'!$H$3:$N$758,7,FALSE)</f>
        <v>4213.05</v>
      </c>
      <c r="L63" s="92">
        <f t="shared" si="21"/>
        <v>213.05000000000018</v>
      </c>
      <c r="M63" s="48">
        <f t="shared" si="22"/>
        <v>5.3262500000000046E-2</v>
      </c>
      <c r="N63" s="131" t="s">
        <v>979</v>
      </c>
      <c r="O63" s="156">
        <f>VLOOKUP(N63,'TB - Expense Data'!$H$3:$N$758,3,FALSE)</f>
        <v>0</v>
      </c>
      <c r="P63" s="14">
        <f t="shared" si="23"/>
        <v>0</v>
      </c>
      <c r="Q63" s="26">
        <f>VLOOKUP(N63,'TB - Expense Data'!$H$3:$N$758,7,FALSE)</f>
        <v>0</v>
      </c>
      <c r="R63" s="92">
        <f t="shared" si="24"/>
        <v>0</v>
      </c>
      <c r="S63" s="48" t="str">
        <f t="shared" si="25"/>
        <v xml:space="preserve">-    </v>
      </c>
      <c r="T63" s="131" t="s">
        <v>979</v>
      </c>
      <c r="U63" s="156">
        <f>VLOOKUP(T63,'TB - Expense Data'!$H$3:$N$758,3,FALSE)</f>
        <v>0</v>
      </c>
      <c r="V63" s="14">
        <f t="shared" si="26"/>
        <v>0</v>
      </c>
      <c r="W63" s="26">
        <f>VLOOKUP(T63,'TB - Expense Data'!$H$3:$N$758,7,FALSE)</f>
        <v>0</v>
      </c>
      <c r="X63" s="92">
        <f t="shared" si="27"/>
        <v>0</v>
      </c>
      <c r="Y63" s="48" t="str">
        <f t="shared" si="28"/>
        <v xml:space="preserve">-    </v>
      </c>
      <c r="Z63" s="156">
        <f t="shared" si="29"/>
        <v>8000</v>
      </c>
      <c r="AA63" s="14">
        <f t="shared" si="30"/>
        <v>4000</v>
      </c>
      <c r="AB63" s="14">
        <f t="shared" si="31"/>
        <v>4213.05</v>
      </c>
      <c r="AC63" s="92">
        <f t="shared" si="32"/>
        <v>213.05000000000018</v>
      </c>
      <c r="AD63" s="48">
        <f t="shared" si="33"/>
        <v>5.3262500000000046E-2</v>
      </c>
    </row>
    <row r="64" spans="1:30" x14ac:dyDescent="0.25">
      <c r="A64" s="44" t="s">
        <v>998</v>
      </c>
      <c r="B64" s="131" t="s">
        <v>979</v>
      </c>
      <c r="C64" s="156">
        <f>VLOOKUP(B64,'TB - Expense Data'!$H$3:$N$758,3,FALSE)</f>
        <v>0</v>
      </c>
      <c r="D64" s="14">
        <f t="shared" si="17"/>
        <v>0</v>
      </c>
      <c r="E64" s="26">
        <f>VLOOKUP(B64,'TB - Expense Data'!$H$3:$N$758,7,FALSE)</f>
        <v>0</v>
      </c>
      <c r="F64" s="92">
        <f t="shared" si="18"/>
        <v>0</v>
      </c>
      <c r="G64" s="48" t="str">
        <f t="shared" si="19"/>
        <v xml:space="preserve">-    </v>
      </c>
      <c r="H64" s="131" t="s">
        <v>275</v>
      </c>
      <c r="I64" s="156">
        <f>VLOOKUP(H64,'TB - Expense Data'!$H$3:$N$758,3,FALSE)</f>
        <v>1000</v>
      </c>
      <c r="J64" s="14">
        <f t="shared" si="20"/>
        <v>500</v>
      </c>
      <c r="K64" s="26">
        <f>VLOOKUP(H64,'TB - Expense Data'!$H$3:$N$758,7,FALSE)</f>
        <v>0</v>
      </c>
      <c r="L64" s="92">
        <f t="shared" si="21"/>
        <v>-500</v>
      </c>
      <c r="M64" s="48">
        <f t="shared" si="22"/>
        <v>-1</v>
      </c>
      <c r="N64" s="131" t="s">
        <v>979</v>
      </c>
      <c r="O64" s="156">
        <f>VLOOKUP(N64,'TB - Expense Data'!$H$3:$N$758,3,FALSE)</f>
        <v>0</v>
      </c>
      <c r="P64" s="14">
        <f t="shared" si="23"/>
        <v>0</v>
      </c>
      <c r="Q64" s="26">
        <f>VLOOKUP(N64,'TB - Expense Data'!$H$3:$N$758,7,FALSE)</f>
        <v>0</v>
      </c>
      <c r="R64" s="92">
        <f t="shared" si="24"/>
        <v>0</v>
      </c>
      <c r="S64" s="48" t="str">
        <f t="shared" si="25"/>
        <v xml:space="preserve">-    </v>
      </c>
      <c r="T64" s="131" t="s">
        <v>979</v>
      </c>
      <c r="U64" s="156">
        <f>VLOOKUP(T64,'TB - Expense Data'!$H$3:$N$758,3,FALSE)</f>
        <v>0</v>
      </c>
      <c r="V64" s="14">
        <f t="shared" si="26"/>
        <v>0</v>
      </c>
      <c r="W64" s="26">
        <f>VLOOKUP(T64,'TB - Expense Data'!$H$3:$N$758,7,FALSE)</f>
        <v>0</v>
      </c>
      <c r="X64" s="92">
        <f t="shared" si="27"/>
        <v>0</v>
      </c>
      <c r="Y64" s="48" t="str">
        <f t="shared" si="28"/>
        <v xml:space="preserve">-    </v>
      </c>
      <c r="Z64" s="156">
        <f t="shared" si="29"/>
        <v>1000</v>
      </c>
      <c r="AA64" s="14">
        <f t="shared" si="30"/>
        <v>500</v>
      </c>
      <c r="AB64" s="14">
        <f t="shared" si="31"/>
        <v>0</v>
      </c>
      <c r="AC64" s="92">
        <f t="shared" si="32"/>
        <v>-500</v>
      </c>
      <c r="AD64" s="48">
        <f t="shared" si="33"/>
        <v>-1</v>
      </c>
    </row>
    <row r="65" spans="1:30" x14ac:dyDescent="0.25">
      <c r="A65" s="44" t="s">
        <v>999</v>
      </c>
      <c r="B65" s="131" t="s">
        <v>979</v>
      </c>
      <c r="C65" s="156">
        <f>VLOOKUP(B65,'TB - Expense Data'!$H$3:$N$758,3,FALSE)</f>
        <v>0</v>
      </c>
      <c r="D65" s="14">
        <f t="shared" si="17"/>
        <v>0</v>
      </c>
      <c r="E65" s="26">
        <f>VLOOKUP(B65,'TB - Expense Data'!$H$3:$N$758,7,FALSE)</f>
        <v>0</v>
      </c>
      <c r="F65" s="92">
        <f t="shared" si="18"/>
        <v>0</v>
      </c>
      <c r="G65" s="48" t="str">
        <f t="shared" si="19"/>
        <v xml:space="preserve">-    </v>
      </c>
      <c r="H65" s="131" t="s">
        <v>276</v>
      </c>
      <c r="I65" s="156">
        <f>VLOOKUP(H65,'TB - Expense Data'!$H$3:$N$758,3,FALSE)</f>
        <v>1350</v>
      </c>
      <c r="J65" s="14">
        <f t="shared" si="20"/>
        <v>675</v>
      </c>
      <c r="K65" s="26">
        <f>VLOOKUP(H65,'TB - Expense Data'!$H$3:$N$758,7,FALSE)</f>
        <v>541.97</v>
      </c>
      <c r="L65" s="92">
        <f t="shared" si="21"/>
        <v>-133.02999999999997</v>
      </c>
      <c r="M65" s="48">
        <f t="shared" si="22"/>
        <v>-0.19708148148148144</v>
      </c>
      <c r="N65" s="131" t="s">
        <v>979</v>
      </c>
      <c r="O65" s="156">
        <f>VLOOKUP(N65,'TB - Expense Data'!$H$3:$N$758,3,FALSE)</f>
        <v>0</v>
      </c>
      <c r="P65" s="14">
        <f t="shared" si="23"/>
        <v>0</v>
      </c>
      <c r="Q65" s="26">
        <f>VLOOKUP(N65,'TB - Expense Data'!$H$3:$N$758,7,FALSE)</f>
        <v>0</v>
      </c>
      <c r="R65" s="92">
        <f t="shared" si="24"/>
        <v>0</v>
      </c>
      <c r="S65" s="48" t="str">
        <f t="shared" si="25"/>
        <v xml:space="preserve">-    </v>
      </c>
      <c r="T65" s="131" t="s">
        <v>979</v>
      </c>
      <c r="U65" s="156">
        <f>VLOOKUP(T65,'TB - Expense Data'!$H$3:$N$758,3,FALSE)</f>
        <v>0</v>
      </c>
      <c r="V65" s="14">
        <f t="shared" si="26"/>
        <v>0</v>
      </c>
      <c r="W65" s="26">
        <f>VLOOKUP(T65,'TB - Expense Data'!$H$3:$N$758,7,FALSE)</f>
        <v>0</v>
      </c>
      <c r="X65" s="92">
        <f t="shared" si="27"/>
        <v>0</v>
      </c>
      <c r="Y65" s="48" t="str">
        <f t="shared" si="28"/>
        <v xml:space="preserve">-    </v>
      </c>
      <c r="Z65" s="156">
        <f t="shared" si="29"/>
        <v>1350</v>
      </c>
      <c r="AA65" s="14">
        <f t="shared" si="30"/>
        <v>675</v>
      </c>
      <c r="AB65" s="14">
        <f t="shared" si="31"/>
        <v>541.97</v>
      </c>
      <c r="AC65" s="92">
        <f t="shared" si="32"/>
        <v>-133.02999999999997</v>
      </c>
      <c r="AD65" s="48">
        <f t="shared" si="33"/>
        <v>-0.19708148148148144</v>
      </c>
    </row>
    <row r="66" spans="1:30" x14ac:dyDescent="0.25">
      <c r="A66" s="44" t="s">
        <v>1000</v>
      </c>
      <c r="B66" s="131" t="s">
        <v>979</v>
      </c>
      <c r="C66" s="156">
        <f>VLOOKUP(B66,'TB - Expense Data'!$H$3:$N$758,3,FALSE)</f>
        <v>0</v>
      </c>
      <c r="D66" s="14">
        <f t="shared" si="17"/>
        <v>0</v>
      </c>
      <c r="E66" s="26">
        <f>VLOOKUP(B66,'TB - Expense Data'!$H$3:$N$758,7,FALSE)</f>
        <v>0</v>
      </c>
      <c r="F66" s="92">
        <f t="shared" si="18"/>
        <v>0</v>
      </c>
      <c r="G66" s="48" t="str">
        <f t="shared" si="19"/>
        <v xml:space="preserve">-    </v>
      </c>
      <c r="H66" s="131" t="s">
        <v>277</v>
      </c>
      <c r="I66" s="156">
        <f>VLOOKUP(H66,'TB - Expense Data'!$H$3:$N$758,3,FALSE)</f>
        <v>500</v>
      </c>
      <c r="J66" s="14">
        <f t="shared" si="20"/>
        <v>250</v>
      </c>
      <c r="K66" s="26">
        <f>VLOOKUP(H66,'TB - Expense Data'!$H$3:$N$758,7,FALSE)</f>
        <v>0</v>
      </c>
      <c r="L66" s="92">
        <f t="shared" si="21"/>
        <v>-250</v>
      </c>
      <c r="M66" s="48">
        <f t="shared" si="22"/>
        <v>-1</v>
      </c>
      <c r="N66" s="131" t="s">
        <v>979</v>
      </c>
      <c r="O66" s="156">
        <f>VLOOKUP(N66,'TB - Expense Data'!$H$3:$N$758,3,FALSE)</f>
        <v>0</v>
      </c>
      <c r="P66" s="14">
        <f t="shared" si="23"/>
        <v>0</v>
      </c>
      <c r="Q66" s="26">
        <f>VLOOKUP(N66,'TB - Expense Data'!$H$3:$N$758,7,FALSE)</f>
        <v>0</v>
      </c>
      <c r="R66" s="92">
        <f t="shared" si="24"/>
        <v>0</v>
      </c>
      <c r="S66" s="48" t="str">
        <f t="shared" si="25"/>
        <v xml:space="preserve">-    </v>
      </c>
      <c r="T66" s="131" t="s">
        <v>979</v>
      </c>
      <c r="U66" s="156">
        <f>VLOOKUP(T66,'TB - Expense Data'!$H$3:$N$758,3,FALSE)</f>
        <v>0</v>
      </c>
      <c r="V66" s="14">
        <f t="shared" si="26"/>
        <v>0</v>
      </c>
      <c r="W66" s="26">
        <f>VLOOKUP(T66,'TB - Expense Data'!$H$3:$N$758,7,FALSE)</f>
        <v>0</v>
      </c>
      <c r="X66" s="92">
        <f t="shared" si="27"/>
        <v>0</v>
      </c>
      <c r="Y66" s="48" t="str">
        <f t="shared" si="28"/>
        <v xml:space="preserve">-    </v>
      </c>
      <c r="Z66" s="156">
        <f t="shared" si="29"/>
        <v>500</v>
      </c>
      <c r="AA66" s="14">
        <f t="shared" si="30"/>
        <v>250</v>
      </c>
      <c r="AB66" s="14">
        <f t="shared" si="31"/>
        <v>0</v>
      </c>
      <c r="AC66" s="92">
        <f t="shared" si="32"/>
        <v>-250</v>
      </c>
      <c r="AD66" s="48">
        <f t="shared" si="33"/>
        <v>-1</v>
      </c>
    </row>
    <row r="67" spans="1:30" x14ac:dyDescent="0.25">
      <c r="A67" s="44" t="s">
        <v>1001</v>
      </c>
      <c r="B67" s="131" t="s">
        <v>979</v>
      </c>
      <c r="C67" s="156">
        <f>VLOOKUP(B67,'TB - Expense Data'!$H$3:$N$758,3,FALSE)</f>
        <v>0</v>
      </c>
      <c r="D67" s="14">
        <f t="shared" si="17"/>
        <v>0</v>
      </c>
      <c r="E67" s="26">
        <f>VLOOKUP(B67,'TB - Expense Data'!$H$3:$N$758,7,FALSE)</f>
        <v>0</v>
      </c>
      <c r="F67" s="92">
        <f t="shared" si="18"/>
        <v>0</v>
      </c>
      <c r="G67" s="48" t="str">
        <f t="shared" si="19"/>
        <v xml:space="preserve">-    </v>
      </c>
      <c r="H67" s="131" t="s">
        <v>278</v>
      </c>
      <c r="I67" s="156">
        <f>VLOOKUP(H67,'TB - Expense Data'!$H$3:$N$758,3,FALSE)</f>
        <v>750</v>
      </c>
      <c r="J67" s="14">
        <f t="shared" si="20"/>
        <v>375</v>
      </c>
      <c r="K67" s="26">
        <f>VLOOKUP(H67,'TB - Expense Data'!$H$3:$N$758,7,FALSE)</f>
        <v>286.87</v>
      </c>
      <c r="L67" s="92">
        <f t="shared" si="21"/>
        <v>-88.13</v>
      </c>
      <c r="M67" s="48">
        <f t="shared" si="22"/>
        <v>-0.23501333333333332</v>
      </c>
      <c r="N67" s="131" t="s">
        <v>979</v>
      </c>
      <c r="O67" s="156">
        <f>VLOOKUP(N67,'TB - Expense Data'!$H$3:$N$758,3,FALSE)</f>
        <v>0</v>
      </c>
      <c r="P67" s="14">
        <f t="shared" si="23"/>
        <v>0</v>
      </c>
      <c r="Q67" s="26">
        <f>VLOOKUP(N67,'TB - Expense Data'!$H$3:$N$758,7,FALSE)</f>
        <v>0</v>
      </c>
      <c r="R67" s="92">
        <f t="shared" si="24"/>
        <v>0</v>
      </c>
      <c r="S67" s="48" t="str">
        <f t="shared" si="25"/>
        <v xml:space="preserve">-    </v>
      </c>
      <c r="T67" s="131" t="s">
        <v>979</v>
      </c>
      <c r="U67" s="156">
        <f>VLOOKUP(T67,'TB - Expense Data'!$H$3:$N$758,3,FALSE)</f>
        <v>0</v>
      </c>
      <c r="V67" s="14">
        <f t="shared" si="26"/>
        <v>0</v>
      </c>
      <c r="W67" s="26">
        <f>VLOOKUP(T67,'TB - Expense Data'!$H$3:$N$758,7,FALSE)</f>
        <v>0</v>
      </c>
      <c r="X67" s="92">
        <f t="shared" si="27"/>
        <v>0</v>
      </c>
      <c r="Y67" s="48" t="str">
        <f t="shared" si="28"/>
        <v xml:space="preserve">-    </v>
      </c>
      <c r="Z67" s="156">
        <f t="shared" si="29"/>
        <v>750</v>
      </c>
      <c r="AA67" s="14">
        <f t="shared" si="30"/>
        <v>375</v>
      </c>
      <c r="AB67" s="14">
        <f t="shared" si="31"/>
        <v>286.87</v>
      </c>
      <c r="AC67" s="92">
        <f t="shared" si="32"/>
        <v>-88.13</v>
      </c>
      <c r="AD67" s="48">
        <f t="shared" si="33"/>
        <v>-0.23501333333333332</v>
      </c>
    </row>
    <row r="68" spans="1:30" x14ac:dyDescent="0.25">
      <c r="A68" s="44" t="s">
        <v>1002</v>
      </c>
      <c r="B68" s="131" t="s">
        <v>979</v>
      </c>
      <c r="C68" s="156">
        <f>VLOOKUP(B68,'TB - Expense Data'!$H$3:$N$758,3,FALSE)</f>
        <v>0</v>
      </c>
      <c r="D68" s="14">
        <f t="shared" si="17"/>
        <v>0</v>
      </c>
      <c r="E68" s="26">
        <f>VLOOKUP(B68,'TB - Expense Data'!$H$3:$N$758,7,FALSE)</f>
        <v>0</v>
      </c>
      <c r="F68" s="92">
        <f t="shared" si="18"/>
        <v>0</v>
      </c>
      <c r="G68" s="48" t="str">
        <f t="shared" si="19"/>
        <v xml:space="preserve">-    </v>
      </c>
      <c r="H68" s="131" t="s">
        <v>279</v>
      </c>
      <c r="I68" s="156">
        <f>VLOOKUP(H68,'TB - Expense Data'!$H$3:$N$758,3,FALSE)</f>
        <v>1000</v>
      </c>
      <c r="J68" s="14">
        <f t="shared" si="20"/>
        <v>500</v>
      </c>
      <c r="K68" s="26">
        <f>VLOOKUP(H68,'TB - Expense Data'!$H$3:$N$758,7,FALSE)</f>
        <v>0</v>
      </c>
      <c r="L68" s="92">
        <f t="shared" si="21"/>
        <v>-500</v>
      </c>
      <c r="M68" s="48">
        <f t="shared" si="22"/>
        <v>-1</v>
      </c>
      <c r="N68" s="131" t="s">
        <v>979</v>
      </c>
      <c r="O68" s="156">
        <f>VLOOKUP(N68,'TB - Expense Data'!$H$3:$N$758,3,FALSE)</f>
        <v>0</v>
      </c>
      <c r="P68" s="14">
        <f t="shared" si="23"/>
        <v>0</v>
      </c>
      <c r="Q68" s="26">
        <f>VLOOKUP(N68,'TB - Expense Data'!$H$3:$N$758,7,FALSE)</f>
        <v>0</v>
      </c>
      <c r="R68" s="92">
        <f t="shared" si="24"/>
        <v>0</v>
      </c>
      <c r="S68" s="48" t="str">
        <f t="shared" si="25"/>
        <v xml:space="preserve">-    </v>
      </c>
      <c r="T68" s="131" t="s">
        <v>979</v>
      </c>
      <c r="U68" s="156">
        <f>VLOOKUP(T68,'TB - Expense Data'!$H$3:$N$758,3,FALSE)</f>
        <v>0</v>
      </c>
      <c r="V68" s="14">
        <f t="shared" si="26"/>
        <v>0</v>
      </c>
      <c r="W68" s="26">
        <f>VLOOKUP(T68,'TB - Expense Data'!$H$3:$N$758,7,FALSE)</f>
        <v>0</v>
      </c>
      <c r="X68" s="92">
        <f t="shared" si="27"/>
        <v>0</v>
      </c>
      <c r="Y68" s="48" t="str">
        <f t="shared" si="28"/>
        <v xml:space="preserve">-    </v>
      </c>
      <c r="Z68" s="156">
        <f t="shared" si="29"/>
        <v>1000</v>
      </c>
      <c r="AA68" s="14">
        <f t="shared" si="30"/>
        <v>500</v>
      </c>
      <c r="AB68" s="14">
        <f t="shared" si="31"/>
        <v>0</v>
      </c>
      <c r="AC68" s="92">
        <f t="shared" si="32"/>
        <v>-500</v>
      </c>
      <c r="AD68" s="48">
        <f t="shared" si="33"/>
        <v>-1</v>
      </c>
    </row>
    <row r="69" spans="1:30" x14ac:dyDescent="0.25">
      <c r="A69" s="44" t="s">
        <v>1003</v>
      </c>
      <c r="B69" s="131" t="s">
        <v>979</v>
      </c>
      <c r="C69" s="156">
        <f>VLOOKUP(B69,'TB - Expense Data'!$H$3:$N$758,3,FALSE)</f>
        <v>0</v>
      </c>
      <c r="D69" s="14">
        <f t="shared" si="17"/>
        <v>0</v>
      </c>
      <c r="E69" s="26">
        <f>VLOOKUP(B69,'TB - Expense Data'!$H$3:$N$758,7,FALSE)</f>
        <v>0</v>
      </c>
      <c r="F69" s="92">
        <f t="shared" si="18"/>
        <v>0</v>
      </c>
      <c r="G69" s="48" t="str">
        <f t="shared" si="19"/>
        <v xml:space="preserve">-    </v>
      </c>
      <c r="H69" s="131" t="s">
        <v>280</v>
      </c>
      <c r="I69" s="156">
        <f>VLOOKUP(H69,'TB - Expense Data'!$H$3:$N$758,3,FALSE)</f>
        <v>550</v>
      </c>
      <c r="J69" s="14">
        <f t="shared" si="20"/>
        <v>275</v>
      </c>
      <c r="K69" s="26">
        <f>VLOOKUP(H69,'TB - Expense Data'!$H$3:$N$758,7,FALSE)</f>
        <v>216.82</v>
      </c>
      <c r="L69" s="92">
        <f t="shared" si="21"/>
        <v>-58.180000000000007</v>
      </c>
      <c r="M69" s="48">
        <f t="shared" si="22"/>
        <v>-0.2115636363636364</v>
      </c>
      <c r="N69" s="131" t="s">
        <v>979</v>
      </c>
      <c r="O69" s="156">
        <f>VLOOKUP(N69,'TB - Expense Data'!$H$3:$N$758,3,FALSE)</f>
        <v>0</v>
      </c>
      <c r="P69" s="14">
        <f t="shared" si="23"/>
        <v>0</v>
      </c>
      <c r="Q69" s="26">
        <f>VLOOKUP(N69,'TB - Expense Data'!$H$3:$N$758,7,FALSE)</f>
        <v>0</v>
      </c>
      <c r="R69" s="92">
        <f t="shared" si="24"/>
        <v>0</v>
      </c>
      <c r="S69" s="48" t="str">
        <f t="shared" si="25"/>
        <v xml:space="preserve">-    </v>
      </c>
      <c r="T69" s="131" t="s">
        <v>979</v>
      </c>
      <c r="U69" s="156">
        <f>VLOOKUP(T69,'TB - Expense Data'!$H$3:$N$758,3,FALSE)</f>
        <v>0</v>
      </c>
      <c r="V69" s="14">
        <f t="shared" si="26"/>
        <v>0</v>
      </c>
      <c r="W69" s="26">
        <f>VLOOKUP(T69,'TB - Expense Data'!$H$3:$N$758,7,FALSE)</f>
        <v>0</v>
      </c>
      <c r="X69" s="92">
        <f t="shared" si="27"/>
        <v>0</v>
      </c>
      <c r="Y69" s="48" t="str">
        <f t="shared" si="28"/>
        <v xml:space="preserve">-    </v>
      </c>
      <c r="Z69" s="156">
        <f t="shared" si="29"/>
        <v>550</v>
      </c>
      <c r="AA69" s="14">
        <f t="shared" si="30"/>
        <v>275</v>
      </c>
      <c r="AB69" s="14">
        <f t="shared" si="31"/>
        <v>216.82</v>
      </c>
      <c r="AC69" s="92">
        <f t="shared" si="32"/>
        <v>-58.180000000000007</v>
      </c>
      <c r="AD69" s="48">
        <f t="shared" si="33"/>
        <v>-0.2115636363636364</v>
      </c>
    </row>
    <row r="70" spans="1:30" x14ac:dyDescent="0.25">
      <c r="A70" s="44" t="s">
        <v>1004</v>
      </c>
      <c r="B70" s="131" t="s">
        <v>979</v>
      </c>
      <c r="C70" s="156">
        <f>VLOOKUP(B70,'TB - Expense Data'!$H$3:$N$758,3,FALSE)</f>
        <v>0</v>
      </c>
      <c r="D70" s="14">
        <f t="shared" si="17"/>
        <v>0</v>
      </c>
      <c r="E70" s="26">
        <f>VLOOKUP(B70,'TB - Expense Data'!$H$3:$N$758,7,FALSE)</f>
        <v>0</v>
      </c>
      <c r="F70" s="92">
        <f t="shared" si="18"/>
        <v>0</v>
      </c>
      <c r="G70" s="48" t="str">
        <f t="shared" si="19"/>
        <v xml:space="preserve">-    </v>
      </c>
      <c r="H70" s="131" t="s">
        <v>979</v>
      </c>
      <c r="I70" s="156">
        <f>VLOOKUP(H70,'TB - Expense Data'!$H$3:$N$758,3,FALSE)</f>
        <v>0</v>
      </c>
      <c r="J70" s="14">
        <f t="shared" si="20"/>
        <v>0</v>
      </c>
      <c r="K70" s="26">
        <f>VLOOKUP(H70,'TB - Expense Data'!$H$3:$N$758,7,FALSE)</f>
        <v>0</v>
      </c>
      <c r="L70" s="92">
        <f t="shared" si="21"/>
        <v>0</v>
      </c>
      <c r="M70" s="48" t="str">
        <f t="shared" si="22"/>
        <v xml:space="preserve">-    </v>
      </c>
      <c r="N70" s="131" t="s">
        <v>317</v>
      </c>
      <c r="O70" s="156">
        <f>VLOOKUP(N70,'TB - Expense Data'!$H$3:$N$758,3,FALSE)</f>
        <v>5000</v>
      </c>
      <c r="P70" s="14">
        <f t="shared" si="23"/>
        <v>2500</v>
      </c>
      <c r="Q70" s="26">
        <f>VLOOKUP(N70,'TB - Expense Data'!$H$3:$N$758,7,FALSE)</f>
        <v>0</v>
      </c>
      <c r="R70" s="92">
        <f t="shared" si="24"/>
        <v>-2500</v>
      </c>
      <c r="S70" s="48">
        <f t="shared" si="25"/>
        <v>-1</v>
      </c>
      <c r="T70" s="131" t="s">
        <v>979</v>
      </c>
      <c r="U70" s="156">
        <f>VLOOKUP(T70,'TB - Expense Data'!$H$3:$N$758,3,FALSE)</f>
        <v>0</v>
      </c>
      <c r="V70" s="14">
        <f t="shared" si="26"/>
        <v>0</v>
      </c>
      <c r="W70" s="26">
        <f>VLOOKUP(T70,'TB - Expense Data'!$H$3:$N$758,7,FALSE)</f>
        <v>0</v>
      </c>
      <c r="X70" s="92">
        <f t="shared" si="27"/>
        <v>0</v>
      </c>
      <c r="Y70" s="48" t="str">
        <f t="shared" si="28"/>
        <v xml:space="preserve">-    </v>
      </c>
      <c r="Z70" s="156">
        <f t="shared" si="29"/>
        <v>5000</v>
      </c>
      <c r="AA70" s="14">
        <f t="shared" si="30"/>
        <v>2500</v>
      </c>
      <c r="AB70" s="14">
        <f t="shared" si="31"/>
        <v>0</v>
      </c>
      <c r="AC70" s="92">
        <f t="shared" si="32"/>
        <v>-2500</v>
      </c>
      <c r="AD70" s="48">
        <f t="shared" si="33"/>
        <v>-1</v>
      </c>
    </row>
    <row r="71" spans="1:30" x14ac:dyDescent="0.25">
      <c r="A71" s="44" t="s">
        <v>1005</v>
      </c>
      <c r="B71" s="131" t="s">
        <v>979</v>
      </c>
      <c r="C71" s="156">
        <f>VLOOKUP(B71,'TB - Expense Data'!$H$3:$N$758,3,FALSE)</f>
        <v>0</v>
      </c>
      <c r="D71" s="14">
        <f t="shared" si="17"/>
        <v>0</v>
      </c>
      <c r="E71" s="26">
        <f>VLOOKUP(B71,'TB - Expense Data'!$H$3:$N$758,7,FALSE)</f>
        <v>0</v>
      </c>
      <c r="F71" s="92">
        <f t="shared" si="18"/>
        <v>0</v>
      </c>
      <c r="G71" s="48" t="str">
        <f t="shared" si="19"/>
        <v xml:space="preserve">-    </v>
      </c>
      <c r="H71" s="131" t="s">
        <v>979</v>
      </c>
      <c r="I71" s="156">
        <f>VLOOKUP(H71,'TB - Expense Data'!$H$3:$N$758,3,FALSE)</f>
        <v>0</v>
      </c>
      <c r="J71" s="14">
        <f t="shared" si="20"/>
        <v>0</v>
      </c>
      <c r="K71" s="26">
        <f>VLOOKUP(H71,'TB - Expense Data'!$H$3:$N$758,7,FALSE)</f>
        <v>0</v>
      </c>
      <c r="L71" s="92">
        <f t="shared" si="21"/>
        <v>0</v>
      </c>
      <c r="M71" s="48" t="str">
        <f t="shared" si="22"/>
        <v xml:space="preserve">-    </v>
      </c>
      <c r="N71" s="131" t="s">
        <v>318</v>
      </c>
      <c r="O71" s="156">
        <f>VLOOKUP(N71,'TB - Expense Data'!$H$3:$N$758,3,FALSE)</f>
        <v>35000</v>
      </c>
      <c r="P71" s="14">
        <f t="shared" si="23"/>
        <v>17500</v>
      </c>
      <c r="Q71" s="26">
        <f>VLOOKUP(N71,'TB - Expense Data'!$H$3:$N$758,7,FALSE)</f>
        <v>14665.16</v>
      </c>
      <c r="R71" s="92">
        <f t="shared" si="24"/>
        <v>-2834.84</v>
      </c>
      <c r="S71" s="48">
        <f t="shared" si="25"/>
        <v>-0.16199085714285716</v>
      </c>
      <c r="T71" s="131" t="s">
        <v>979</v>
      </c>
      <c r="U71" s="156">
        <f>VLOOKUP(T71,'TB - Expense Data'!$H$3:$N$758,3,FALSE)</f>
        <v>0</v>
      </c>
      <c r="V71" s="14">
        <f t="shared" si="26"/>
        <v>0</v>
      </c>
      <c r="W71" s="26">
        <f>VLOOKUP(T71,'TB - Expense Data'!$H$3:$N$758,7,FALSE)</f>
        <v>0</v>
      </c>
      <c r="X71" s="92">
        <f t="shared" si="27"/>
        <v>0</v>
      </c>
      <c r="Y71" s="48" t="str">
        <f t="shared" si="28"/>
        <v xml:space="preserve">-    </v>
      </c>
      <c r="Z71" s="156">
        <f t="shared" si="29"/>
        <v>35000</v>
      </c>
      <c r="AA71" s="14">
        <f t="shared" si="30"/>
        <v>17500</v>
      </c>
      <c r="AB71" s="14">
        <f t="shared" si="31"/>
        <v>14665.16</v>
      </c>
      <c r="AC71" s="92">
        <f t="shared" si="32"/>
        <v>-2834.84</v>
      </c>
      <c r="AD71" s="48">
        <f t="shared" si="33"/>
        <v>-0.16199085714285716</v>
      </c>
    </row>
    <row r="72" spans="1:30" x14ac:dyDescent="0.25">
      <c r="A72" s="44" t="s">
        <v>1006</v>
      </c>
      <c r="B72" s="131" t="s">
        <v>979</v>
      </c>
      <c r="C72" s="156">
        <f>VLOOKUP(B72,'TB - Expense Data'!$H$3:$N$758,3,FALSE)</f>
        <v>0</v>
      </c>
      <c r="D72" s="14">
        <f t="shared" si="17"/>
        <v>0</v>
      </c>
      <c r="E72" s="26">
        <f>VLOOKUP(B72,'TB - Expense Data'!$H$3:$N$758,7,FALSE)</f>
        <v>0</v>
      </c>
      <c r="F72" s="92">
        <f t="shared" si="18"/>
        <v>0</v>
      </c>
      <c r="G72" s="48" t="str">
        <f t="shared" si="19"/>
        <v xml:space="preserve">-    </v>
      </c>
      <c r="H72" s="131" t="s">
        <v>979</v>
      </c>
      <c r="I72" s="156">
        <f>VLOOKUP(H72,'TB - Expense Data'!$H$3:$N$758,3,FALSE)</f>
        <v>0</v>
      </c>
      <c r="J72" s="14">
        <f t="shared" si="20"/>
        <v>0</v>
      </c>
      <c r="K72" s="26">
        <f>VLOOKUP(H72,'TB - Expense Data'!$H$3:$N$758,7,FALSE)</f>
        <v>0</v>
      </c>
      <c r="L72" s="92">
        <f t="shared" si="21"/>
        <v>0</v>
      </c>
      <c r="M72" s="48" t="str">
        <f t="shared" si="22"/>
        <v xml:space="preserve">-    </v>
      </c>
      <c r="N72" s="131" t="s">
        <v>319</v>
      </c>
      <c r="O72" s="156">
        <f>VLOOKUP(N72,'TB - Expense Data'!$H$3:$N$758,3,FALSE)</f>
        <v>5000</v>
      </c>
      <c r="P72" s="14">
        <f t="shared" si="23"/>
        <v>2500</v>
      </c>
      <c r="Q72" s="26">
        <f>VLOOKUP(N72,'TB - Expense Data'!$H$3:$N$758,7,FALSE)</f>
        <v>241</v>
      </c>
      <c r="R72" s="92">
        <f t="shared" si="24"/>
        <v>-2259</v>
      </c>
      <c r="S72" s="48">
        <f t="shared" si="25"/>
        <v>-0.90359999999999996</v>
      </c>
      <c r="T72" s="131" t="s">
        <v>979</v>
      </c>
      <c r="U72" s="156">
        <f>VLOOKUP(T72,'TB - Expense Data'!$H$3:$N$758,3,FALSE)</f>
        <v>0</v>
      </c>
      <c r="V72" s="14">
        <f t="shared" si="26"/>
        <v>0</v>
      </c>
      <c r="W72" s="26">
        <f>VLOOKUP(T72,'TB - Expense Data'!$H$3:$N$758,7,FALSE)</f>
        <v>0</v>
      </c>
      <c r="X72" s="92">
        <f t="shared" si="27"/>
        <v>0</v>
      </c>
      <c r="Y72" s="48" t="str">
        <f t="shared" si="28"/>
        <v xml:space="preserve">-    </v>
      </c>
      <c r="Z72" s="156">
        <f t="shared" si="29"/>
        <v>5000</v>
      </c>
      <c r="AA72" s="14">
        <f t="shared" si="30"/>
        <v>2500</v>
      </c>
      <c r="AB72" s="14">
        <f t="shared" si="31"/>
        <v>241</v>
      </c>
      <c r="AC72" s="92">
        <f t="shared" si="32"/>
        <v>-2259</v>
      </c>
      <c r="AD72" s="48">
        <f t="shared" si="33"/>
        <v>-0.90359999999999996</v>
      </c>
    </row>
    <row r="73" spans="1:30" x14ac:dyDescent="0.25">
      <c r="A73" s="44" t="s">
        <v>1007</v>
      </c>
      <c r="B73" s="131" t="s">
        <v>979</v>
      </c>
      <c r="C73" s="156">
        <f>VLOOKUP(B73,'TB - Expense Data'!$H$3:$N$758,3,FALSE)</f>
        <v>0</v>
      </c>
      <c r="D73" s="14">
        <f t="shared" si="17"/>
        <v>0</v>
      </c>
      <c r="E73" s="26">
        <f>VLOOKUP(B73,'TB - Expense Data'!$H$3:$N$758,7,FALSE)</f>
        <v>0</v>
      </c>
      <c r="F73" s="92">
        <f t="shared" si="18"/>
        <v>0</v>
      </c>
      <c r="G73" s="48" t="str">
        <f t="shared" si="19"/>
        <v xml:space="preserve">-    </v>
      </c>
      <c r="H73" s="131" t="s">
        <v>979</v>
      </c>
      <c r="I73" s="156">
        <f>VLOOKUP(H73,'TB - Expense Data'!$H$3:$N$758,3,FALSE)</f>
        <v>0</v>
      </c>
      <c r="J73" s="14">
        <f t="shared" si="20"/>
        <v>0</v>
      </c>
      <c r="K73" s="26">
        <f>VLOOKUP(H73,'TB - Expense Data'!$H$3:$N$758,7,FALSE)</f>
        <v>0</v>
      </c>
      <c r="L73" s="92">
        <f t="shared" si="21"/>
        <v>0</v>
      </c>
      <c r="M73" s="48" t="str">
        <f t="shared" si="22"/>
        <v xml:space="preserve">-    </v>
      </c>
      <c r="N73" s="131" t="s">
        <v>320</v>
      </c>
      <c r="O73" s="156">
        <f>VLOOKUP(N73,'TB - Expense Data'!$H$3:$N$758,3,FALSE)</f>
        <v>60000</v>
      </c>
      <c r="P73" s="14">
        <f t="shared" si="23"/>
        <v>30000</v>
      </c>
      <c r="Q73" s="26">
        <f>VLOOKUP(N73,'TB - Expense Data'!$H$3:$N$758,7,FALSE)</f>
        <v>286.94</v>
      </c>
      <c r="R73" s="92">
        <f t="shared" si="24"/>
        <v>-29713.06</v>
      </c>
      <c r="S73" s="48">
        <f t="shared" si="25"/>
        <v>-0.99043533333333333</v>
      </c>
      <c r="T73" s="131" t="s">
        <v>979</v>
      </c>
      <c r="U73" s="156">
        <f>VLOOKUP(T73,'TB - Expense Data'!$H$3:$N$758,3,FALSE)</f>
        <v>0</v>
      </c>
      <c r="V73" s="14">
        <f t="shared" si="26"/>
        <v>0</v>
      </c>
      <c r="W73" s="26">
        <f>VLOOKUP(T73,'TB - Expense Data'!$H$3:$N$758,7,FALSE)</f>
        <v>0</v>
      </c>
      <c r="X73" s="92">
        <f t="shared" si="27"/>
        <v>0</v>
      </c>
      <c r="Y73" s="48" t="str">
        <f t="shared" si="28"/>
        <v xml:space="preserve">-    </v>
      </c>
      <c r="Z73" s="156">
        <f t="shared" si="29"/>
        <v>60000</v>
      </c>
      <c r="AA73" s="14">
        <f t="shared" si="30"/>
        <v>30000</v>
      </c>
      <c r="AB73" s="14">
        <f t="shared" si="31"/>
        <v>286.94</v>
      </c>
      <c r="AC73" s="92">
        <f t="shared" si="32"/>
        <v>-29713.06</v>
      </c>
      <c r="AD73" s="48">
        <f t="shared" si="33"/>
        <v>-0.99043533333333333</v>
      </c>
    </row>
    <row r="74" spans="1:30" x14ac:dyDescent="0.25">
      <c r="A74" s="44" t="s">
        <v>1008</v>
      </c>
      <c r="B74" s="131" t="s">
        <v>979</v>
      </c>
      <c r="C74" s="156">
        <f>VLOOKUP(B74,'TB - Expense Data'!$H$3:$N$758,3,FALSE)</f>
        <v>0</v>
      </c>
      <c r="D74" s="14">
        <f t="shared" si="17"/>
        <v>0</v>
      </c>
      <c r="E74" s="26">
        <f>VLOOKUP(B74,'TB - Expense Data'!$H$3:$N$758,7,FALSE)</f>
        <v>0</v>
      </c>
      <c r="F74" s="92">
        <f t="shared" si="18"/>
        <v>0</v>
      </c>
      <c r="G74" s="48" t="str">
        <f t="shared" si="19"/>
        <v xml:space="preserve">-    </v>
      </c>
      <c r="H74" s="131" t="s">
        <v>979</v>
      </c>
      <c r="I74" s="156">
        <f>VLOOKUP(H74,'TB - Expense Data'!$H$3:$N$758,3,FALSE)</f>
        <v>0</v>
      </c>
      <c r="J74" s="14">
        <f t="shared" si="20"/>
        <v>0</v>
      </c>
      <c r="K74" s="26">
        <f>VLOOKUP(H74,'TB - Expense Data'!$H$3:$N$758,7,FALSE)</f>
        <v>0</v>
      </c>
      <c r="L74" s="92">
        <f t="shared" si="21"/>
        <v>0</v>
      </c>
      <c r="M74" s="48" t="str">
        <f t="shared" si="22"/>
        <v xml:space="preserve">-    </v>
      </c>
      <c r="N74" s="131" t="s">
        <v>321</v>
      </c>
      <c r="O74" s="156">
        <f>VLOOKUP(N74,'TB - Expense Data'!$H$3:$N$758,3,FALSE)</f>
        <v>5000</v>
      </c>
      <c r="P74" s="14">
        <f t="shared" si="23"/>
        <v>2500</v>
      </c>
      <c r="Q74" s="26">
        <f>VLOOKUP(N74,'TB - Expense Data'!$H$3:$N$758,7,FALSE)</f>
        <v>241</v>
      </c>
      <c r="R74" s="92">
        <f t="shared" si="24"/>
        <v>-2259</v>
      </c>
      <c r="S74" s="48">
        <f t="shared" si="25"/>
        <v>-0.90359999999999996</v>
      </c>
      <c r="T74" s="131" t="s">
        <v>979</v>
      </c>
      <c r="U74" s="156">
        <f>VLOOKUP(T74,'TB - Expense Data'!$H$3:$N$758,3,FALSE)</f>
        <v>0</v>
      </c>
      <c r="V74" s="14">
        <f t="shared" si="26"/>
        <v>0</v>
      </c>
      <c r="W74" s="26">
        <f>VLOOKUP(T74,'TB - Expense Data'!$H$3:$N$758,7,FALSE)</f>
        <v>0</v>
      </c>
      <c r="X74" s="92">
        <f t="shared" si="27"/>
        <v>0</v>
      </c>
      <c r="Y74" s="48" t="str">
        <f t="shared" si="28"/>
        <v xml:space="preserve">-    </v>
      </c>
      <c r="Z74" s="156">
        <f t="shared" si="29"/>
        <v>5000</v>
      </c>
      <c r="AA74" s="14">
        <f t="shared" si="30"/>
        <v>2500</v>
      </c>
      <c r="AB74" s="14">
        <f t="shared" si="31"/>
        <v>241</v>
      </c>
      <c r="AC74" s="92">
        <f t="shared" si="32"/>
        <v>-2259</v>
      </c>
      <c r="AD74" s="48">
        <f t="shared" si="33"/>
        <v>-0.90359999999999996</v>
      </c>
    </row>
    <row r="75" spans="1:30" x14ac:dyDescent="0.25">
      <c r="A75" s="44" t="s">
        <v>1009</v>
      </c>
      <c r="B75" s="131" t="s">
        <v>979</v>
      </c>
      <c r="C75" s="156">
        <f>VLOOKUP(B75,'TB - Expense Data'!$H$3:$N$758,3,FALSE)</f>
        <v>0</v>
      </c>
      <c r="D75" s="14">
        <f t="shared" si="17"/>
        <v>0</v>
      </c>
      <c r="E75" s="26">
        <f>VLOOKUP(B75,'TB - Expense Data'!$H$3:$N$758,7,FALSE)</f>
        <v>0</v>
      </c>
      <c r="F75" s="92">
        <f t="shared" si="18"/>
        <v>0</v>
      </c>
      <c r="G75" s="48" t="str">
        <f t="shared" si="19"/>
        <v xml:space="preserve">-    </v>
      </c>
      <c r="H75" s="131" t="s">
        <v>979</v>
      </c>
      <c r="I75" s="156">
        <f>VLOOKUP(H75,'TB - Expense Data'!$H$3:$N$758,3,FALSE)</f>
        <v>0</v>
      </c>
      <c r="J75" s="14">
        <f t="shared" si="20"/>
        <v>0</v>
      </c>
      <c r="K75" s="26">
        <f>VLOOKUP(H75,'TB - Expense Data'!$H$3:$N$758,7,FALSE)</f>
        <v>0</v>
      </c>
      <c r="L75" s="92">
        <f t="shared" si="21"/>
        <v>0</v>
      </c>
      <c r="M75" s="48" t="str">
        <f t="shared" si="22"/>
        <v xml:space="preserve">-    </v>
      </c>
      <c r="N75" s="131" t="s">
        <v>322</v>
      </c>
      <c r="O75" s="156">
        <f>VLOOKUP(N75,'TB - Expense Data'!$H$3:$N$758,3,FALSE)</f>
        <v>75000</v>
      </c>
      <c r="P75" s="14">
        <f t="shared" si="23"/>
        <v>37500</v>
      </c>
      <c r="Q75" s="26">
        <f>VLOOKUP(N75,'TB - Expense Data'!$H$3:$N$758,7,FALSE)</f>
        <v>18732.939999999999</v>
      </c>
      <c r="R75" s="92">
        <f t="shared" si="24"/>
        <v>-18767.060000000001</v>
      </c>
      <c r="S75" s="48">
        <f t="shared" si="25"/>
        <v>-0.50045493333333335</v>
      </c>
      <c r="T75" s="131" t="s">
        <v>979</v>
      </c>
      <c r="U75" s="156">
        <f>VLOOKUP(T75,'TB - Expense Data'!$H$3:$N$758,3,FALSE)</f>
        <v>0</v>
      </c>
      <c r="V75" s="14">
        <f t="shared" si="26"/>
        <v>0</v>
      </c>
      <c r="W75" s="26">
        <f>VLOOKUP(T75,'TB - Expense Data'!$H$3:$N$758,7,FALSE)</f>
        <v>0</v>
      </c>
      <c r="X75" s="92">
        <f t="shared" si="27"/>
        <v>0</v>
      </c>
      <c r="Y75" s="48" t="str">
        <f t="shared" si="28"/>
        <v xml:space="preserve">-    </v>
      </c>
      <c r="Z75" s="156">
        <f t="shared" si="29"/>
        <v>75000</v>
      </c>
      <c r="AA75" s="14">
        <f t="shared" si="30"/>
        <v>37500</v>
      </c>
      <c r="AB75" s="14">
        <f t="shared" si="31"/>
        <v>18732.939999999999</v>
      </c>
      <c r="AC75" s="92">
        <f t="shared" si="32"/>
        <v>-18767.060000000001</v>
      </c>
      <c r="AD75" s="48">
        <f t="shared" si="33"/>
        <v>-0.50045493333333335</v>
      </c>
    </row>
    <row r="76" spans="1:30" x14ac:dyDescent="0.25">
      <c r="A76" s="44" t="s">
        <v>1010</v>
      </c>
      <c r="B76" s="131" t="s">
        <v>979</v>
      </c>
      <c r="C76" s="156">
        <f>VLOOKUP(B76,'TB - Expense Data'!$H$3:$N$758,3,FALSE)</f>
        <v>0</v>
      </c>
      <c r="D76" s="14">
        <f t="shared" si="17"/>
        <v>0</v>
      </c>
      <c r="E76" s="26">
        <f>VLOOKUP(B76,'TB - Expense Data'!$H$3:$N$758,7,FALSE)</f>
        <v>0</v>
      </c>
      <c r="F76" s="92">
        <f t="shared" si="18"/>
        <v>0</v>
      </c>
      <c r="G76" s="48" t="str">
        <f t="shared" si="19"/>
        <v xml:space="preserve">-    </v>
      </c>
      <c r="H76" s="131" t="s">
        <v>979</v>
      </c>
      <c r="I76" s="156">
        <f>VLOOKUP(H76,'TB - Expense Data'!$H$3:$N$758,3,FALSE)</f>
        <v>0</v>
      </c>
      <c r="J76" s="14">
        <f t="shared" si="20"/>
        <v>0</v>
      </c>
      <c r="K76" s="26">
        <f>VLOOKUP(H76,'TB - Expense Data'!$H$3:$N$758,7,FALSE)</f>
        <v>0</v>
      </c>
      <c r="L76" s="92">
        <f t="shared" si="21"/>
        <v>0</v>
      </c>
      <c r="M76" s="48" t="str">
        <f t="shared" si="22"/>
        <v xml:space="preserve">-    </v>
      </c>
      <c r="N76" s="131" t="s">
        <v>323</v>
      </c>
      <c r="O76" s="156">
        <f>VLOOKUP(N76,'TB - Expense Data'!$H$3:$N$758,3,FALSE)</f>
        <v>250</v>
      </c>
      <c r="P76" s="14">
        <f t="shared" si="23"/>
        <v>125</v>
      </c>
      <c r="Q76" s="26">
        <f>VLOOKUP(N76,'TB - Expense Data'!$H$3:$N$758,7,FALSE)</f>
        <v>0</v>
      </c>
      <c r="R76" s="92">
        <f t="shared" si="24"/>
        <v>-125</v>
      </c>
      <c r="S76" s="48">
        <f t="shared" si="25"/>
        <v>-1</v>
      </c>
      <c r="T76" s="131" t="s">
        <v>979</v>
      </c>
      <c r="U76" s="156">
        <f>VLOOKUP(T76,'TB - Expense Data'!$H$3:$N$758,3,FALSE)</f>
        <v>0</v>
      </c>
      <c r="V76" s="14">
        <f t="shared" si="26"/>
        <v>0</v>
      </c>
      <c r="W76" s="26">
        <f>VLOOKUP(T76,'TB - Expense Data'!$H$3:$N$758,7,FALSE)</f>
        <v>0</v>
      </c>
      <c r="X76" s="92">
        <f t="shared" si="27"/>
        <v>0</v>
      </c>
      <c r="Y76" s="48" t="str">
        <f t="shared" si="28"/>
        <v xml:space="preserve">-    </v>
      </c>
      <c r="Z76" s="156">
        <f t="shared" si="29"/>
        <v>250</v>
      </c>
      <c r="AA76" s="14">
        <f t="shared" si="30"/>
        <v>125</v>
      </c>
      <c r="AB76" s="14">
        <f t="shared" si="31"/>
        <v>0</v>
      </c>
      <c r="AC76" s="92">
        <f t="shared" si="32"/>
        <v>-125</v>
      </c>
      <c r="AD76" s="48">
        <f t="shared" si="33"/>
        <v>-1</v>
      </c>
    </row>
    <row r="77" spans="1:30" x14ac:dyDescent="0.25">
      <c r="A77" s="44" t="s">
        <v>1011</v>
      </c>
      <c r="B77" s="131" t="s">
        <v>979</v>
      </c>
      <c r="C77" s="156">
        <f>VLOOKUP(B77,'TB - Expense Data'!$H$3:$N$758,3,FALSE)</f>
        <v>0</v>
      </c>
      <c r="D77" s="14">
        <f t="shared" si="17"/>
        <v>0</v>
      </c>
      <c r="E77" s="26">
        <f>VLOOKUP(B77,'TB - Expense Data'!$H$3:$N$758,7,FALSE)</f>
        <v>0</v>
      </c>
      <c r="F77" s="92">
        <f t="shared" si="18"/>
        <v>0</v>
      </c>
      <c r="G77" s="48" t="str">
        <f t="shared" si="19"/>
        <v xml:space="preserve">-    </v>
      </c>
      <c r="H77" s="131" t="s">
        <v>979</v>
      </c>
      <c r="I77" s="156">
        <f>VLOOKUP(H77,'TB - Expense Data'!$H$3:$N$758,3,FALSE)</f>
        <v>0</v>
      </c>
      <c r="J77" s="14">
        <f t="shared" si="20"/>
        <v>0</v>
      </c>
      <c r="K77" s="26">
        <f>VLOOKUP(H77,'TB - Expense Data'!$H$3:$N$758,7,FALSE)</f>
        <v>0</v>
      </c>
      <c r="L77" s="92">
        <f t="shared" si="21"/>
        <v>0</v>
      </c>
      <c r="M77" s="48" t="str">
        <f t="shared" si="22"/>
        <v xml:space="preserve">-    </v>
      </c>
      <c r="N77" s="131" t="s">
        <v>324</v>
      </c>
      <c r="O77" s="156">
        <f>VLOOKUP(N77,'TB - Expense Data'!$H$3:$N$758,3,FALSE)</f>
        <v>500</v>
      </c>
      <c r="P77" s="14">
        <f t="shared" si="23"/>
        <v>250</v>
      </c>
      <c r="Q77" s="26">
        <f>VLOOKUP(N77,'TB - Expense Data'!$H$3:$N$758,7,FALSE)</f>
        <v>173.72</v>
      </c>
      <c r="R77" s="92">
        <f t="shared" si="24"/>
        <v>-76.28</v>
      </c>
      <c r="S77" s="48">
        <f t="shared" si="25"/>
        <v>-0.30512</v>
      </c>
      <c r="T77" s="131" t="s">
        <v>979</v>
      </c>
      <c r="U77" s="156">
        <f>VLOOKUP(T77,'TB - Expense Data'!$H$3:$N$758,3,FALSE)</f>
        <v>0</v>
      </c>
      <c r="V77" s="14">
        <f t="shared" si="26"/>
        <v>0</v>
      </c>
      <c r="W77" s="26">
        <f>VLOOKUP(T77,'TB - Expense Data'!$H$3:$N$758,7,FALSE)</f>
        <v>0</v>
      </c>
      <c r="X77" s="92">
        <f t="shared" si="27"/>
        <v>0</v>
      </c>
      <c r="Y77" s="48" t="str">
        <f t="shared" si="28"/>
        <v xml:space="preserve">-    </v>
      </c>
      <c r="Z77" s="156">
        <f t="shared" si="29"/>
        <v>500</v>
      </c>
      <c r="AA77" s="14">
        <f t="shared" si="30"/>
        <v>250</v>
      </c>
      <c r="AB77" s="14">
        <f t="shared" si="31"/>
        <v>173.72</v>
      </c>
      <c r="AC77" s="92">
        <f t="shared" si="32"/>
        <v>-76.28</v>
      </c>
      <c r="AD77" s="48">
        <f t="shared" si="33"/>
        <v>-0.30512</v>
      </c>
    </row>
    <row r="78" spans="1:30" x14ac:dyDescent="0.25">
      <c r="A78" s="44" t="s">
        <v>1012</v>
      </c>
      <c r="B78" s="131" t="s">
        <v>979</v>
      </c>
      <c r="C78" s="156">
        <f>VLOOKUP(B78,'TB - Expense Data'!$H$3:$N$758,3,FALSE)</f>
        <v>0</v>
      </c>
      <c r="D78" s="14">
        <f t="shared" si="17"/>
        <v>0</v>
      </c>
      <c r="E78" s="26">
        <f>VLOOKUP(B78,'TB - Expense Data'!$H$3:$N$758,7,FALSE)</f>
        <v>0</v>
      </c>
      <c r="F78" s="92">
        <f t="shared" si="18"/>
        <v>0</v>
      </c>
      <c r="G78" s="48" t="str">
        <f t="shared" si="19"/>
        <v xml:space="preserve">-    </v>
      </c>
      <c r="H78" s="131" t="s">
        <v>979</v>
      </c>
      <c r="I78" s="156">
        <f>VLOOKUP(H78,'TB - Expense Data'!$H$3:$N$758,3,FALSE)</f>
        <v>0</v>
      </c>
      <c r="J78" s="14">
        <f t="shared" si="20"/>
        <v>0</v>
      </c>
      <c r="K78" s="26">
        <f>VLOOKUP(H78,'TB - Expense Data'!$H$3:$N$758,7,FALSE)</f>
        <v>0</v>
      </c>
      <c r="L78" s="92">
        <f t="shared" si="21"/>
        <v>0</v>
      </c>
      <c r="M78" s="48" t="str">
        <f t="shared" si="22"/>
        <v xml:space="preserve">-    </v>
      </c>
      <c r="N78" s="131" t="s">
        <v>325</v>
      </c>
      <c r="O78" s="156">
        <f>VLOOKUP(N78,'TB - Expense Data'!$H$3:$N$758,3,FALSE)</f>
        <v>2500</v>
      </c>
      <c r="P78" s="14">
        <f t="shared" si="23"/>
        <v>1250</v>
      </c>
      <c r="Q78" s="26">
        <f>VLOOKUP(N78,'TB - Expense Data'!$H$3:$N$758,7,FALSE)</f>
        <v>320</v>
      </c>
      <c r="R78" s="92">
        <f t="shared" si="24"/>
        <v>-930</v>
      </c>
      <c r="S78" s="48">
        <f t="shared" si="25"/>
        <v>-0.74399999999999999</v>
      </c>
      <c r="T78" s="131" t="s">
        <v>979</v>
      </c>
      <c r="U78" s="156">
        <f>VLOOKUP(T78,'TB - Expense Data'!$H$3:$N$758,3,FALSE)</f>
        <v>0</v>
      </c>
      <c r="V78" s="14">
        <f t="shared" si="26"/>
        <v>0</v>
      </c>
      <c r="W78" s="26">
        <f>VLOOKUP(T78,'TB - Expense Data'!$H$3:$N$758,7,FALSE)</f>
        <v>0</v>
      </c>
      <c r="X78" s="92">
        <f t="shared" si="27"/>
        <v>0</v>
      </c>
      <c r="Y78" s="48" t="str">
        <f t="shared" si="28"/>
        <v xml:space="preserve">-    </v>
      </c>
      <c r="Z78" s="156">
        <f t="shared" si="29"/>
        <v>2500</v>
      </c>
      <c r="AA78" s="14">
        <f t="shared" si="30"/>
        <v>1250</v>
      </c>
      <c r="AB78" s="14">
        <f t="shared" si="31"/>
        <v>320</v>
      </c>
      <c r="AC78" s="92">
        <f t="shared" si="32"/>
        <v>-930</v>
      </c>
      <c r="AD78" s="48">
        <f t="shared" si="33"/>
        <v>-0.74399999999999999</v>
      </c>
    </row>
    <row r="79" spans="1:30" x14ac:dyDescent="0.25">
      <c r="A79" s="44" t="s">
        <v>1013</v>
      </c>
      <c r="B79" s="131" t="s">
        <v>979</v>
      </c>
      <c r="C79" s="156">
        <f>VLOOKUP(B79,'TB - Expense Data'!$H$3:$N$758,3,FALSE)</f>
        <v>0</v>
      </c>
      <c r="D79" s="14">
        <f t="shared" si="17"/>
        <v>0</v>
      </c>
      <c r="E79" s="26">
        <f>VLOOKUP(B79,'TB - Expense Data'!$H$3:$N$758,7,FALSE)</f>
        <v>0</v>
      </c>
      <c r="F79" s="92">
        <f t="shared" si="18"/>
        <v>0</v>
      </c>
      <c r="G79" s="48" t="str">
        <f t="shared" si="19"/>
        <v xml:space="preserve">-    </v>
      </c>
      <c r="H79" s="131" t="s">
        <v>979</v>
      </c>
      <c r="I79" s="156">
        <f>VLOOKUP(H79,'TB - Expense Data'!$H$3:$N$758,3,FALSE)</f>
        <v>0</v>
      </c>
      <c r="J79" s="14">
        <f t="shared" si="20"/>
        <v>0</v>
      </c>
      <c r="K79" s="26">
        <f>VLOOKUP(H79,'TB - Expense Data'!$H$3:$N$758,7,FALSE)</f>
        <v>0</v>
      </c>
      <c r="L79" s="92">
        <f t="shared" si="21"/>
        <v>0</v>
      </c>
      <c r="M79" s="48" t="str">
        <f t="shared" si="22"/>
        <v xml:space="preserve">-    </v>
      </c>
      <c r="N79" s="131" t="s">
        <v>326</v>
      </c>
      <c r="O79" s="156">
        <f>VLOOKUP(N79,'TB - Expense Data'!$H$3:$N$758,3,FALSE)</f>
        <v>75000</v>
      </c>
      <c r="P79" s="14">
        <f t="shared" si="23"/>
        <v>37500</v>
      </c>
      <c r="Q79" s="26">
        <f>VLOOKUP(N79,'TB - Expense Data'!$H$3:$N$758,7,FALSE)</f>
        <v>23965.91</v>
      </c>
      <c r="R79" s="92">
        <f t="shared" si="24"/>
        <v>-13534.09</v>
      </c>
      <c r="S79" s="48">
        <f t="shared" si="25"/>
        <v>-0.36090906666666667</v>
      </c>
      <c r="T79" s="131" t="s">
        <v>979</v>
      </c>
      <c r="U79" s="156">
        <f>VLOOKUP(T79,'TB - Expense Data'!$H$3:$N$758,3,FALSE)</f>
        <v>0</v>
      </c>
      <c r="V79" s="14">
        <f t="shared" si="26"/>
        <v>0</v>
      </c>
      <c r="W79" s="26">
        <f>VLOOKUP(T79,'TB - Expense Data'!$H$3:$N$758,7,FALSE)</f>
        <v>0</v>
      </c>
      <c r="X79" s="92">
        <f t="shared" si="27"/>
        <v>0</v>
      </c>
      <c r="Y79" s="48" t="str">
        <f t="shared" si="28"/>
        <v xml:space="preserve">-    </v>
      </c>
      <c r="Z79" s="156">
        <f t="shared" si="29"/>
        <v>75000</v>
      </c>
      <c r="AA79" s="14">
        <f t="shared" si="30"/>
        <v>37500</v>
      </c>
      <c r="AB79" s="14">
        <f t="shared" si="31"/>
        <v>23965.91</v>
      </c>
      <c r="AC79" s="92">
        <f t="shared" si="32"/>
        <v>-13534.09</v>
      </c>
      <c r="AD79" s="48">
        <f t="shared" si="33"/>
        <v>-0.36090906666666667</v>
      </c>
    </row>
    <row r="80" spans="1:30" x14ac:dyDescent="0.25">
      <c r="A80" s="44" t="s">
        <v>1014</v>
      </c>
      <c r="B80" s="131" t="s">
        <v>979</v>
      </c>
      <c r="C80" s="156">
        <f>VLOOKUP(B80,'TB - Expense Data'!$H$3:$N$758,3,FALSE)</f>
        <v>0</v>
      </c>
      <c r="D80" s="14">
        <f t="shared" si="17"/>
        <v>0</v>
      </c>
      <c r="E80" s="26">
        <f>VLOOKUP(B80,'TB - Expense Data'!$H$3:$N$758,7,FALSE)</f>
        <v>0</v>
      </c>
      <c r="F80" s="92">
        <f t="shared" si="18"/>
        <v>0</v>
      </c>
      <c r="G80" s="48" t="str">
        <f t="shared" si="19"/>
        <v xml:space="preserve">-    </v>
      </c>
      <c r="H80" s="131" t="s">
        <v>979</v>
      </c>
      <c r="I80" s="156">
        <f>VLOOKUP(H80,'TB - Expense Data'!$H$3:$N$758,3,FALSE)</f>
        <v>0</v>
      </c>
      <c r="J80" s="14">
        <f t="shared" si="20"/>
        <v>0</v>
      </c>
      <c r="K80" s="26">
        <f>VLOOKUP(H80,'TB - Expense Data'!$H$3:$N$758,7,FALSE)</f>
        <v>0</v>
      </c>
      <c r="L80" s="92">
        <f t="shared" si="21"/>
        <v>0</v>
      </c>
      <c r="M80" s="48" t="str">
        <f t="shared" si="22"/>
        <v xml:space="preserve">-    </v>
      </c>
      <c r="N80" s="131" t="s">
        <v>327</v>
      </c>
      <c r="O80" s="156">
        <f>VLOOKUP(N80,'TB - Expense Data'!$H$3:$N$758,3,FALSE)</f>
        <v>1500</v>
      </c>
      <c r="P80" s="14">
        <f t="shared" si="23"/>
        <v>750</v>
      </c>
      <c r="Q80" s="26">
        <f>VLOOKUP(N80,'TB - Expense Data'!$H$3:$N$758,7,FALSE)</f>
        <v>419.16</v>
      </c>
      <c r="R80" s="92">
        <f t="shared" si="24"/>
        <v>-330.84</v>
      </c>
      <c r="S80" s="48">
        <f t="shared" si="25"/>
        <v>-0.44111999999999996</v>
      </c>
      <c r="T80" s="131" t="s">
        <v>979</v>
      </c>
      <c r="U80" s="156">
        <f>VLOOKUP(T80,'TB - Expense Data'!$H$3:$N$758,3,FALSE)</f>
        <v>0</v>
      </c>
      <c r="V80" s="14">
        <f t="shared" si="26"/>
        <v>0</v>
      </c>
      <c r="W80" s="26">
        <f>VLOOKUP(T80,'TB - Expense Data'!$H$3:$N$758,7,FALSE)</f>
        <v>0</v>
      </c>
      <c r="X80" s="92">
        <f t="shared" si="27"/>
        <v>0</v>
      </c>
      <c r="Y80" s="48" t="str">
        <f t="shared" si="28"/>
        <v xml:space="preserve">-    </v>
      </c>
      <c r="Z80" s="156">
        <f t="shared" si="29"/>
        <v>1500</v>
      </c>
      <c r="AA80" s="14">
        <f t="shared" si="30"/>
        <v>750</v>
      </c>
      <c r="AB80" s="14">
        <f t="shared" si="31"/>
        <v>419.16</v>
      </c>
      <c r="AC80" s="92">
        <f t="shared" si="32"/>
        <v>-330.84</v>
      </c>
      <c r="AD80" s="48">
        <f t="shared" si="33"/>
        <v>-0.44111999999999996</v>
      </c>
    </row>
    <row r="81" spans="1:30" x14ac:dyDescent="0.25">
      <c r="A81" s="44" t="s">
        <v>1015</v>
      </c>
      <c r="B81" s="131" t="s">
        <v>979</v>
      </c>
      <c r="C81" s="156">
        <f>VLOOKUP(B81,'TB - Expense Data'!$H$3:$N$758,3,FALSE)</f>
        <v>0</v>
      </c>
      <c r="D81" s="14">
        <f t="shared" si="17"/>
        <v>0</v>
      </c>
      <c r="E81" s="26">
        <f>VLOOKUP(B81,'TB - Expense Data'!$H$3:$N$758,7,FALSE)</f>
        <v>0</v>
      </c>
      <c r="F81" s="92">
        <f t="shared" si="18"/>
        <v>0</v>
      </c>
      <c r="G81" s="48" t="str">
        <f t="shared" si="19"/>
        <v xml:space="preserve">-    </v>
      </c>
      <c r="H81" s="131" t="s">
        <v>979</v>
      </c>
      <c r="I81" s="156">
        <f>VLOOKUP(H81,'TB - Expense Data'!$H$3:$N$758,3,FALSE)</f>
        <v>0</v>
      </c>
      <c r="J81" s="14">
        <f t="shared" si="20"/>
        <v>0</v>
      </c>
      <c r="K81" s="26">
        <f>VLOOKUP(H81,'TB - Expense Data'!$H$3:$N$758,7,FALSE)</f>
        <v>0</v>
      </c>
      <c r="L81" s="92">
        <f t="shared" si="21"/>
        <v>0</v>
      </c>
      <c r="M81" s="48" t="str">
        <f t="shared" si="22"/>
        <v xml:space="preserve">-    </v>
      </c>
      <c r="N81" s="131" t="s">
        <v>328</v>
      </c>
      <c r="O81" s="156">
        <f>VLOOKUP(N81,'TB - Expense Data'!$H$3:$N$758,3,FALSE)</f>
        <v>8500</v>
      </c>
      <c r="P81" s="14">
        <f t="shared" si="23"/>
        <v>4250</v>
      </c>
      <c r="Q81" s="26">
        <f>VLOOKUP(N81,'TB - Expense Data'!$H$3:$N$758,7,FALSE)</f>
        <v>2832.31</v>
      </c>
      <c r="R81" s="92">
        <f t="shared" si="24"/>
        <v>-1417.69</v>
      </c>
      <c r="S81" s="48">
        <f t="shared" si="25"/>
        <v>-0.33357411764705885</v>
      </c>
      <c r="T81" s="131" t="s">
        <v>979</v>
      </c>
      <c r="U81" s="156">
        <f>VLOOKUP(T81,'TB - Expense Data'!$H$3:$N$758,3,FALSE)</f>
        <v>0</v>
      </c>
      <c r="V81" s="14">
        <f t="shared" si="26"/>
        <v>0</v>
      </c>
      <c r="W81" s="26">
        <f>VLOOKUP(T81,'TB - Expense Data'!$H$3:$N$758,7,FALSE)</f>
        <v>0</v>
      </c>
      <c r="X81" s="92">
        <f t="shared" si="27"/>
        <v>0</v>
      </c>
      <c r="Y81" s="48" t="str">
        <f t="shared" si="28"/>
        <v xml:space="preserve">-    </v>
      </c>
      <c r="Z81" s="156">
        <f t="shared" si="29"/>
        <v>8500</v>
      </c>
      <c r="AA81" s="14">
        <f t="shared" si="30"/>
        <v>4250</v>
      </c>
      <c r="AB81" s="14">
        <f t="shared" si="31"/>
        <v>2832.31</v>
      </c>
      <c r="AC81" s="92">
        <f t="shared" si="32"/>
        <v>-1417.69</v>
      </c>
      <c r="AD81" s="48">
        <f t="shared" si="33"/>
        <v>-0.33357411764705885</v>
      </c>
    </row>
    <row r="82" spans="1:30" x14ac:dyDescent="0.25">
      <c r="A82" s="44" t="s">
        <v>1016</v>
      </c>
      <c r="B82" s="131" t="s">
        <v>979</v>
      </c>
      <c r="C82" s="156">
        <f>VLOOKUP(B82,'TB - Expense Data'!$H$3:$N$758,3,FALSE)</f>
        <v>0</v>
      </c>
      <c r="D82" s="14">
        <f t="shared" si="17"/>
        <v>0</v>
      </c>
      <c r="E82" s="26">
        <f>VLOOKUP(B82,'TB - Expense Data'!$H$3:$N$758,7,FALSE)</f>
        <v>0</v>
      </c>
      <c r="F82" s="92">
        <f t="shared" si="18"/>
        <v>0</v>
      </c>
      <c r="G82" s="48" t="str">
        <f t="shared" si="19"/>
        <v xml:space="preserve">-    </v>
      </c>
      <c r="H82" s="131" t="s">
        <v>979</v>
      </c>
      <c r="I82" s="156">
        <f>VLOOKUP(H82,'TB - Expense Data'!$H$3:$N$758,3,FALSE)</f>
        <v>0</v>
      </c>
      <c r="J82" s="14">
        <f t="shared" si="20"/>
        <v>0</v>
      </c>
      <c r="K82" s="26">
        <f>VLOOKUP(H82,'TB - Expense Data'!$H$3:$N$758,7,FALSE)</f>
        <v>0</v>
      </c>
      <c r="L82" s="92">
        <f t="shared" si="21"/>
        <v>0</v>
      </c>
      <c r="M82" s="48" t="str">
        <f t="shared" si="22"/>
        <v xml:space="preserve">-    </v>
      </c>
      <c r="N82" s="131" t="s">
        <v>329</v>
      </c>
      <c r="O82" s="156">
        <f>VLOOKUP(N82,'TB - Expense Data'!$H$3:$N$758,3,FALSE)</f>
        <v>2500</v>
      </c>
      <c r="P82" s="14">
        <f t="shared" si="23"/>
        <v>1250</v>
      </c>
      <c r="Q82" s="26">
        <f>VLOOKUP(N82,'TB - Expense Data'!$H$3:$N$758,7,FALSE)</f>
        <v>436.04</v>
      </c>
      <c r="R82" s="92">
        <f t="shared" si="24"/>
        <v>-813.96</v>
      </c>
      <c r="S82" s="48">
        <f t="shared" si="25"/>
        <v>-0.65116800000000008</v>
      </c>
      <c r="T82" s="131" t="s">
        <v>979</v>
      </c>
      <c r="U82" s="156">
        <f>VLOOKUP(T82,'TB - Expense Data'!$H$3:$N$758,3,FALSE)</f>
        <v>0</v>
      </c>
      <c r="V82" s="14">
        <f t="shared" si="26"/>
        <v>0</v>
      </c>
      <c r="W82" s="26">
        <f>VLOOKUP(T82,'TB - Expense Data'!$H$3:$N$758,7,FALSE)</f>
        <v>0</v>
      </c>
      <c r="X82" s="92">
        <f t="shared" si="27"/>
        <v>0</v>
      </c>
      <c r="Y82" s="48" t="str">
        <f t="shared" si="28"/>
        <v xml:space="preserve">-    </v>
      </c>
      <c r="Z82" s="156">
        <f t="shared" si="29"/>
        <v>2500</v>
      </c>
      <c r="AA82" s="14">
        <f t="shared" si="30"/>
        <v>1250</v>
      </c>
      <c r="AB82" s="14">
        <f t="shared" si="31"/>
        <v>436.04</v>
      </c>
      <c r="AC82" s="92">
        <f t="shared" si="32"/>
        <v>-813.96</v>
      </c>
      <c r="AD82" s="48">
        <f t="shared" si="33"/>
        <v>-0.65116800000000008</v>
      </c>
    </row>
    <row r="83" spans="1:30" x14ac:dyDescent="0.25">
      <c r="A83" s="44" t="s">
        <v>1017</v>
      </c>
      <c r="B83" s="131" t="s">
        <v>979</v>
      </c>
      <c r="C83" s="156">
        <f>VLOOKUP(B83,'TB - Expense Data'!$H$3:$N$758,3,FALSE)</f>
        <v>0</v>
      </c>
      <c r="D83" s="14">
        <f t="shared" si="17"/>
        <v>0</v>
      </c>
      <c r="E83" s="26">
        <f>VLOOKUP(B83,'TB - Expense Data'!$H$3:$N$758,7,FALSE)</f>
        <v>0</v>
      </c>
      <c r="F83" s="92">
        <f t="shared" si="18"/>
        <v>0</v>
      </c>
      <c r="G83" s="48" t="str">
        <f t="shared" si="19"/>
        <v xml:space="preserve">-    </v>
      </c>
      <c r="H83" s="131" t="s">
        <v>979</v>
      </c>
      <c r="I83" s="156">
        <f>VLOOKUP(H83,'TB - Expense Data'!$H$3:$N$758,3,FALSE)</f>
        <v>0</v>
      </c>
      <c r="J83" s="14">
        <f t="shared" si="20"/>
        <v>0</v>
      </c>
      <c r="K83" s="26">
        <f>VLOOKUP(H83,'TB - Expense Data'!$H$3:$N$758,7,FALSE)</f>
        <v>0</v>
      </c>
      <c r="L83" s="92">
        <f t="shared" si="21"/>
        <v>0</v>
      </c>
      <c r="M83" s="48" t="str">
        <f t="shared" si="22"/>
        <v xml:space="preserve">-    </v>
      </c>
      <c r="N83" s="131" t="s">
        <v>330</v>
      </c>
      <c r="O83" s="156">
        <f>VLOOKUP(N83,'TB - Expense Data'!$H$3:$N$758,3,FALSE)</f>
        <v>6500</v>
      </c>
      <c r="P83" s="14">
        <f t="shared" si="23"/>
        <v>3250</v>
      </c>
      <c r="Q83" s="26">
        <f>VLOOKUP(N83,'TB - Expense Data'!$H$3:$N$758,7,FALSE)</f>
        <v>3486.94</v>
      </c>
      <c r="R83" s="92">
        <f t="shared" si="24"/>
        <v>236.94000000000005</v>
      </c>
      <c r="S83" s="48">
        <f t="shared" si="25"/>
        <v>7.2904615384615401E-2</v>
      </c>
      <c r="T83" s="131" t="s">
        <v>979</v>
      </c>
      <c r="U83" s="156">
        <f>VLOOKUP(T83,'TB - Expense Data'!$H$3:$N$758,3,FALSE)</f>
        <v>0</v>
      </c>
      <c r="V83" s="14">
        <f t="shared" si="26"/>
        <v>0</v>
      </c>
      <c r="W83" s="26">
        <f>VLOOKUP(T83,'TB - Expense Data'!$H$3:$N$758,7,FALSE)</f>
        <v>0</v>
      </c>
      <c r="X83" s="92">
        <f t="shared" si="27"/>
        <v>0</v>
      </c>
      <c r="Y83" s="48" t="str">
        <f t="shared" si="28"/>
        <v xml:space="preserve">-    </v>
      </c>
      <c r="Z83" s="156">
        <f t="shared" si="29"/>
        <v>6500</v>
      </c>
      <c r="AA83" s="14">
        <f t="shared" si="30"/>
        <v>3250</v>
      </c>
      <c r="AB83" s="14">
        <f t="shared" si="31"/>
        <v>3486.94</v>
      </c>
      <c r="AC83" s="92">
        <f t="shared" si="32"/>
        <v>236.94000000000005</v>
      </c>
      <c r="AD83" s="48">
        <f t="shared" si="33"/>
        <v>7.2904615384615401E-2</v>
      </c>
    </row>
    <row r="84" spans="1:30" x14ac:dyDescent="0.25">
      <c r="A84" s="44" t="s">
        <v>1018</v>
      </c>
      <c r="B84" s="131" t="s">
        <v>979</v>
      </c>
      <c r="C84" s="156">
        <f>VLOOKUP(B84,'TB - Expense Data'!$H$3:$N$758,3,FALSE)</f>
        <v>0</v>
      </c>
      <c r="D84" s="14">
        <f t="shared" si="17"/>
        <v>0</v>
      </c>
      <c r="E84" s="26">
        <f>VLOOKUP(B84,'TB - Expense Data'!$H$3:$N$758,7,FALSE)</f>
        <v>0</v>
      </c>
      <c r="F84" s="92">
        <f t="shared" si="18"/>
        <v>0</v>
      </c>
      <c r="G84" s="48" t="str">
        <f t="shared" si="19"/>
        <v xml:space="preserve">-    </v>
      </c>
      <c r="H84" s="131" t="s">
        <v>979</v>
      </c>
      <c r="I84" s="156">
        <f>VLOOKUP(H84,'TB - Expense Data'!$H$3:$N$758,3,FALSE)</f>
        <v>0</v>
      </c>
      <c r="J84" s="14">
        <f t="shared" si="20"/>
        <v>0</v>
      </c>
      <c r="K84" s="26">
        <f>VLOOKUP(H84,'TB - Expense Data'!$H$3:$N$758,7,FALSE)</f>
        <v>0</v>
      </c>
      <c r="L84" s="92">
        <f t="shared" si="21"/>
        <v>0</v>
      </c>
      <c r="M84" s="48" t="str">
        <f t="shared" si="22"/>
        <v xml:space="preserve">-    </v>
      </c>
      <c r="N84" s="131" t="s">
        <v>331</v>
      </c>
      <c r="O84" s="156">
        <f>VLOOKUP(N84,'TB - Expense Data'!$H$3:$N$758,3,FALSE)</f>
        <v>5000</v>
      </c>
      <c r="P84" s="14">
        <f t="shared" si="23"/>
        <v>2500</v>
      </c>
      <c r="Q84" s="26">
        <f>VLOOKUP(N84,'TB - Expense Data'!$H$3:$N$758,7,FALSE)</f>
        <v>0</v>
      </c>
      <c r="R84" s="92">
        <f t="shared" si="24"/>
        <v>-2500</v>
      </c>
      <c r="S84" s="48">
        <f t="shared" si="25"/>
        <v>-1</v>
      </c>
      <c r="T84" s="131" t="s">
        <v>979</v>
      </c>
      <c r="U84" s="156">
        <f>VLOOKUP(T84,'TB - Expense Data'!$H$3:$N$758,3,FALSE)</f>
        <v>0</v>
      </c>
      <c r="V84" s="14">
        <f t="shared" si="26"/>
        <v>0</v>
      </c>
      <c r="W84" s="26">
        <f>VLOOKUP(T84,'TB - Expense Data'!$H$3:$N$758,7,FALSE)</f>
        <v>0</v>
      </c>
      <c r="X84" s="92">
        <f t="shared" si="27"/>
        <v>0</v>
      </c>
      <c r="Y84" s="48" t="str">
        <f t="shared" si="28"/>
        <v xml:space="preserve">-    </v>
      </c>
      <c r="Z84" s="156">
        <f t="shared" si="29"/>
        <v>5000</v>
      </c>
      <c r="AA84" s="14">
        <f t="shared" si="30"/>
        <v>2500</v>
      </c>
      <c r="AB84" s="14">
        <f t="shared" si="31"/>
        <v>0</v>
      </c>
      <c r="AC84" s="92">
        <f t="shared" si="32"/>
        <v>-2500</v>
      </c>
      <c r="AD84" s="48">
        <f t="shared" si="33"/>
        <v>-1</v>
      </c>
    </row>
    <row r="85" spans="1:30" x14ac:dyDescent="0.25">
      <c r="A85" s="44" t="s">
        <v>1019</v>
      </c>
      <c r="B85" s="131" t="s">
        <v>979</v>
      </c>
      <c r="C85" s="156">
        <f>VLOOKUP(B85,'TB - Expense Data'!$H$3:$N$758,3,FALSE)</f>
        <v>0</v>
      </c>
      <c r="D85" s="14">
        <f t="shared" si="17"/>
        <v>0</v>
      </c>
      <c r="E85" s="26">
        <f>VLOOKUP(B85,'TB - Expense Data'!$H$3:$N$758,7,FALSE)</f>
        <v>0</v>
      </c>
      <c r="F85" s="92">
        <f t="shared" si="18"/>
        <v>0</v>
      </c>
      <c r="G85" s="48" t="str">
        <f t="shared" si="19"/>
        <v xml:space="preserve">-    </v>
      </c>
      <c r="H85" s="131" t="s">
        <v>979</v>
      </c>
      <c r="I85" s="156">
        <f>VLOOKUP(H85,'TB - Expense Data'!$H$3:$N$758,3,FALSE)</f>
        <v>0</v>
      </c>
      <c r="J85" s="14">
        <f t="shared" si="20"/>
        <v>0</v>
      </c>
      <c r="K85" s="26">
        <f>VLOOKUP(H85,'TB - Expense Data'!$H$3:$N$758,7,FALSE)</f>
        <v>0</v>
      </c>
      <c r="L85" s="92">
        <f t="shared" si="21"/>
        <v>0</v>
      </c>
      <c r="M85" s="48" t="str">
        <f t="shared" si="22"/>
        <v xml:space="preserve">-    </v>
      </c>
      <c r="N85" s="131" t="s">
        <v>332</v>
      </c>
      <c r="O85" s="156">
        <f>VLOOKUP(N85,'TB - Expense Data'!$H$3:$N$758,3,FALSE)</f>
        <v>200000</v>
      </c>
      <c r="P85" s="14">
        <f t="shared" si="23"/>
        <v>100000</v>
      </c>
      <c r="Q85" s="26">
        <f>VLOOKUP(N85,'TB - Expense Data'!$H$3:$N$758,7,FALSE)</f>
        <v>91977.73</v>
      </c>
      <c r="R85" s="92">
        <f t="shared" si="24"/>
        <v>-8022.2700000000041</v>
      </c>
      <c r="S85" s="48">
        <f t="shared" si="25"/>
        <v>-8.0222700000000036E-2</v>
      </c>
      <c r="T85" s="131" t="s">
        <v>979</v>
      </c>
      <c r="U85" s="156">
        <f>VLOOKUP(T85,'TB - Expense Data'!$H$3:$N$758,3,FALSE)</f>
        <v>0</v>
      </c>
      <c r="V85" s="14">
        <f t="shared" si="26"/>
        <v>0</v>
      </c>
      <c r="W85" s="26">
        <f>VLOOKUP(T85,'TB - Expense Data'!$H$3:$N$758,7,FALSE)</f>
        <v>0</v>
      </c>
      <c r="X85" s="92">
        <f t="shared" si="27"/>
        <v>0</v>
      </c>
      <c r="Y85" s="48" t="str">
        <f t="shared" si="28"/>
        <v xml:space="preserve">-    </v>
      </c>
      <c r="Z85" s="156">
        <f t="shared" si="29"/>
        <v>200000</v>
      </c>
      <c r="AA85" s="14">
        <f t="shared" si="30"/>
        <v>100000</v>
      </c>
      <c r="AB85" s="14">
        <f t="shared" si="31"/>
        <v>91977.73</v>
      </c>
      <c r="AC85" s="92">
        <f t="shared" si="32"/>
        <v>-8022.2700000000041</v>
      </c>
      <c r="AD85" s="48">
        <f t="shared" si="33"/>
        <v>-8.0222700000000036E-2</v>
      </c>
    </row>
    <row r="86" spans="1:30" x14ac:dyDescent="0.25">
      <c r="A86" s="44" t="s">
        <v>1020</v>
      </c>
      <c r="B86" s="131" t="s">
        <v>979</v>
      </c>
      <c r="C86" s="156">
        <f>VLOOKUP(B86,'TB - Expense Data'!$H$3:$N$758,3,FALSE)</f>
        <v>0</v>
      </c>
      <c r="D86" s="14">
        <f t="shared" si="17"/>
        <v>0</v>
      </c>
      <c r="E86" s="26">
        <f>VLOOKUP(B86,'TB - Expense Data'!$H$3:$N$758,7,FALSE)</f>
        <v>0</v>
      </c>
      <c r="F86" s="92">
        <f t="shared" si="18"/>
        <v>0</v>
      </c>
      <c r="G86" s="48" t="str">
        <f t="shared" si="19"/>
        <v xml:space="preserve">-    </v>
      </c>
      <c r="H86" s="131" t="s">
        <v>979</v>
      </c>
      <c r="I86" s="156">
        <f>VLOOKUP(H86,'TB - Expense Data'!$H$3:$N$758,3,FALSE)</f>
        <v>0</v>
      </c>
      <c r="J86" s="14">
        <f t="shared" si="20"/>
        <v>0</v>
      </c>
      <c r="K86" s="26">
        <f>VLOOKUP(H86,'TB - Expense Data'!$H$3:$N$758,7,FALSE)</f>
        <v>0</v>
      </c>
      <c r="L86" s="92">
        <f t="shared" si="21"/>
        <v>0</v>
      </c>
      <c r="M86" s="48" t="str">
        <f t="shared" si="22"/>
        <v xml:space="preserve">-    </v>
      </c>
      <c r="N86" s="131" t="s">
        <v>333</v>
      </c>
      <c r="O86" s="156">
        <f>VLOOKUP(N86,'TB - Expense Data'!$H$3:$N$758,3,FALSE)</f>
        <v>2000</v>
      </c>
      <c r="P86" s="14">
        <f t="shared" si="23"/>
        <v>1000</v>
      </c>
      <c r="Q86" s="26">
        <f>VLOOKUP(N86,'TB - Expense Data'!$H$3:$N$758,7,FALSE)</f>
        <v>350.36</v>
      </c>
      <c r="R86" s="92">
        <f t="shared" si="24"/>
        <v>-649.64</v>
      </c>
      <c r="S86" s="48">
        <f t="shared" si="25"/>
        <v>-0.64964</v>
      </c>
      <c r="T86" s="131" t="s">
        <v>979</v>
      </c>
      <c r="U86" s="156">
        <f>VLOOKUP(T86,'TB - Expense Data'!$H$3:$N$758,3,FALSE)</f>
        <v>0</v>
      </c>
      <c r="V86" s="14">
        <f t="shared" si="26"/>
        <v>0</v>
      </c>
      <c r="W86" s="26">
        <f>VLOOKUP(T86,'TB - Expense Data'!$H$3:$N$758,7,FALSE)</f>
        <v>0</v>
      </c>
      <c r="X86" s="92">
        <f t="shared" si="27"/>
        <v>0</v>
      </c>
      <c r="Y86" s="48" t="str">
        <f t="shared" si="28"/>
        <v xml:space="preserve">-    </v>
      </c>
      <c r="Z86" s="156">
        <f t="shared" si="29"/>
        <v>2000</v>
      </c>
      <c r="AA86" s="14">
        <f t="shared" si="30"/>
        <v>1000</v>
      </c>
      <c r="AB86" s="14">
        <f t="shared" si="31"/>
        <v>350.36</v>
      </c>
      <c r="AC86" s="92">
        <f t="shared" si="32"/>
        <v>-649.64</v>
      </c>
      <c r="AD86" s="48">
        <f t="shared" si="33"/>
        <v>-0.64964</v>
      </c>
    </row>
    <row r="87" spans="1:30" x14ac:dyDescent="0.25">
      <c r="A87" s="44" t="s">
        <v>1021</v>
      </c>
      <c r="B87" s="131" t="s">
        <v>979</v>
      </c>
      <c r="C87" s="156">
        <f>VLOOKUP(B87,'TB - Expense Data'!$H$3:$N$758,3,FALSE)</f>
        <v>0</v>
      </c>
      <c r="D87" s="14">
        <f t="shared" si="17"/>
        <v>0</v>
      </c>
      <c r="E87" s="26">
        <f>VLOOKUP(B87,'TB - Expense Data'!$H$3:$N$758,7,FALSE)</f>
        <v>0</v>
      </c>
      <c r="F87" s="92">
        <f t="shared" si="18"/>
        <v>0</v>
      </c>
      <c r="G87" s="48" t="str">
        <f t="shared" si="19"/>
        <v xml:space="preserve">-    </v>
      </c>
      <c r="H87" s="131" t="s">
        <v>979</v>
      </c>
      <c r="I87" s="156">
        <f>VLOOKUP(H87,'TB - Expense Data'!$H$3:$N$758,3,FALSE)</f>
        <v>0</v>
      </c>
      <c r="J87" s="14">
        <f t="shared" si="20"/>
        <v>0</v>
      </c>
      <c r="K87" s="26">
        <f>VLOOKUP(H87,'TB - Expense Data'!$H$3:$N$758,7,FALSE)</f>
        <v>0</v>
      </c>
      <c r="L87" s="92">
        <f t="shared" si="21"/>
        <v>0</v>
      </c>
      <c r="M87" s="48" t="str">
        <f t="shared" si="22"/>
        <v xml:space="preserve">-    </v>
      </c>
      <c r="N87" s="131" t="s">
        <v>334</v>
      </c>
      <c r="O87" s="156">
        <f>VLOOKUP(N87,'TB - Expense Data'!$H$3:$N$758,3,FALSE)</f>
        <v>140000</v>
      </c>
      <c r="P87" s="14">
        <f t="shared" si="23"/>
        <v>70000</v>
      </c>
      <c r="Q87" s="26">
        <f>VLOOKUP(N87,'TB - Expense Data'!$H$3:$N$758,7,FALSE)</f>
        <v>51502.1</v>
      </c>
      <c r="R87" s="92">
        <f t="shared" si="24"/>
        <v>-18497.900000000001</v>
      </c>
      <c r="S87" s="48">
        <f t="shared" si="25"/>
        <v>-0.26425571428571432</v>
      </c>
      <c r="T87" s="131" t="s">
        <v>979</v>
      </c>
      <c r="U87" s="156">
        <f>VLOOKUP(T87,'TB - Expense Data'!$H$3:$N$758,3,FALSE)</f>
        <v>0</v>
      </c>
      <c r="V87" s="14">
        <f t="shared" si="26"/>
        <v>0</v>
      </c>
      <c r="W87" s="26">
        <f>VLOOKUP(T87,'TB - Expense Data'!$H$3:$N$758,7,FALSE)</f>
        <v>0</v>
      </c>
      <c r="X87" s="92">
        <f t="shared" si="27"/>
        <v>0</v>
      </c>
      <c r="Y87" s="48" t="str">
        <f t="shared" si="28"/>
        <v xml:space="preserve">-    </v>
      </c>
      <c r="Z87" s="156">
        <f t="shared" si="29"/>
        <v>140000</v>
      </c>
      <c r="AA87" s="14">
        <f t="shared" si="30"/>
        <v>70000</v>
      </c>
      <c r="AB87" s="14">
        <f t="shared" si="31"/>
        <v>51502.1</v>
      </c>
      <c r="AC87" s="92">
        <f t="shared" si="32"/>
        <v>-18497.900000000001</v>
      </c>
      <c r="AD87" s="48">
        <f t="shared" si="33"/>
        <v>-0.26425571428571432</v>
      </c>
    </row>
    <row r="88" spans="1:30" x14ac:dyDescent="0.25">
      <c r="A88" s="44" t="s">
        <v>1022</v>
      </c>
      <c r="B88" s="131" t="s">
        <v>979</v>
      </c>
      <c r="C88" s="156">
        <f>VLOOKUP(B88,'TB - Expense Data'!$H$3:$N$758,3,FALSE)</f>
        <v>0</v>
      </c>
      <c r="D88" s="14">
        <f t="shared" si="17"/>
        <v>0</v>
      </c>
      <c r="E88" s="26">
        <f>VLOOKUP(B88,'TB - Expense Data'!$H$3:$N$758,7,FALSE)</f>
        <v>0</v>
      </c>
      <c r="F88" s="92">
        <f t="shared" si="18"/>
        <v>0</v>
      </c>
      <c r="G88" s="48" t="str">
        <f t="shared" si="19"/>
        <v xml:space="preserve">-    </v>
      </c>
      <c r="H88" s="131" t="s">
        <v>979</v>
      </c>
      <c r="I88" s="156">
        <f>VLOOKUP(H88,'TB - Expense Data'!$H$3:$N$758,3,FALSE)</f>
        <v>0</v>
      </c>
      <c r="J88" s="14">
        <f t="shared" si="20"/>
        <v>0</v>
      </c>
      <c r="K88" s="26">
        <f>VLOOKUP(H88,'TB - Expense Data'!$H$3:$N$758,7,FALSE)</f>
        <v>0</v>
      </c>
      <c r="L88" s="92">
        <f t="shared" si="21"/>
        <v>0</v>
      </c>
      <c r="M88" s="48" t="str">
        <f t="shared" si="22"/>
        <v xml:space="preserve">-    </v>
      </c>
      <c r="N88" s="131" t="s">
        <v>336</v>
      </c>
      <c r="O88" s="156">
        <f>VLOOKUP(N88,'TB - Expense Data'!$H$3:$N$758,3,FALSE)</f>
        <v>2500</v>
      </c>
      <c r="P88" s="14">
        <f t="shared" si="23"/>
        <v>1250</v>
      </c>
      <c r="Q88" s="26">
        <f>VLOOKUP(N88,'TB - Expense Data'!$H$3:$N$758,7,FALSE)</f>
        <v>0</v>
      </c>
      <c r="R88" s="92">
        <f t="shared" si="24"/>
        <v>-1250</v>
      </c>
      <c r="S88" s="48">
        <f t="shared" si="25"/>
        <v>-1</v>
      </c>
      <c r="T88" s="131" t="s">
        <v>979</v>
      </c>
      <c r="U88" s="156">
        <f>VLOOKUP(T88,'TB - Expense Data'!$H$3:$N$758,3,FALSE)</f>
        <v>0</v>
      </c>
      <c r="V88" s="14">
        <f t="shared" si="26"/>
        <v>0</v>
      </c>
      <c r="W88" s="26">
        <f>VLOOKUP(T88,'TB - Expense Data'!$H$3:$N$758,7,FALSE)</f>
        <v>0</v>
      </c>
      <c r="X88" s="92">
        <f t="shared" si="27"/>
        <v>0</v>
      </c>
      <c r="Y88" s="48" t="str">
        <f t="shared" si="28"/>
        <v xml:space="preserve">-    </v>
      </c>
      <c r="Z88" s="156">
        <f t="shared" si="29"/>
        <v>2500</v>
      </c>
      <c r="AA88" s="14">
        <f t="shared" si="30"/>
        <v>1250</v>
      </c>
      <c r="AB88" s="14">
        <f t="shared" si="31"/>
        <v>0</v>
      </c>
      <c r="AC88" s="92">
        <f t="shared" si="32"/>
        <v>-1250</v>
      </c>
      <c r="AD88" s="48">
        <f t="shared" si="33"/>
        <v>-1</v>
      </c>
    </row>
    <row r="89" spans="1:30" x14ac:dyDescent="0.25">
      <c r="A89" s="44" t="s">
        <v>1023</v>
      </c>
      <c r="B89" s="131" t="s">
        <v>979</v>
      </c>
      <c r="C89" s="156">
        <f>VLOOKUP(B89,'TB - Expense Data'!$H$3:$N$758,3,FALSE)</f>
        <v>0</v>
      </c>
      <c r="D89" s="14">
        <f t="shared" si="17"/>
        <v>0</v>
      </c>
      <c r="E89" s="26">
        <f>VLOOKUP(B89,'TB - Expense Data'!$H$3:$N$758,7,FALSE)</f>
        <v>0</v>
      </c>
      <c r="F89" s="92">
        <f t="shared" si="18"/>
        <v>0</v>
      </c>
      <c r="G89" s="48" t="str">
        <f t="shared" si="19"/>
        <v xml:space="preserve">-    </v>
      </c>
      <c r="H89" s="131" t="s">
        <v>979</v>
      </c>
      <c r="I89" s="156">
        <f>VLOOKUP(H89,'TB - Expense Data'!$H$3:$N$758,3,FALSE)</f>
        <v>0</v>
      </c>
      <c r="J89" s="14">
        <f t="shared" si="20"/>
        <v>0</v>
      </c>
      <c r="K89" s="26">
        <f>VLOOKUP(H89,'TB - Expense Data'!$H$3:$N$758,7,FALSE)</f>
        <v>0</v>
      </c>
      <c r="L89" s="92">
        <f t="shared" si="21"/>
        <v>0</v>
      </c>
      <c r="M89" s="48" t="str">
        <f t="shared" si="22"/>
        <v xml:space="preserve">-    </v>
      </c>
      <c r="N89" s="131" t="s">
        <v>338</v>
      </c>
      <c r="O89" s="156">
        <f>VLOOKUP(N89,'TB - Expense Data'!$H$3:$N$758,3,FALSE)</f>
        <v>140000</v>
      </c>
      <c r="P89" s="14">
        <f t="shared" si="23"/>
        <v>70000</v>
      </c>
      <c r="Q89" s="26">
        <f>VLOOKUP(N89,'TB - Expense Data'!$H$3:$N$758,7,FALSE)</f>
        <v>41842.160000000003</v>
      </c>
      <c r="R89" s="92">
        <f t="shared" si="24"/>
        <v>-28157.839999999997</v>
      </c>
      <c r="S89" s="48">
        <f t="shared" si="25"/>
        <v>-0.40225485714285708</v>
      </c>
      <c r="T89" s="131" t="s">
        <v>979</v>
      </c>
      <c r="U89" s="156">
        <f>VLOOKUP(T89,'TB - Expense Data'!$H$3:$N$758,3,FALSE)</f>
        <v>0</v>
      </c>
      <c r="V89" s="14">
        <f t="shared" si="26"/>
        <v>0</v>
      </c>
      <c r="W89" s="26">
        <f>VLOOKUP(T89,'TB - Expense Data'!$H$3:$N$758,7,FALSE)</f>
        <v>0</v>
      </c>
      <c r="X89" s="92">
        <f t="shared" si="27"/>
        <v>0</v>
      </c>
      <c r="Y89" s="48" t="str">
        <f t="shared" si="28"/>
        <v xml:space="preserve">-    </v>
      </c>
      <c r="Z89" s="156">
        <f t="shared" si="29"/>
        <v>140000</v>
      </c>
      <c r="AA89" s="14">
        <f t="shared" si="30"/>
        <v>70000</v>
      </c>
      <c r="AB89" s="14">
        <f t="shared" si="31"/>
        <v>41842.160000000003</v>
      </c>
      <c r="AC89" s="92">
        <f t="shared" si="32"/>
        <v>-28157.839999999997</v>
      </c>
      <c r="AD89" s="48">
        <f t="shared" si="33"/>
        <v>-0.40225485714285708</v>
      </c>
    </row>
    <row r="90" spans="1:30" x14ac:dyDescent="0.25">
      <c r="A90" s="13" t="s">
        <v>1024</v>
      </c>
      <c r="B90" s="131" t="s">
        <v>979</v>
      </c>
      <c r="C90" s="156">
        <f>VLOOKUP(B90,'TB - Expense Data'!$H$3:$N$758,3,FALSE)</f>
        <v>0</v>
      </c>
      <c r="D90" s="14">
        <f t="shared" si="17"/>
        <v>0</v>
      </c>
      <c r="E90" s="26">
        <f>VLOOKUP(B90,'TB - Expense Data'!$H$3:$N$758,7,FALSE)</f>
        <v>0</v>
      </c>
      <c r="F90" s="92">
        <f t="shared" si="18"/>
        <v>0</v>
      </c>
      <c r="G90" s="48" t="str">
        <f t="shared" si="19"/>
        <v xml:space="preserve">-    </v>
      </c>
      <c r="H90" s="131" t="s">
        <v>979</v>
      </c>
      <c r="I90" s="156">
        <f>VLOOKUP(H90,'TB - Expense Data'!$H$3:$N$758,3,FALSE)</f>
        <v>0</v>
      </c>
      <c r="J90" s="14">
        <f t="shared" si="20"/>
        <v>0</v>
      </c>
      <c r="K90" s="26">
        <f>VLOOKUP(H90,'TB - Expense Data'!$H$3:$N$758,7,FALSE)</f>
        <v>0</v>
      </c>
      <c r="L90" s="92">
        <f t="shared" si="21"/>
        <v>0</v>
      </c>
      <c r="M90" s="48" t="str">
        <f t="shared" si="22"/>
        <v xml:space="preserve">-    </v>
      </c>
      <c r="N90" s="131" t="s">
        <v>979</v>
      </c>
      <c r="O90" s="156">
        <f>VLOOKUP(N90,'TB - Expense Data'!$H$3:$N$758,3,FALSE)</f>
        <v>0</v>
      </c>
      <c r="P90" s="14">
        <f t="shared" si="23"/>
        <v>0</v>
      </c>
      <c r="Q90" s="26">
        <f>VLOOKUP(N90,'TB - Expense Data'!$H$3:$N$758,7,FALSE)</f>
        <v>0</v>
      </c>
      <c r="R90" s="92">
        <f t="shared" si="24"/>
        <v>0</v>
      </c>
      <c r="S90" s="48" t="str">
        <f t="shared" si="25"/>
        <v xml:space="preserve">-    </v>
      </c>
      <c r="T90" s="131" t="s">
        <v>371</v>
      </c>
      <c r="U90" s="156">
        <f>VLOOKUP(T90,'TB - Expense Data'!$H$3:$N$758,3,FALSE)</f>
        <v>5500</v>
      </c>
      <c r="V90" s="14">
        <f t="shared" si="26"/>
        <v>2750</v>
      </c>
      <c r="W90" s="26">
        <f>VLOOKUP(T90,'TB - Expense Data'!$H$3:$N$758,7,FALSE)</f>
        <v>322</v>
      </c>
      <c r="X90" s="92">
        <f t="shared" si="27"/>
        <v>-2428</v>
      </c>
      <c r="Y90" s="48">
        <f t="shared" si="28"/>
        <v>-0.88290909090909087</v>
      </c>
      <c r="Z90" s="156">
        <f t="shared" si="29"/>
        <v>5500</v>
      </c>
      <c r="AA90" s="14">
        <f t="shared" si="30"/>
        <v>2750</v>
      </c>
      <c r="AB90" s="14">
        <f t="shared" si="31"/>
        <v>322</v>
      </c>
      <c r="AC90" s="92">
        <f t="shared" si="32"/>
        <v>-2428</v>
      </c>
      <c r="AD90" s="48">
        <f t="shared" si="33"/>
        <v>-0.88290909090909087</v>
      </c>
    </row>
    <row r="91" spans="1:30" x14ac:dyDescent="0.25">
      <c r="A91" s="13" t="s">
        <v>1025</v>
      </c>
      <c r="B91" s="131" t="s">
        <v>979</v>
      </c>
      <c r="C91" s="156">
        <f>VLOOKUP(B91,'TB - Expense Data'!$H$3:$N$758,3,FALSE)</f>
        <v>0</v>
      </c>
      <c r="D91" s="14">
        <f t="shared" si="17"/>
        <v>0</v>
      </c>
      <c r="E91" s="26">
        <f>VLOOKUP(B91,'TB - Expense Data'!$H$3:$N$758,7,FALSE)</f>
        <v>0</v>
      </c>
      <c r="F91" s="92">
        <f t="shared" si="18"/>
        <v>0</v>
      </c>
      <c r="G91" s="48" t="str">
        <f t="shared" si="19"/>
        <v xml:space="preserve">-    </v>
      </c>
      <c r="H91" s="131" t="s">
        <v>979</v>
      </c>
      <c r="I91" s="156">
        <f>VLOOKUP(H91,'TB - Expense Data'!$H$3:$N$758,3,FALSE)</f>
        <v>0</v>
      </c>
      <c r="J91" s="14">
        <f t="shared" si="20"/>
        <v>0</v>
      </c>
      <c r="K91" s="26">
        <f>VLOOKUP(H91,'TB - Expense Data'!$H$3:$N$758,7,FALSE)</f>
        <v>0</v>
      </c>
      <c r="L91" s="92">
        <f t="shared" si="21"/>
        <v>0</v>
      </c>
      <c r="M91" s="48" t="str">
        <f t="shared" si="22"/>
        <v xml:space="preserve">-    </v>
      </c>
      <c r="N91" s="131" t="s">
        <v>979</v>
      </c>
      <c r="O91" s="156">
        <f>VLOOKUP(N91,'TB - Expense Data'!$H$3:$N$758,3,FALSE)</f>
        <v>0</v>
      </c>
      <c r="P91" s="14">
        <f t="shared" si="23"/>
        <v>0</v>
      </c>
      <c r="Q91" s="26">
        <f>VLOOKUP(N91,'TB - Expense Data'!$H$3:$N$758,7,FALSE)</f>
        <v>0</v>
      </c>
      <c r="R91" s="92">
        <f t="shared" si="24"/>
        <v>0</v>
      </c>
      <c r="S91" s="48" t="str">
        <f t="shared" si="25"/>
        <v xml:space="preserve">-    </v>
      </c>
      <c r="T91" s="131" t="s">
        <v>372</v>
      </c>
      <c r="U91" s="156">
        <f>VLOOKUP(T91,'TB - Expense Data'!$H$3:$N$758,3,FALSE)</f>
        <v>2500</v>
      </c>
      <c r="V91" s="14">
        <f t="shared" si="26"/>
        <v>1250</v>
      </c>
      <c r="W91" s="26">
        <f>VLOOKUP(T91,'TB - Expense Data'!$H$3:$N$758,7,FALSE)</f>
        <v>671.46</v>
      </c>
      <c r="X91" s="92">
        <f t="shared" si="27"/>
        <v>-578.54</v>
      </c>
      <c r="Y91" s="48">
        <f t="shared" si="28"/>
        <v>-0.46283199999999997</v>
      </c>
      <c r="Z91" s="156">
        <f t="shared" si="29"/>
        <v>2500</v>
      </c>
      <c r="AA91" s="14">
        <f t="shared" si="30"/>
        <v>1250</v>
      </c>
      <c r="AB91" s="14">
        <f t="shared" si="31"/>
        <v>671.46</v>
      </c>
      <c r="AC91" s="92">
        <f t="shared" si="32"/>
        <v>-578.54</v>
      </c>
      <c r="AD91" s="48">
        <f t="shared" si="33"/>
        <v>-0.46283199999999997</v>
      </c>
    </row>
    <row r="92" spans="1:30" s="29" customFormat="1" x14ac:dyDescent="0.25">
      <c r="A92" s="44" t="s">
        <v>1026</v>
      </c>
      <c r="B92" s="434" t="s">
        <v>979</v>
      </c>
      <c r="C92" s="557">
        <f>VLOOKUP(B92,'TB - Expense Data'!$H$3:$N$758,3,FALSE)</f>
        <v>0</v>
      </c>
      <c r="D92" s="26">
        <f t="shared" si="17"/>
        <v>0</v>
      </c>
      <c r="E92" s="26">
        <f>VLOOKUP(B92,'TB - Expense Data'!$H$3:$N$758,7,FALSE)</f>
        <v>0</v>
      </c>
      <c r="F92" s="433">
        <f t="shared" si="18"/>
        <v>0</v>
      </c>
      <c r="G92" s="432" t="str">
        <f t="shared" si="19"/>
        <v xml:space="preserve">-    </v>
      </c>
      <c r="H92" s="434" t="s">
        <v>979</v>
      </c>
      <c r="I92" s="557">
        <f>VLOOKUP(H92,'TB - Expense Data'!$H$3:$N$758,3,FALSE)</f>
        <v>0</v>
      </c>
      <c r="J92" s="26">
        <f t="shared" si="20"/>
        <v>0</v>
      </c>
      <c r="K92" s="26">
        <f>VLOOKUP(H92,'TB - Expense Data'!$H$3:$N$758,7,FALSE)</f>
        <v>0</v>
      </c>
      <c r="L92" s="433">
        <f t="shared" si="21"/>
        <v>0</v>
      </c>
      <c r="M92" s="432" t="str">
        <f t="shared" si="22"/>
        <v xml:space="preserve">-    </v>
      </c>
      <c r="N92" s="434" t="s">
        <v>979</v>
      </c>
      <c r="O92" s="557">
        <f>VLOOKUP(N92,'TB - Expense Data'!$H$3:$N$758,3,FALSE)</f>
        <v>0</v>
      </c>
      <c r="P92" s="26">
        <f t="shared" si="23"/>
        <v>0</v>
      </c>
      <c r="Q92" s="26">
        <f>VLOOKUP(N92,'TB - Expense Data'!$H$3:$N$758,7,FALSE)</f>
        <v>0</v>
      </c>
      <c r="R92" s="433">
        <f t="shared" si="24"/>
        <v>0</v>
      </c>
      <c r="S92" s="432" t="str">
        <f t="shared" si="25"/>
        <v xml:space="preserve">-    </v>
      </c>
      <c r="T92" s="434" t="s">
        <v>373</v>
      </c>
      <c r="U92" s="557">
        <f>VLOOKUP(T92,'TB - Expense Data'!$H$3:$N$758,3,FALSE)</f>
        <v>1500</v>
      </c>
      <c r="V92" s="26">
        <f t="shared" si="26"/>
        <v>750</v>
      </c>
      <c r="W92" s="26">
        <f>VLOOKUP(T92,'TB - Expense Data'!$H$3:$N$758,7,FALSE)</f>
        <v>0</v>
      </c>
      <c r="X92" s="433">
        <f t="shared" si="27"/>
        <v>-750</v>
      </c>
      <c r="Y92" s="432">
        <f t="shared" si="28"/>
        <v>-1</v>
      </c>
      <c r="Z92" s="557">
        <f t="shared" si="29"/>
        <v>1500</v>
      </c>
      <c r="AA92" s="26">
        <f t="shared" si="30"/>
        <v>750</v>
      </c>
      <c r="AB92" s="26">
        <f t="shared" si="31"/>
        <v>0</v>
      </c>
      <c r="AC92" s="433">
        <f t="shared" si="32"/>
        <v>-750</v>
      </c>
      <c r="AD92" s="432">
        <f t="shared" si="33"/>
        <v>-1</v>
      </c>
    </row>
    <row r="93" spans="1:30" x14ac:dyDescent="0.25">
      <c r="A93" s="13" t="s">
        <v>1027</v>
      </c>
      <c r="B93" s="131" t="s">
        <v>979</v>
      </c>
      <c r="C93" s="156">
        <f>VLOOKUP(B93,'TB - Expense Data'!$H$3:$N$758,3,FALSE)</f>
        <v>0</v>
      </c>
      <c r="D93" s="14">
        <f t="shared" si="17"/>
        <v>0</v>
      </c>
      <c r="E93" s="26">
        <f>VLOOKUP(B93,'TB - Expense Data'!$H$3:$N$758,7,FALSE)</f>
        <v>0</v>
      </c>
      <c r="F93" s="92">
        <f t="shared" si="18"/>
        <v>0</v>
      </c>
      <c r="G93" s="48" t="str">
        <f t="shared" si="19"/>
        <v xml:space="preserve">-    </v>
      </c>
      <c r="H93" s="131" t="s">
        <v>979</v>
      </c>
      <c r="I93" s="156">
        <f>VLOOKUP(H93,'TB - Expense Data'!$H$3:$N$758,3,FALSE)</f>
        <v>0</v>
      </c>
      <c r="J93" s="14">
        <f t="shared" si="20"/>
        <v>0</v>
      </c>
      <c r="K93" s="26">
        <f>VLOOKUP(H93,'TB - Expense Data'!$H$3:$N$758,7,FALSE)</f>
        <v>0</v>
      </c>
      <c r="L93" s="92">
        <f t="shared" si="21"/>
        <v>0</v>
      </c>
      <c r="M93" s="48" t="str">
        <f t="shared" si="22"/>
        <v xml:space="preserve">-    </v>
      </c>
      <c r="N93" s="131" t="s">
        <v>979</v>
      </c>
      <c r="O93" s="156">
        <f>VLOOKUP(N93,'TB - Expense Data'!$H$3:$N$758,3,FALSE)</f>
        <v>0</v>
      </c>
      <c r="P93" s="14">
        <f t="shared" si="23"/>
        <v>0</v>
      </c>
      <c r="Q93" s="26">
        <f>VLOOKUP(N93,'TB - Expense Data'!$H$3:$N$758,7,FALSE)</f>
        <v>0</v>
      </c>
      <c r="R93" s="92">
        <f t="shared" si="24"/>
        <v>0</v>
      </c>
      <c r="S93" s="48" t="str">
        <f t="shared" si="25"/>
        <v xml:space="preserve">-    </v>
      </c>
      <c r="T93" s="131" t="s">
        <v>374</v>
      </c>
      <c r="U93" s="156">
        <f>VLOOKUP(T93,'TB - Expense Data'!$H$3:$N$758,3,FALSE)</f>
        <v>450</v>
      </c>
      <c r="V93" s="14">
        <f t="shared" si="26"/>
        <v>225</v>
      </c>
      <c r="W93" s="26">
        <f>VLOOKUP(T93,'TB - Expense Data'!$H$3:$N$758,7,FALSE)</f>
        <v>132.85</v>
      </c>
      <c r="X93" s="92">
        <f t="shared" si="27"/>
        <v>-92.15</v>
      </c>
      <c r="Y93" s="48">
        <f t="shared" si="28"/>
        <v>-0.40955555555555556</v>
      </c>
      <c r="Z93" s="156">
        <f t="shared" si="29"/>
        <v>450</v>
      </c>
      <c r="AA93" s="14">
        <f t="shared" si="30"/>
        <v>225</v>
      </c>
      <c r="AB93" s="14">
        <f t="shared" si="31"/>
        <v>132.85</v>
      </c>
      <c r="AC93" s="92">
        <f t="shared" si="32"/>
        <v>-92.15</v>
      </c>
      <c r="AD93" s="48">
        <f t="shared" si="33"/>
        <v>-0.40955555555555556</v>
      </c>
    </row>
    <row r="94" spans="1:30" x14ac:dyDescent="0.25">
      <c r="A94" s="13" t="s">
        <v>1028</v>
      </c>
      <c r="B94" s="131" t="s">
        <v>979</v>
      </c>
      <c r="C94" s="156">
        <f>VLOOKUP(B94,'TB - Expense Data'!$H$3:$N$758,3,FALSE)</f>
        <v>0</v>
      </c>
      <c r="D94" s="14">
        <f t="shared" si="17"/>
        <v>0</v>
      </c>
      <c r="E94" s="26">
        <f>VLOOKUP(B94,'TB - Expense Data'!$H$3:$N$758,7,FALSE)</f>
        <v>0</v>
      </c>
      <c r="F94" s="92">
        <f t="shared" si="18"/>
        <v>0</v>
      </c>
      <c r="G94" s="48" t="str">
        <f t="shared" si="19"/>
        <v xml:space="preserve">-    </v>
      </c>
      <c r="H94" s="131" t="s">
        <v>979</v>
      </c>
      <c r="I94" s="156">
        <f>VLOOKUP(H94,'TB - Expense Data'!$H$3:$N$758,3,FALSE)</f>
        <v>0</v>
      </c>
      <c r="J94" s="14">
        <f t="shared" si="20"/>
        <v>0</v>
      </c>
      <c r="K94" s="26">
        <f>VLOOKUP(H94,'TB - Expense Data'!$H$3:$N$758,7,FALSE)</f>
        <v>0</v>
      </c>
      <c r="L94" s="92">
        <f t="shared" si="21"/>
        <v>0</v>
      </c>
      <c r="M94" s="48" t="str">
        <f t="shared" si="22"/>
        <v xml:space="preserve">-    </v>
      </c>
      <c r="N94" s="131" t="s">
        <v>979</v>
      </c>
      <c r="O94" s="156">
        <f>VLOOKUP(N94,'TB - Expense Data'!$H$3:$N$758,3,FALSE)</f>
        <v>0</v>
      </c>
      <c r="P94" s="14">
        <f t="shared" si="23"/>
        <v>0</v>
      </c>
      <c r="Q94" s="26">
        <f>VLOOKUP(N94,'TB - Expense Data'!$H$3:$N$758,7,FALSE)</f>
        <v>0</v>
      </c>
      <c r="R94" s="92">
        <f t="shared" si="24"/>
        <v>0</v>
      </c>
      <c r="S94" s="48" t="str">
        <f t="shared" si="25"/>
        <v xml:space="preserve">-    </v>
      </c>
      <c r="T94" s="131" t="s">
        <v>375</v>
      </c>
      <c r="U94" s="156">
        <f>VLOOKUP(T94,'TB - Expense Data'!$H$3:$N$758,3,FALSE)</f>
        <v>7500</v>
      </c>
      <c r="V94" s="14">
        <f t="shared" si="26"/>
        <v>3750</v>
      </c>
      <c r="W94" s="26">
        <f>VLOOKUP(T94,'TB - Expense Data'!$H$3:$N$758,7,FALSE)</f>
        <v>320</v>
      </c>
      <c r="X94" s="92">
        <f t="shared" si="27"/>
        <v>-3430</v>
      </c>
      <c r="Y94" s="48">
        <f t="shared" si="28"/>
        <v>-0.91466666666666663</v>
      </c>
      <c r="Z94" s="156">
        <f t="shared" si="29"/>
        <v>7500</v>
      </c>
      <c r="AA94" s="14">
        <f t="shared" si="30"/>
        <v>3750</v>
      </c>
      <c r="AB94" s="14">
        <f t="shared" si="31"/>
        <v>320</v>
      </c>
      <c r="AC94" s="92">
        <f t="shared" si="32"/>
        <v>-3430</v>
      </c>
      <c r="AD94" s="48">
        <f t="shared" si="33"/>
        <v>-0.91466666666666663</v>
      </c>
    </row>
    <row r="95" spans="1:30" x14ac:dyDescent="0.25">
      <c r="A95" s="13" t="s">
        <v>1029</v>
      </c>
      <c r="B95" s="131" t="s">
        <v>979</v>
      </c>
      <c r="C95" s="156">
        <f>VLOOKUP(B95,'TB - Expense Data'!$H$3:$N$758,3,FALSE)</f>
        <v>0</v>
      </c>
      <c r="D95" s="14">
        <f t="shared" ref="D95:D121" si="34">C95/2</f>
        <v>0</v>
      </c>
      <c r="E95" s="26">
        <f>VLOOKUP(B95,'TB - Expense Data'!$H$3:$N$758,7,FALSE)</f>
        <v>0</v>
      </c>
      <c r="F95" s="92">
        <f t="shared" ref="F95:F121" si="35">E95-D95</f>
        <v>0</v>
      </c>
      <c r="G95" s="48" t="str">
        <f t="shared" ref="G95:G121" si="36">IF(AND(D95&lt;&gt;0,F95&lt;&gt;0,ISNUMBER(D95),ISNUMBER(F95)),F95/D95,"-    ")</f>
        <v xml:space="preserve">-    </v>
      </c>
      <c r="H95" s="131" t="s">
        <v>979</v>
      </c>
      <c r="I95" s="156">
        <f>VLOOKUP(H95,'TB - Expense Data'!$H$3:$N$758,3,FALSE)</f>
        <v>0</v>
      </c>
      <c r="J95" s="14">
        <f t="shared" ref="J95:J121" si="37">I95/2</f>
        <v>0</v>
      </c>
      <c r="K95" s="26">
        <f>VLOOKUP(H95,'TB - Expense Data'!$H$3:$N$758,7,FALSE)</f>
        <v>0</v>
      </c>
      <c r="L95" s="92">
        <f t="shared" ref="L95:L121" si="38">K95-J95</f>
        <v>0</v>
      </c>
      <c r="M95" s="48" t="str">
        <f t="shared" ref="M95:M121" si="39">IF(AND(J95&lt;&gt;0,L95&lt;&gt;0,ISNUMBER(J95),ISNUMBER(L95)),L95/J95,"-    ")</f>
        <v xml:space="preserve">-    </v>
      </c>
      <c r="N95" s="131" t="s">
        <v>979</v>
      </c>
      <c r="O95" s="156">
        <f>VLOOKUP(N95,'TB - Expense Data'!$H$3:$N$758,3,FALSE)</f>
        <v>0</v>
      </c>
      <c r="P95" s="14">
        <f t="shared" ref="P95:P121" si="40">O95/2</f>
        <v>0</v>
      </c>
      <c r="Q95" s="26">
        <f>VLOOKUP(N95,'TB - Expense Data'!$H$3:$N$758,7,FALSE)</f>
        <v>0</v>
      </c>
      <c r="R95" s="92">
        <f t="shared" ref="R95:R121" si="41">Q95-P95</f>
        <v>0</v>
      </c>
      <c r="S95" s="48" t="str">
        <f t="shared" ref="S95:S121" si="42">IF(AND(P95&lt;&gt;0,R95&lt;&gt;0,ISNUMBER(P95),ISNUMBER(R95)),R95/P95,"-    ")</f>
        <v xml:space="preserve">-    </v>
      </c>
      <c r="T95" s="131" t="s">
        <v>376</v>
      </c>
      <c r="U95" s="156">
        <f>VLOOKUP(T95,'TB - Expense Data'!$H$3:$N$758,3,FALSE)</f>
        <v>2750</v>
      </c>
      <c r="V95" s="14">
        <f t="shared" ref="V95:V121" si="43">U95/2</f>
        <v>1375</v>
      </c>
      <c r="W95" s="26">
        <f>VLOOKUP(T95,'TB - Expense Data'!$H$3:$N$758,7,FALSE)</f>
        <v>1179.8699999999999</v>
      </c>
      <c r="X95" s="92">
        <f t="shared" ref="X95:X121" si="44">W95-V95</f>
        <v>-195.13000000000011</v>
      </c>
      <c r="Y95" s="48">
        <f t="shared" ref="Y95:Y121" si="45">IF(AND(V95&lt;&gt;0,X95&lt;&gt;0,ISNUMBER(V95),ISNUMBER(X95)),X95/V95,"-    ")</f>
        <v>-0.14191272727272736</v>
      </c>
      <c r="Z95" s="156">
        <f t="shared" ref="Z95:Z121" si="46">C95+I95+O95+U95</f>
        <v>2750</v>
      </c>
      <c r="AA95" s="14">
        <f t="shared" ref="AA95:AA121" si="47">D95+J95+P95+V95</f>
        <v>1375</v>
      </c>
      <c r="AB95" s="14">
        <f t="shared" ref="AB95:AB121" si="48">E95+K95+Q95+W95</f>
        <v>1179.8699999999999</v>
      </c>
      <c r="AC95" s="92">
        <f t="shared" ref="AC95:AC121" si="49">AB95-AA95</f>
        <v>-195.13000000000011</v>
      </c>
      <c r="AD95" s="48">
        <f t="shared" ref="AD95:AD121" si="50">IF(AND(AA95&lt;&gt;0,AC95&lt;&gt;0,ISNUMBER(AA95),ISNUMBER(AC95)),AC95/AA95,"-    ")</f>
        <v>-0.14191272727272736</v>
      </c>
    </row>
    <row r="96" spans="1:30" hidden="1" x14ac:dyDescent="0.25">
      <c r="A96" s="13" t="s">
        <v>1030</v>
      </c>
      <c r="B96" s="131" t="s">
        <v>979</v>
      </c>
      <c r="C96" s="156">
        <f>VLOOKUP(B96,'TB - Expense Data'!$H$3:$N$758,3,FALSE)</f>
        <v>0</v>
      </c>
      <c r="D96" s="14">
        <f t="shared" si="34"/>
        <v>0</v>
      </c>
      <c r="E96" s="26">
        <f>VLOOKUP(B96,'TB - Expense Data'!$H$3:$N$758,7,FALSE)</f>
        <v>0</v>
      </c>
      <c r="F96" s="92">
        <f t="shared" si="35"/>
        <v>0</v>
      </c>
      <c r="G96" s="48" t="str">
        <f t="shared" si="36"/>
        <v xml:space="preserve">-    </v>
      </c>
      <c r="H96" s="131" t="s">
        <v>979</v>
      </c>
      <c r="I96" s="156">
        <f>VLOOKUP(H96,'TB - Expense Data'!$H$3:$N$758,3,FALSE)</f>
        <v>0</v>
      </c>
      <c r="J96" s="14">
        <f t="shared" si="37"/>
        <v>0</v>
      </c>
      <c r="K96" s="26">
        <f>VLOOKUP(H96,'TB - Expense Data'!$H$3:$N$758,7,FALSE)</f>
        <v>0</v>
      </c>
      <c r="L96" s="92">
        <f t="shared" si="38"/>
        <v>0</v>
      </c>
      <c r="M96" s="48" t="str">
        <f t="shared" si="39"/>
        <v xml:space="preserve">-    </v>
      </c>
      <c r="N96" s="131" t="s">
        <v>979</v>
      </c>
      <c r="O96" s="156">
        <f>VLOOKUP(N96,'TB - Expense Data'!$H$3:$N$758,3,FALSE)</f>
        <v>0</v>
      </c>
      <c r="P96" s="14">
        <f t="shared" si="40"/>
        <v>0</v>
      </c>
      <c r="Q96" s="26">
        <f>VLOOKUP(N96,'TB - Expense Data'!$H$3:$N$758,7,FALSE)</f>
        <v>0</v>
      </c>
      <c r="R96" s="92">
        <f t="shared" si="41"/>
        <v>0</v>
      </c>
      <c r="S96" s="48" t="str">
        <f t="shared" si="42"/>
        <v xml:space="preserve">-    </v>
      </c>
      <c r="T96" s="131" t="s">
        <v>938</v>
      </c>
      <c r="U96" s="156">
        <f>VLOOKUP(T96,'TB - Expense Data'!$H$3:$N$758,3,FALSE)</f>
        <v>0</v>
      </c>
      <c r="V96" s="14">
        <f t="shared" si="43"/>
        <v>0</v>
      </c>
      <c r="W96" s="26">
        <f>VLOOKUP(T96,'TB - Expense Data'!$H$3:$N$758,7,FALSE)</f>
        <v>0</v>
      </c>
      <c r="X96" s="92">
        <f t="shared" si="44"/>
        <v>0</v>
      </c>
      <c r="Y96" s="48" t="str">
        <f t="shared" si="45"/>
        <v xml:space="preserve">-    </v>
      </c>
      <c r="Z96" s="156">
        <f t="shared" si="46"/>
        <v>0</v>
      </c>
      <c r="AA96" s="14">
        <f t="shared" si="47"/>
        <v>0</v>
      </c>
      <c r="AB96" s="14">
        <f t="shared" si="48"/>
        <v>0</v>
      </c>
      <c r="AC96" s="92">
        <f t="shared" si="49"/>
        <v>0</v>
      </c>
      <c r="AD96" s="48" t="str">
        <f t="shared" si="50"/>
        <v xml:space="preserve">-    </v>
      </c>
    </row>
    <row r="97" spans="1:30" ht="15.75" hidden="1" customHeight="1" outlineLevel="1" x14ac:dyDescent="0.25">
      <c r="A97" s="536" t="s">
        <v>1031</v>
      </c>
      <c r="B97" s="537" t="s">
        <v>979</v>
      </c>
      <c r="C97" s="556">
        <f>VLOOKUP(B97,'TB - Expense Data'!$H$3:$N$758,3,FALSE)</f>
        <v>0</v>
      </c>
      <c r="D97" s="538">
        <f t="shared" si="34"/>
        <v>0</v>
      </c>
      <c r="E97" s="538">
        <f>VLOOKUP(B97,'TB - Expense Data'!$H$3:$N$758,7,FALSE)</f>
        <v>0</v>
      </c>
      <c r="F97" s="539">
        <f t="shared" si="35"/>
        <v>0</v>
      </c>
      <c r="G97" s="540" t="str">
        <f t="shared" si="36"/>
        <v xml:space="preserve">-    </v>
      </c>
      <c r="H97" s="537" t="s">
        <v>979</v>
      </c>
      <c r="I97" s="556">
        <f>VLOOKUP(H97,'TB - Expense Data'!$H$3:$N$758,3,FALSE)</f>
        <v>0</v>
      </c>
      <c r="J97" s="538">
        <f t="shared" si="37"/>
        <v>0</v>
      </c>
      <c r="K97" s="538">
        <f>VLOOKUP(H97,'TB - Expense Data'!$H$3:$N$758,7,FALSE)</f>
        <v>0</v>
      </c>
      <c r="L97" s="539">
        <f t="shared" si="38"/>
        <v>0</v>
      </c>
      <c r="M97" s="540" t="str">
        <f t="shared" si="39"/>
        <v xml:space="preserve">-    </v>
      </c>
      <c r="N97" s="537" t="s">
        <v>979</v>
      </c>
      <c r="O97" s="556">
        <f>VLOOKUP(N97,'TB - Expense Data'!$H$3:$N$758,3,FALSE)</f>
        <v>0</v>
      </c>
      <c r="P97" s="538">
        <f t="shared" si="40"/>
        <v>0</v>
      </c>
      <c r="Q97" s="538">
        <f>VLOOKUP(N97,'TB - Expense Data'!$H$3:$N$758,7,FALSE)</f>
        <v>0</v>
      </c>
      <c r="R97" s="539">
        <f t="shared" si="41"/>
        <v>0</v>
      </c>
      <c r="S97" s="540" t="str">
        <f t="shared" si="42"/>
        <v xml:space="preserve">-    </v>
      </c>
      <c r="T97" s="537" t="s">
        <v>377</v>
      </c>
      <c r="U97" s="556">
        <f>VLOOKUP(T97,'TB - Expense Data'!$H$3:$N$758,3,FALSE)</f>
        <v>0</v>
      </c>
      <c r="V97" s="538">
        <f t="shared" si="43"/>
        <v>0</v>
      </c>
      <c r="W97" s="538">
        <f>VLOOKUP(T97,'TB - Expense Data'!$H$3:$N$758,7,FALSE)</f>
        <v>0</v>
      </c>
      <c r="X97" s="539">
        <f t="shared" si="44"/>
        <v>0</v>
      </c>
      <c r="Y97" s="540" t="str">
        <f t="shared" si="45"/>
        <v xml:space="preserve">-    </v>
      </c>
      <c r="Z97" s="556">
        <f t="shared" si="46"/>
        <v>0</v>
      </c>
      <c r="AA97" s="538">
        <f t="shared" si="47"/>
        <v>0</v>
      </c>
      <c r="AB97" s="538">
        <f t="shared" si="48"/>
        <v>0</v>
      </c>
      <c r="AC97" s="539">
        <f t="shared" si="49"/>
        <v>0</v>
      </c>
      <c r="AD97" s="540" t="str">
        <f t="shared" si="50"/>
        <v xml:space="preserve">-    </v>
      </c>
    </row>
    <row r="98" spans="1:30" collapsed="1" x14ac:dyDescent="0.25">
      <c r="A98" s="13" t="s">
        <v>1032</v>
      </c>
      <c r="B98" s="131" t="s">
        <v>979</v>
      </c>
      <c r="C98" s="156">
        <f>VLOOKUP(B98,'TB - Expense Data'!$H$3:$N$758,3,FALSE)</f>
        <v>0</v>
      </c>
      <c r="D98" s="14">
        <f t="shared" si="34"/>
        <v>0</v>
      </c>
      <c r="E98" s="26">
        <f>VLOOKUP(B98,'TB - Expense Data'!$H$3:$N$758,7,FALSE)</f>
        <v>0</v>
      </c>
      <c r="F98" s="92">
        <f t="shared" si="35"/>
        <v>0</v>
      </c>
      <c r="G98" s="48" t="str">
        <f t="shared" si="36"/>
        <v xml:space="preserve">-    </v>
      </c>
      <c r="H98" s="131" t="s">
        <v>979</v>
      </c>
      <c r="I98" s="156">
        <f>VLOOKUP(H98,'TB - Expense Data'!$H$3:$N$758,3,FALSE)</f>
        <v>0</v>
      </c>
      <c r="J98" s="14">
        <f t="shared" si="37"/>
        <v>0</v>
      </c>
      <c r="K98" s="26">
        <f>VLOOKUP(H98,'TB - Expense Data'!$H$3:$N$758,7,FALSE)</f>
        <v>0</v>
      </c>
      <c r="L98" s="92">
        <f t="shared" si="38"/>
        <v>0</v>
      </c>
      <c r="M98" s="48" t="str">
        <f t="shared" si="39"/>
        <v xml:space="preserve">-    </v>
      </c>
      <c r="N98" s="131" t="s">
        <v>979</v>
      </c>
      <c r="O98" s="156">
        <f>VLOOKUP(N98,'TB - Expense Data'!$H$3:$N$758,3,FALSE)</f>
        <v>0</v>
      </c>
      <c r="P98" s="14">
        <f t="shared" si="40"/>
        <v>0</v>
      </c>
      <c r="Q98" s="26">
        <f>VLOOKUP(N98,'TB - Expense Data'!$H$3:$N$758,7,FALSE)</f>
        <v>0</v>
      </c>
      <c r="R98" s="92">
        <f t="shared" si="41"/>
        <v>0</v>
      </c>
      <c r="S98" s="48" t="str">
        <f t="shared" si="42"/>
        <v xml:space="preserve">-    </v>
      </c>
      <c r="T98" s="131" t="s">
        <v>378</v>
      </c>
      <c r="U98" s="156">
        <f>VLOOKUP(T98,'TB - Expense Data'!$H$3:$N$758,3,FALSE)</f>
        <v>500</v>
      </c>
      <c r="V98" s="14">
        <f t="shared" si="43"/>
        <v>250</v>
      </c>
      <c r="W98" s="26">
        <f>VLOOKUP(T98,'TB - Expense Data'!$H$3:$N$758,7,FALSE)</f>
        <v>241</v>
      </c>
      <c r="X98" s="92">
        <f t="shared" si="44"/>
        <v>-9</v>
      </c>
      <c r="Y98" s="48">
        <f t="shared" si="45"/>
        <v>-3.5999999999999997E-2</v>
      </c>
      <c r="Z98" s="156">
        <f t="shared" si="46"/>
        <v>500</v>
      </c>
      <c r="AA98" s="14">
        <f t="shared" si="47"/>
        <v>250</v>
      </c>
      <c r="AB98" s="14">
        <f t="shared" si="48"/>
        <v>241</v>
      </c>
      <c r="AC98" s="92">
        <f t="shared" si="49"/>
        <v>-9</v>
      </c>
      <c r="AD98" s="48">
        <f t="shared" si="50"/>
        <v>-3.5999999999999997E-2</v>
      </c>
    </row>
    <row r="99" spans="1:30" x14ac:dyDescent="0.25">
      <c r="A99" s="13" t="s">
        <v>1033</v>
      </c>
      <c r="B99" s="131" t="s">
        <v>979</v>
      </c>
      <c r="C99" s="156">
        <f>VLOOKUP(B99,'TB - Expense Data'!$H$3:$N$758,3,FALSE)</f>
        <v>0</v>
      </c>
      <c r="D99" s="14">
        <f t="shared" si="34"/>
        <v>0</v>
      </c>
      <c r="E99" s="26">
        <f>VLOOKUP(B99,'TB - Expense Data'!$H$3:$N$758,7,FALSE)</f>
        <v>0</v>
      </c>
      <c r="F99" s="92">
        <f t="shared" si="35"/>
        <v>0</v>
      </c>
      <c r="G99" s="48" t="str">
        <f t="shared" si="36"/>
        <v xml:space="preserve">-    </v>
      </c>
      <c r="H99" s="131" t="s">
        <v>979</v>
      </c>
      <c r="I99" s="156">
        <f>VLOOKUP(H99,'TB - Expense Data'!$H$3:$N$758,3,FALSE)</f>
        <v>0</v>
      </c>
      <c r="J99" s="14">
        <f t="shared" si="37"/>
        <v>0</v>
      </c>
      <c r="K99" s="26">
        <f>VLOOKUP(H99,'TB - Expense Data'!$H$3:$N$758,7,FALSE)</f>
        <v>0</v>
      </c>
      <c r="L99" s="92">
        <f t="shared" si="38"/>
        <v>0</v>
      </c>
      <c r="M99" s="48" t="str">
        <f t="shared" si="39"/>
        <v xml:space="preserve">-    </v>
      </c>
      <c r="N99" s="131" t="s">
        <v>979</v>
      </c>
      <c r="O99" s="156">
        <f>VLOOKUP(N99,'TB - Expense Data'!$H$3:$N$758,3,FALSE)</f>
        <v>0</v>
      </c>
      <c r="P99" s="14">
        <f t="shared" si="40"/>
        <v>0</v>
      </c>
      <c r="Q99" s="26">
        <f>VLOOKUP(N99,'TB - Expense Data'!$H$3:$N$758,7,FALSE)</f>
        <v>0</v>
      </c>
      <c r="R99" s="92">
        <f t="shared" si="41"/>
        <v>0</v>
      </c>
      <c r="S99" s="48" t="str">
        <f t="shared" si="42"/>
        <v xml:space="preserve">-    </v>
      </c>
      <c r="T99" s="131" t="s">
        <v>379</v>
      </c>
      <c r="U99" s="156">
        <f>VLOOKUP(T99,'TB - Expense Data'!$H$3:$N$758,3,FALSE)</f>
        <v>2250</v>
      </c>
      <c r="V99" s="14">
        <f t="shared" si="43"/>
        <v>1125</v>
      </c>
      <c r="W99" s="26">
        <f>VLOOKUP(T99,'TB - Expense Data'!$H$3:$N$758,7,FALSE)</f>
        <v>938.74</v>
      </c>
      <c r="X99" s="92">
        <f t="shared" si="44"/>
        <v>-186.26</v>
      </c>
      <c r="Y99" s="48">
        <f t="shared" si="45"/>
        <v>-0.16556444444444443</v>
      </c>
      <c r="Z99" s="156">
        <f t="shared" si="46"/>
        <v>2250</v>
      </c>
      <c r="AA99" s="14">
        <f t="shared" si="47"/>
        <v>1125</v>
      </c>
      <c r="AB99" s="14">
        <f t="shared" si="48"/>
        <v>938.74</v>
      </c>
      <c r="AC99" s="92">
        <f t="shared" si="49"/>
        <v>-186.26</v>
      </c>
      <c r="AD99" s="48">
        <f t="shared" si="50"/>
        <v>-0.16556444444444443</v>
      </c>
    </row>
    <row r="100" spans="1:30" x14ac:dyDescent="0.25">
      <c r="A100" s="13" t="s">
        <v>1034</v>
      </c>
      <c r="B100" s="131" t="s">
        <v>979</v>
      </c>
      <c r="C100" s="156">
        <f>VLOOKUP(B100,'TB - Expense Data'!$H$3:$N$758,3,FALSE)</f>
        <v>0</v>
      </c>
      <c r="D100" s="14">
        <f t="shared" si="34"/>
        <v>0</v>
      </c>
      <c r="E100" s="26">
        <f>VLOOKUP(B100,'TB - Expense Data'!$H$3:$N$758,7,FALSE)</f>
        <v>0</v>
      </c>
      <c r="F100" s="92">
        <f t="shared" si="35"/>
        <v>0</v>
      </c>
      <c r="G100" s="48" t="str">
        <f t="shared" si="36"/>
        <v xml:space="preserve">-    </v>
      </c>
      <c r="H100" s="131" t="s">
        <v>979</v>
      </c>
      <c r="I100" s="156">
        <f>VLOOKUP(H100,'TB - Expense Data'!$H$3:$N$758,3,FALSE)</f>
        <v>0</v>
      </c>
      <c r="J100" s="14">
        <f t="shared" si="37"/>
        <v>0</v>
      </c>
      <c r="K100" s="26">
        <f>VLOOKUP(H100,'TB - Expense Data'!$H$3:$N$758,7,FALSE)</f>
        <v>0</v>
      </c>
      <c r="L100" s="92">
        <f t="shared" si="38"/>
        <v>0</v>
      </c>
      <c r="M100" s="48" t="str">
        <f t="shared" si="39"/>
        <v xml:space="preserve">-    </v>
      </c>
      <c r="N100" s="131" t="s">
        <v>979</v>
      </c>
      <c r="O100" s="156">
        <f>VLOOKUP(N100,'TB - Expense Data'!$H$3:$N$758,3,FALSE)</f>
        <v>0</v>
      </c>
      <c r="P100" s="14">
        <f t="shared" si="40"/>
        <v>0</v>
      </c>
      <c r="Q100" s="26">
        <f>VLOOKUP(N100,'TB - Expense Data'!$H$3:$N$758,7,FALSE)</f>
        <v>0</v>
      </c>
      <c r="R100" s="92">
        <f t="shared" si="41"/>
        <v>0</v>
      </c>
      <c r="S100" s="48" t="str">
        <f t="shared" si="42"/>
        <v xml:space="preserve">-    </v>
      </c>
      <c r="T100" s="131" t="s">
        <v>380</v>
      </c>
      <c r="U100" s="156">
        <f>VLOOKUP(T100,'TB - Expense Data'!$H$3:$N$758,3,FALSE)</f>
        <v>500</v>
      </c>
      <c r="V100" s="14">
        <f t="shared" si="43"/>
        <v>250</v>
      </c>
      <c r="W100" s="26">
        <f>VLOOKUP(T100,'TB - Expense Data'!$H$3:$N$758,7,FALSE)</f>
        <v>241</v>
      </c>
      <c r="X100" s="92">
        <f t="shared" si="44"/>
        <v>-9</v>
      </c>
      <c r="Y100" s="48">
        <f t="shared" si="45"/>
        <v>-3.5999999999999997E-2</v>
      </c>
      <c r="Z100" s="156">
        <f t="shared" si="46"/>
        <v>500</v>
      </c>
      <c r="AA100" s="14">
        <f t="shared" si="47"/>
        <v>250</v>
      </c>
      <c r="AB100" s="14">
        <f t="shared" si="48"/>
        <v>241</v>
      </c>
      <c r="AC100" s="92">
        <f t="shared" si="49"/>
        <v>-9</v>
      </c>
      <c r="AD100" s="48">
        <f t="shared" si="50"/>
        <v>-3.5999999999999997E-2</v>
      </c>
    </row>
    <row r="101" spans="1:30" x14ac:dyDescent="0.25">
      <c r="A101" s="13" t="s">
        <v>1035</v>
      </c>
      <c r="B101" s="131" t="s">
        <v>979</v>
      </c>
      <c r="C101" s="156">
        <f>VLOOKUP(B101,'TB - Expense Data'!$H$3:$N$758,3,FALSE)</f>
        <v>0</v>
      </c>
      <c r="D101" s="14">
        <f t="shared" si="34"/>
        <v>0</v>
      </c>
      <c r="E101" s="26">
        <f>VLOOKUP(B101,'TB - Expense Data'!$H$3:$N$758,7,FALSE)</f>
        <v>0</v>
      </c>
      <c r="F101" s="92">
        <f t="shared" si="35"/>
        <v>0</v>
      </c>
      <c r="G101" s="48" t="str">
        <f t="shared" si="36"/>
        <v xml:space="preserve">-    </v>
      </c>
      <c r="H101" s="131" t="s">
        <v>979</v>
      </c>
      <c r="I101" s="156">
        <f>VLOOKUP(H101,'TB - Expense Data'!$H$3:$N$758,3,FALSE)</f>
        <v>0</v>
      </c>
      <c r="J101" s="14">
        <f t="shared" si="37"/>
        <v>0</v>
      </c>
      <c r="K101" s="26">
        <f>VLOOKUP(H101,'TB - Expense Data'!$H$3:$N$758,7,FALSE)</f>
        <v>0</v>
      </c>
      <c r="L101" s="92">
        <f t="shared" si="38"/>
        <v>0</v>
      </c>
      <c r="M101" s="48" t="str">
        <f t="shared" si="39"/>
        <v xml:space="preserve">-    </v>
      </c>
      <c r="N101" s="131" t="s">
        <v>979</v>
      </c>
      <c r="O101" s="156">
        <f>VLOOKUP(N101,'TB - Expense Data'!$H$3:$N$758,3,FALSE)</f>
        <v>0</v>
      </c>
      <c r="P101" s="14">
        <f t="shared" si="40"/>
        <v>0</v>
      </c>
      <c r="Q101" s="26">
        <f>VLOOKUP(N101,'TB - Expense Data'!$H$3:$N$758,7,FALSE)</f>
        <v>0</v>
      </c>
      <c r="R101" s="92">
        <f t="shared" si="41"/>
        <v>0</v>
      </c>
      <c r="S101" s="48" t="str">
        <f t="shared" si="42"/>
        <v xml:space="preserve">-    </v>
      </c>
      <c r="T101" s="131" t="s">
        <v>381</v>
      </c>
      <c r="U101" s="156">
        <f>VLOOKUP(T101,'TB - Expense Data'!$H$3:$N$758,3,FALSE)</f>
        <v>2750</v>
      </c>
      <c r="V101" s="14">
        <f t="shared" si="43"/>
        <v>1375</v>
      </c>
      <c r="W101" s="26">
        <f>VLOOKUP(T101,'TB - Expense Data'!$H$3:$N$758,7,FALSE)</f>
        <v>1202.8900000000001</v>
      </c>
      <c r="X101" s="92">
        <f t="shared" si="44"/>
        <v>-172.1099999999999</v>
      </c>
      <c r="Y101" s="48">
        <f t="shared" si="45"/>
        <v>-0.12517090909090903</v>
      </c>
      <c r="Z101" s="156">
        <f t="shared" si="46"/>
        <v>2750</v>
      </c>
      <c r="AA101" s="14">
        <f t="shared" si="47"/>
        <v>1375</v>
      </c>
      <c r="AB101" s="14">
        <f t="shared" si="48"/>
        <v>1202.8900000000001</v>
      </c>
      <c r="AC101" s="92">
        <f t="shared" si="49"/>
        <v>-172.1099999999999</v>
      </c>
      <c r="AD101" s="48">
        <f t="shared" si="50"/>
        <v>-0.12517090909090903</v>
      </c>
    </row>
    <row r="102" spans="1:30" x14ac:dyDescent="0.25">
      <c r="A102" s="13" t="s">
        <v>1036</v>
      </c>
      <c r="B102" s="131" t="s">
        <v>979</v>
      </c>
      <c r="C102" s="156">
        <f>VLOOKUP(B102,'TB - Expense Data'!$H$3:$N$758,3,FALSE)</f>
        <v>0</v>
      </c>
      <c r="D102" s="14">
        <f t="shared" si="34"/>
        <v>0</v>
      </c>
      <c r="E102" s="26">
        <f>VLOOKUP(B102,'TB - Expense Data'!$H$3:$N$758,7,FALSE)</f>
        <v>0</v>
      </c>
      <c r="F102" s="92">
        <f t="shared" si="35"/>
        <v>0</v>
      </c>
      <c r="G102" s="48" t="str">
        <f t="shared" si="36"/>
        <v xml:space="preserve">-    </v>
      </c>
      <c r="H102" s="131" t="s">
        <v>979</v>
      </c>
      <c r="I102" s="156">
        <f>VLOOKUP(H102,'TB - Expense Data'!$H$3:$N$758,3,FALSE)</f>
        <v>0</v>
      </c>
      <c r="J102" s="14">
        <f t="shared" si="37"/>
        <v>0</v>
      </c>
      <c r="K102" s="26">
        <f>VLOOKUP(H102,'TB - Expense Data'!$H$3:$N$758,7,FALSE)</f>
        <v>0</v>
      </c>
      <c r="L102" s="92">
        <f t="shared" si="38"/>
        <v>0</v>
      </c>
      <c r="M102" s="48" t="str">
        <f t="shared" si="39"/>
        <v xml:space="preserve">-    </v>
      </c>
      <c r="N102" s="131" t="s">
        <v>979</v>
      </c>
      <c r="O102" s="156">
        <f>VLOOKUP(N102,'TB - Expense Data'!$H$3:$N$758,3,FALSE)</f>
        <v>0</v>
      </c>
      <c r="P102" s="14">
        <f t="shared" si="40"/>
        <v>0</v>
      </c>
      <c r="Q102" s="26">
        <f>VLOOKUP(N102,'TB - Expense Data'!$H$3:$N$758,7,FALSE)</f>
        <v>0</v>
      </c>
      <c r="R102" s="92">
        <f t="shared" si="41"/>
        <v>0</v>
      </c>
      <c r="S102" s="48" t="str">
        <f t="shared" si="42"/>
        <v xml:space="preserve">-    </v>
      </c>
      <c r="T102" s="131" t="s">
        <v>382</v>
      </c>
      <c r="U102" s="156">
        <f>VLOOKUP(T102,'TB - Expense Data'!$H$3:$N$758,3,FALSE)</f>
        <v>500</v>
      </c>
      <c r="V102" s="14">
        <f t="shared" si="43"/>
        <v>250</v>
      </c>
      <c r="W102" s="26">
        <f>VLOOKUP(T102,'TB - Expense Data'!$H$3:$N$758,7,FALSE)</f>
        <v>241</v>
      </c>
      <c r="X102" s="92">
        <f t="shared" si="44"/>
        <v>-9</v>
      </c>
      <c r="Y102" s="48">
        <f t="shared" si="45"/>
        <v>-3.5999999999999997E-2</v>
      </c>
      <c r="Z102" s="156">
        <f t="shared" si="46"/>
        <v>500</v>
      </c>
      <c r="AA102" s="14">
        <f t="shared" si="47"/>
        <v>250</v>
      </c>
      <c r="AB102" s="14">
        <f t="shared" si="48"/>
        <v>241</v>
      </c>
      <c r="AC102" s="92">
        <f t="shared" si="49"/>
        <v>-9</v>
      </c>
      <c r="AD102" s="48">
        <f t="shared" si="50"/>
        <v>-3.5999999999999997E-2</v>
      </c>
    </row>
    <row r="103" spans="1:30" x14ac:dyDescent="0.25">
      <c r="A103" s="13" t="s">
        <v>1037</v>
      </c>
      <c r="B103" s="131" t="s">
        <v>979</v>
      </c>
      <c r="C103" s="156">
        <f>VLOOKUP(B103,'TB - Expense Data'!$H$3:$N$758,3,FALSE)</f>
        <v>0</v>
      </c>
      <c r="D103" s="14">
        <f t="shared" si="34"/>
        <v>0</v>
      </c>
      <c r="E103" s="26">
        <f>VLOOKUP(B103,'TB - Expense Data'!$H$3:$N$758,7,FALSE)</f>
        <v>0</v>
      </c>
      <c r="F103" s="92">
        <f t="shared" si="35"/>
        <v>0</v>
      </c>
      <c r="G103" s="48" t="str">
        <f t="shared" si="36"/>
        <v xml:space="preserve">-    </v>
      </c>
      <c r="H103" s="131" t="s">
        <v>979</v>
      </c>
      <c r="I103" s="156">
        <f>VLOOKUP(H103,'TB - Expense Data'!$H$3:$N$758,3,FALSE)</f>
        <v>0</v>
      </c>
      <c r="J103" s="14">
        <f t="shared" si="37"/>
        <v>0</v>
      </c>
      <c r="K103" s="26">
        <f>VLOOKUP(H103,'TB - Expense Data'!$H$3:$N$758,7,FALSE)</f>
        <v>0</v>
      </c>
      <c r="L103" s="92">
        <f t="shared" si="38"/>
        <v>0</v>
      </c>
      <c r="M103" s="48" t="str">
        <f t="shared" si="39"/>
        <v xml:space="preserve">-    </v>
      </c>
      <c r="N103" s="131" t="s">
        <v>979</v>
      </c>
      <c r="O103" s="156">
        <f>VLOOKUP(N103,'TB - Expense Data'!$H$3:$N$758,3,FALSE)</f>
        <v>0</v>
      </c>
      <c r="P103" s="14">
        <f t="shared" si="40"/>
        <v>0</v>
      </c>
      <c r="Q103" s="26">
        <f>VLOOKUP(N103,'TB - Expense Data'!$H$3:$N$758,7,FALSE)</f>
        <v>0</v>
      </c>
      <c r="R103" s="92">
        <f t="shared" si="41"/>
        <v>0</v>
      </c>
      <c r="S103" s="48" t="str">
        <f t="shared" si="42"/>
        <v xml:space="preserve">-    </v>
      </c>
      <c r="T103" s="131" t="s">
        <v>383</v>
      </c>
      <c r="U103" s="156">
        <f>VLOOKUP(T103,'TB - Expense Data'!$H$3:$N$758,3,FALSE)</f>
        <v>4200</v>
      </c>
      <c r="V103" s="14">
        <f t="shared" si="43"/>
        <v>2100</v>
      </c>
      <c r="W103" s="26">
        <f>VLOOKUP(T103,'TB - Expense Data'!$H$3:$N$758,7,FALSE)</f>
        <v>2173.9299999999998</v>
      </c>
      <c r="X103" s="92">
        <f t="shared" si="44"/>
        <v>73.929999999999836</v>
      </c>
      <c r="Y103" s="48">
        <f t="shared" si="45"/>
        <v>3.5204761904761829E-2</v>
      </c>
      <c r="Z103" s="156">
        <f t="shared" si="46"/>
        <v>4200</v>
      </c>
      <c r="AA103" s="14">
        <f t="shared" si="47"/>
        <v>2100</v>
      </c>
      <c r="AB103" s="14">
        <f t="shared" si="48"/>
        <v>2173.9299999999998</v>
      </c>
      <c r="AC103" s="92">
        <f t="shared" si="49"/>
        <v>73.929999999999836</v>
      </c>
      <c r="AD103" s="48">
        <f t="shared" si="50"/>
        <v>3.5204761904761829E-2</v>
      </c>
    </row>
    <row r="104" spans="1:30" x14ac:dyDescent="0.25">
      <c r="A104" s="13" t="s">
        <v>1038</v>
      </c>
      <c r="B104" s="131" t="s">
        <v>979</v>
      </c>
      <c r="C104" s="156">
        <f>VLOOKUP(B104,'TB - Expense Data'!$H$3:$N$758,3,FALSE)</f>
        <v>0</v>
      </c>
      <c r="D104" s="14">
        <f t="shared" si="34"/>
        <v>0</v>
      </c>
      <c r="E104" s="26">
        <f>VLOOKUP(B104,'TB - Expense Data'!$H$3:$N$758,7,FALSE)</f>
        <v>0</v>
      </c>
      <c r="F104" s="92">
        <f t="shared" si="35"/>
        <v>0</v>
      </c>
      <c r="G104" s="48" t="str">
        <f t="shared" si="36"/>
        <v xml:space="preserve">-    </v>
      </c>
      <c r="H104" s="131" t="s">
        <v>979</v>
      </c>
      <c r="I104" s="156">
        <f>VLOOKUP(H104,'TB - Expense Data'!$H$3:$N$758,3,FALSE)</f>
        <v>0</v>
      </c>
      <c r="J104" s="14">
        <f t="shared" si="37"/>
        <v>0</v>
      </c>
      <c r="K104" s="26">
        <f>VLOOKUP(H104,'TB - Expense Data'!$H$3:$N$758,7,FALSE)</f>
        <v>0</v>
      </c>
      <c r="L104" s="92">
        <f t="shared" si="38"/>
        <v>0</v>
      </c>
      <c r="M104" s="48" t="str">
        <f t="shared" si="39"/>
        <v xml:space="preserve">-    </v>
      </c>
      <c r="N104" s="131" t="s">
        <v>979</v>
      </c>
      <c r="O104" s="156">
        <f>VLOOKUP(N104,'TB - Expense Data'!$H$3:$N$758,3,FALSE)</f>
        <v>0</v>
      </c>
      <c r="P104" s="14">
        <f t="shared" si="40"/>
        <v>0</v>
      </c>
      <c r="Q104" s="26">
        <f>VLOOKUP(N104,'TB - Expense Data'!$H$3:$N$758,7,FALSE)</f>
        <v>0</v>
      </c>
      <c r="R104" s="92">
        <f t="shared" si="41"/>
        <v>0</v>
      </c>
      <c r="S104" s="48" t="str">
        <f t="shared" si="42"/>
        <v xml:space="preserve">-    </v>
      </c>
      <c r="T104" s="131" t="s">
        <v>384</v>
      </c>
      <c r="U104" s="156">
        <f>VLOOKUP(T104,'TB - Expense Data'!$H$3:$N$758,3,FALSE)</f>
        <v>500</v>
      </c>
      <c r="V104" s="14">
        <f t="shared" si="43"/>
        <v>250</v>
      </c>
      <c r="W104" s="26">
        <f>VLOOKUP(T104,'TB - Expense Data'!$H$3:$N$758,7,FALSE)</f>
        <v>320</v>
      </c>
      <c r="X104" s="92">
        <f t="shared" si="44"/>
        <v>70</v>
      </c>
      <c r="Y104" s="48">
        <f t="shared" si="45"/>
        <v>0.28000000000000003</v>
      </c>
      <c r="Z104" s="156">
        <f t="shared" si="46"/>
        <v>500</v>
      </c>
      <c r="AA104" s="14">
        <f t="shared" si="47"/>
        <v>250</v>
      </c>
      <c r="AB104" s="14">
        <f t="shared" si="48"/>
        <v>320</v>
      </c>
      <c r="AC104" s="92">
        <f t="shared" si="49"/>
        <v>70</v>
      </c>
      <c r="AD104" s="48">
        <f t="shared" si="50"/>
        <v>0.28000000000000003</v>
      </c>
    </row>
    <row r="105" spans="1:30" x14ac:dyDescent="0.25">
      <c r="A105" s="13" t="s">
        <v>1039</v>
      </c>
      <c r="B105" s="131" t="s">
        <v>979</v>
      </c>
      <c r="C105" s="156">
        <f>VLOOKUP(B105,'TB - Expense Data'!$H$3:$N$758,3,FALSE)</f>
        <v>0</v>
      </c>
      <c r="D105" s="14">
        <f t="shared" si="34"/>
        <v>0</v>
      </c>
      <c r="E105" s="26">
        <f>VLOOKUP(B105,'TB - Expense Data'!$H$3:$N$758,7,FALSE)</f>
        <v>0</v>
      </c>
      <c r="F105" s="92">
        <f t="shared" si="35"/>
        <v>0</v>
      </c>
      <c r="G105" s="48" t="str">
        <f t="shared" si="36"/>
        <v xml:space="preserve">-    </v>
      </c>
      <c r="H105" s="131" t="s">
        <v>979</v>
      </c>
      <c r="I105" s="156">
        <f>VLOOKUP(H105,'TB - Expense Data'!$H$3:$N$758,3,FALSE)</f>
        <v>0</v>
      </c>
      <c r="J105" s="14">
        <f t="shared" si="37"/>
        <v>0</v>
      </c>
      <c r="K105" s="26">
        <f>VLOOKUP(H105,'TB - Expense Data'!$H$3:$N$758,7,FALSE)</f>
        <v>0</v>
      </c>
      <c r="L105" s="92">
        <f t="shared" si="38"/>
        <v>0</v>
      </c>
      <c r="M105" s="48" t="str">
        <f t="shared" si="39"/>
        <v xml:space="preserve">-    </v>
      </c>
      <c r="N105" s="131" t="s">
        <v>979</v>
      </c>
      <c r="O105" s="156">
        <f>VLOOKUP(N105,'TB - Expense Data'!$H$3:$N$758,3,FALSE)</f>
        <v>0</v>
      </c>
      <c r="P105" s="14">
        <f t="shared" si="40"/>
        <v>0</v>
      </c>
      <c r="Q105" s="26">
        <f>VLOOKUP(N105,'TB - Expense Data'!$H$3:$N$758,7,FALSE)</f>
        <v>0</v>
      </c>
      <c r="R105" s="92">
        <f t="shared" si="41"/>
        <v>0</v>
      </c>
      <c r="S105" s="48" t="str">
        <f t="shared" si="42"/>
        <v xml:space="preserve">-    </v>
      </c>
      <c r="T105" s="131" t="s">
        <v>385</v>
      </c>
      <c r="U105" s="156">
        <f>VLOOKUP(T105,'TB - Expense Data'!$H$3:$N$758,3,FALSE)</f>
        <v>1850</v>
      </c>
      <c r="V105" s="14">
        <f t="shared" si="43"/>
        <v>925</v>
      </c>
      <c r="W105" s="26">
        <f>VLOOKUP(T105,'TB - Expense Data'!$H$3:$N$758,7,FALSE)</f>
        <v>923.46</v>
      </c>
      <c r="X105" s="92">
        <f t="shared" si="44"/>
        <v>-1.5399999999999636</v>
      </c>
      <c r="Y105" s="48">
        <f t="shared" si="45"/>
        <v>-1.6648648648648254E-3</v>
      </c>
      <c r="Z105" s="156">
        <f t="shared" si="46"/>
        <v>1850</v>
      </c>
      <c r="AA105" s="14">
        <f t="shared" si="47"/>
        <v>925</v>
      </c>
      <c r="AB105" s="14">
        <f t="shared" si="48"/>
        <v>923.46</v>
      </c>
      <c r="AC105" s="92">
        <f t="shared" si="49"/>
        <v>-1.5399999999999636</v>
      </c>
      <c r="AD105" s="48">
        <f t="shared" si="50"/>
        <v>-1.6648648648648254E-3</v>
      </c>
    </row>
    <row r="106" spans="1:30" x14ac:dyDescent="0.25">
      <c r="A106" s="13" t="s">
        <v>1040</v>
      </c>
      <c r="B106" s="131" t="s">
        <v>979</v>
      </c>
      <c r="C106" s="156">
        <f>VLOOKUP(B106,'TB - Expense Data'!$H$3:$N$758,3,FALSE)</f>
        <v>0</v>
      </c>
      <c r="D106" s="14">
        <f t="shared" si="34"/>
        <v>0</v>
      </c>
      <c r="E106" s="26">
        <f>VLOOKUP(B106,'TB - Expense Data'!$H$3:$N$758,7,FALSE)</f>
        <v>0</v>
      </c>
      <c r="F106" s="92">
        <f t="shared" si="35"/>
        <v>0</v>
      </c>
      <c r="G106" s="48" t="str">
        <f t="shared" si="36"/>
        <v xml:space="preserve">-    </v>
      </c>
      <c r="H106" s="131" t="s">
        <v>979</v>
      </c>
      <c r="I106" s="156">
        <f>VLOOKUP(H106,'TB - Expense Data'!$H$3:$N$758,3,FALSE)</f>
        <v>0</v>
      </c>
      <c r="J106" s="14">
        <f t="shared" si="37"/>
        <v>0</v>
      </c>
      <c r="K106" s="26">
        <f>VLOOKUP(H106,'TB - Expense Data'!$H$3:$N$758,7,FALSE)</f>
        <v>0</v>
      </c>
      <c r="L106" s="92">
        <f t="shared" si="38"/>
        <v>0</v>
      </c>
      <c r="M106" s="48" t="str">
        <f t="shared" si="39"/>
        <v xml:space="preserve">-    </v>
      </c>
      <c r="N106" s="131" t="s">
        <v>979</v>
      </c>
      <c r="O106" s="156">
        <f>VLOOKUP(N106,'TB - Expense Data'!$H$3:$N$758,3,FALSE)</f>
        <v>0</v>
      </c>
      <c r="P106" s="14">
        <f t="shared" si="40"/>
        <v>0</v>
      </c>
      <c r="Q106" s="26">
        <f>VLOOKUP(N106,'TB - Expense Data'!$H$3:$N$758,7,FALSE)</f>
        <v>0</v>
      </c>
      <c r="R106" s="92">
        <f t="shared" si="41"/>
        <v>0</v>
      </c>
      <c r="S106" s="48" t="str">
        <f t="shared" si="42"/>
        <v xml:space="preserve">-    </v>
      </c>
      <c r="T106" s="131" t="s">
        <v>386</v>
      </c>
      <c r="U106" s="156">
        <f>VLOOKUP(T106,'TB - Expense Data'!$H$3:$N$758,3,FALSE)</f>
        <v>5250</v>
      </c>
      <c r="V106" s="14">
        <f t="shared" si="43"/>
        <v>2625</v>
      </c>
      <c r="W106" s="26">
        <f>VLOOKUP(T106,'TB - Expense Data'!$H$3:$N$758,7,FALSE)</f>
        <v>2215.13</v>
      </c>
      <c r="X106" s="92">
        <f t="shared" si="44"/>
        <v>-409.86999999999989</v>
      </c>
      <c r="Y106" s="48">
        <f t="shared" si="45"/>
        <v>-0.15614095238095235</v>
      </c>
      <c r="Z106" s="156">
        <f t="shared" si="46"/>
        <v>5250</v>
      </c>
      <c r="AA106" s="14">
        <f t="shared" si="47"/>
        <v>2625</v>
      </c>
      <c r="AB106" s="14">
        <f t="shared" si="48"/>
        <v>2215.13</v>
      </c>
      <c r="AC106" s="92">
        <f t="shared" si="49"/>
        <v>-409.86999999999989</v>
      </c>
      <c r="AD106" s="48">
        <f t="shared" si="50"/>
        <v>-0.15614095238095235</v>
      </c>
    </row>
    <row r="107" spans="1:30" x14ac:dyDescent="0.25">
      <c r="A107" s="13" t="s">
        <v>1041</v>
      </c>
      <c r="B107" s="131" t="s">
        <v>979</v>
      </c>
      <c r="C107" s="156">
        <f>VLOOKUP(B107,'TB - Expense Data'!$H$3:$N$758,3,FALSE)</f>
        <v>0</v>
      </c>
      <c r="D107" s="14">
        <f t="shared" si="34"/>
        <v>0</v>
      </c>
      <c r="E107" s="26">
        <f>VLOOKUP(B107,'TB - Expense Data'!$H$3:$N$758,7,FALSE)</f>
        <v>0</v>
      </c>
      <c r="F107" s="92">
        <f t="shared" si="35"/>
        <v>0</v>
      </c>
      <c r="G107" s="48" t="str">
        <f t="shared" si="36"/>
        <v xml:space="preserve">-    </v>
      </c>
      <c r="H107" s="131" t="s">
        <v>979</v>
      </c>
      <c r="I107" s="156">
        <f>VLOOKUP(H107,'TB - Expense Data'!$H$3:$N$758,3,FALSE)</f>
        <v>0</v>
      </c>
      <c r="J107" s="14">
        <f t="shared" si="37"/>
        <v>0</v>
      </c>
      <c r="K107" s="26">
        <f>VLOOKUP(H107,'TB - Expense Data'!$H$3:$N$758,7,FALSE)</f>
        <v>0</v>
      </c>
      <c r="L107" s="92">
        <f t="shared" si="38"/>
        <v>0</v>
      </c>
      <c r="M107" s="48" t="str">
        <f t="shared" si="39"/>
        <v xml:space="preserve">-    </v>
      </c>
      <c r="N107" s="131" t="s">
        <v>979</v>
      </c>
      <c r="O107" s="156">
        <f>VLOOKUP(N107,'TB - Expense Data'!$H$3:$N$758,3,FALSE)</f>
        <v>0</v>
      </c>
      <c r="P107" s="14">
        <f t="shared" si="40"/>
        <v>0</v>
      </c>
      <c r="Q107" s="26">
        <f>VLOOKUP(N107,'TB - Expense Data'!$H$3:$N$758,7,FALSE)</f>
        <v>0</v>
      </c>
      <c r="R107" s="92">
        <f t="shared" si="41"/>
        <v>0</v>
      </c>
      <c r="S107" s="48" t="str">
        <f t="shared" si="42"/>
        <v xml:space="preserve">-    </v>
      </c>
      <c r="T107" s="131" t="s">
        <v>387</v>
      </c>
      <c r="U107" s="156">
        <f>VLOOKUP(T107,'TB - Expense Data'!$H$3:$N$758,3,FALSE)</f>
        <v>8750</v>
      </c>
      <c r="V107" s="14">
        <f t="shared" si="43"/>
        <v>4375</v>
      </c>
      <c r="W107" s="26">
        <f>VLOOKUP(T107,'TB - Expense Data'!$H$3:$N$758,7,FALSE)</f>
        <v>3728.84</v>
      </c>
      <c r="X107" s="92">
        <f t="shared" si="44"/>
        <v>-646.15999999999985</v>
      </c>
      <c r="Y107" s="48">
        <f t="shared" si="45"/>
        <v>-0.14769371428571426</v>
      </c>
      <c r="Z107" s="156">
        <f t="shared" si="46"/>
        <v>8750</v>
      </c>
      <c r="AA107" s="14">
        <f t="shared" si="47"/>
        <v>4375</v>
      </c>
      <c r="AB107" s="14">
        <f t="shared" si="48"/>
        <v>3728.84</v>
      </c>
      <c r="AC107" s="92">
        <f t="shared" si="49"/>
        <v>-646.15999999999985</v>
      </c>
      <c r="AD107" s="48">
        <f t="shared" si="50"/>
        <v>-0.14769371428571426</v>
      </c>
    </row>
    <row r="108" spans="1:30" x14ac:dyDescent="0.25">
      <c r="A108" s="13" t="s">
        <v>1042</v>
      </c>
      <c r="B108" s="131" t="s">
        <v>979</v>
      </c>
      <c r="C108" s="156">
        <f>VLOOKUP(B108,'TB - Expense Data'!$H$3:$N$758,3,FALSE)</f>
        <v>0</v>
      </c>
      <c r="D108" s="14">
        <f t="shared" si="34"/>
        <v>0</v>
      </c>
      <c r="E108" s="26">
        <f>VLOOKUP(B108,'TB - Expense Data'!$H$3:$N$758,7,FALSE)</f>
        <v>0</v>
      </c>
      <c r="F108" s="92">
        <f t="shared" si="35"/>
        <v>0</v>
      </c>
      <c r="G108" s="48" t="str">
        <f t="shared" si="36"/>
        <v xml:space="preserve">-    </v>
      </c>
      <c r="H108" s="131" t="s">
        <v>979</v>
      </c>
      <c r="I108" s="156">
        <f>VLOOKUP(H108,'TB - Expense Data'!$H$3:$N$758,3,FALSE)</f>
        <v>0</v>
      </c>
      <c r="J108" s="14">
        <f t="shared" si="37"/>
        <v>0</v>
      </c>
      <c r="K108" s="26">
        <f>VLOOKUP(H108,'TB - Expense Data'!$H$3:$N$758,7,FALSE)</f>
        <v>0</v>
      </c>
      <c r="L108" s="92">
        <f t="shared" si="38"/>
        <v>0</v>
      </c>
      <c r="M108" s="48" t="str">
        <f t="shared" si="39"/>
        <v xml:space="preserve">-    </v>
      </c>
      <c r="N108" s="131" t="s">
        <v>979</v>
      </c>
      <c r="O108" s="156">
        <f>VLOOKUP(N108,'TB - Expense Data'!$H$3:$N$758,3,FALSE)</f>
        <v>0</v>
      </c>
      <c r="P108" s="14">
        <f t="shared" si="40"/>
        <v>0</v>
      </c>
      <c r="Q108" s="26">
        <f>VLOOKUP(N108,'TB - Expense Data'!$H$3:$N$758,7,FALSE)</f>
        <v>0</v>
      </c>
      <c r="R108" s="92">
        <f t="shared" si="41"/>
        <v>0</v>
      </c>
      <c r="S108" s="48" t="str">
        <f t="shared" si="42"/>
        <v xml:space="preserve">-    </v>
      </c>
      <c r="T108" s="131" t="s">
        <v>388</v>
      </c>
      <c r="U108" s="156">
        <f>VLOOKUP(T108,'TB - Expense Data'!$H$3:$N$758,3,FALSE)</f>
        <v>2000</v>
      </c>
      <c r="V108" s="14">
        <f t="shared" si="43"/>
        <v>1000</v>
      </c>
      <c r="W108" s="26">
        <f>VLOOKUP(T108,'TB - Expense Data'!$H$3:$N$758,7,FALSE)</f>
        <v>2004.65</v>
      </c>
      <c r="X108" s="92">
        <f t="shared" si="44"/>
        <v>1004.6500000000001</v>
      </c>
      <c r="Y108" s="48">
        <f t="shared" si="45"/>
        <v>1.00465</v>
      </c>
      <c r="Z108" s="156">
        <f t="shared" si="46"/>
        <v>2000</v>
      </c>
      <c r="AA108" s="14">
        <f t="shared" si="47"/>
        <v>1000</v>
      </c>
      <c r="AB108" s="14">
        <f t="shared" si="48"/>
        <v>2004.65</v>
      </c>
      <c r="AC108" s="92">
        <f t="shared" si="49"/>
        <v>1004.6500000000001</v>
      </c>
      <c r="AD108" s="48">
        <f t="shared" si="50"/>
        <v>1.00465</v>
      </c>
    </row>
    <row r="109" spans="1:30" x14ac:dyDescent="0.25">
      <c r="A109" s="13" t="s">
        <v>1043</v>
      </c>
      <c r="B109" s="131" t="s">
        <v>979</v>
      </c>
      <c r="C109" s="156">
        <f>VLOOKUP(B109,'TB - Expense Data'!$H$3:$N$758,3,FALSE)</f>
        <v>0</v>
      </c>
      <c r="D109" s="14">
        <f t="shared" si="34"/>
        <v>0</v>
      </c>
      <c r="E109" s="26">
        <f>VLOOKUP(B109,'TB - Expense Data'!$H$3:$N$758,7,FALSE)</f>
        <v>0</v>
      </c>
      <c r="F109" s="92">
        <f t="shared" si="35"/>
        <v>0</v>
      </c>
      <c r="G109" s="48" t="str">
        <f t="shared" si="36"/>
        <v xml:space="preserve">-    </v>
      </c>
      <c r="H109" s="131" t="s">
        <v>979</v>
      </c>
      <c r="I109" s="156">
        <f>VLOOKUP(H109,'TB - Expense Data'!$H$3:$N$758,3,FALSE)</f>
        <v>0</v>
      </c>
      <c r="J109" s="14">
        <f t="shared" si="37"/>
        <v>0</v>
      </c>
      <c r="K109" s="26">
        <f>VLOOKUP(H109,'TB - Expense Data'!$H$3:$N$758,7,FALSE)</f>
        <v>0</v>
      </c>
      <c r="L109" s="92">
        <f t="shared" si="38"/>
        <v>0</v>
      </c>
      <c r="M109" s="48" t="str">
        <f t="shared" si="39"/>
        <v xml:space="preserve">-    </v>
      </c>
      <c r="N109" s="131" t="s">
        <v>979</v>
      </c>
      <c r="O109" s="156">
        <f>VLOOKUP(N109,'TB - Expense Data'!$H$3:$N$758,3,FALSE)</f>
        <v>0</v>
      </c>
      <c r="P109" s="14">
        <f t="shared" si="40"/>
        <v>0</v>
      </c>
      <c r="Q109" s="26">
        <f>VLOOKUP(N109,'TB - Expense Data'!$H$3:$N$758,7,FALSE)</f>
        <v>0</v>
      </c>
      <c r="R109" s="92">
        <f t="shared" si="41"/>
        <v>0</v>
      </c>
      <c r="S109" s="48" t="str">
        <f t="shared" si="42"/>
        <v xml:space="preserve">-    </v>
      </c>
      <c r="T109" s="131" t="s">
        <v>389</v>
      </c>
      <c r="U109" s="156">
        <f>VLOOKUP(T109,'TB - Expense Data'!$H$3:$N$758,3,FALSE)</f>
        <v>11250</v>
      </c>
      <c r="V109" s="14">
        <f t="shared" si="43"/>
        <v>5625</v>
      </c>
      <c r="W109" s="26">
        <f>VLOOKUP(T109,'TB - Expense Data'!$H$3:$N$758,7,FALSE)</f>
        <v>5264.9</v>
      </c>
      <c r="X109" s="92">
        <f t="shared" si="44"/>
        <v>-360.10000000000036</v>
      </c>
      <c r="Y109" s="48">
        <f t="shared" si="45"/>
        <v>-6.401777777777784E-2</v>
      </c>
      <c r="Z109" s="156">
        <f t="shared" si="46"/>
        <v>11250</v>
      </c>
      <c r="AA109" s="14">
        <f t="shared" si="47"/>
        <v>5625</v>
      </c>
      <c r="AB109" s="14">
        <f t="shared" si="48"/>
        <v>5264.9</v>
      </c>
      <c r="AC109" s="92">
        <f t="shared" si="49"/>
        <v>-360.10000000000036</v>
      </c>
      <c r="AD109" s="48">
        <f t="shared" si="50"/>
        <v>-6.401777777777784E-2</v>
      </c>
    </row>
    <row r="110" spans="1:30" x14ac:dyDescent="0.25">
      <c r="A110" s="13" t="s">
        <v>1044</v>
      </c>
      <c r="B110" s="131" t="s">
        <v>979</v>
      </c>
      <c r="C110" s="156">
        <f>VLOOKUP(B110,'TB - Expense Data'!$H$3:$N$758,3,FALSE)</f>
        <v>0</v>
      </c>
      <c r="D110" s="14">
        <f t="shared" si="34"/>
        <v>0</v>
      </c>
      <c r="E110" s="26">
        <f>VLOOKUP(B110,'TB - Expense Data'!$H$3:$N$758,7,FALSE)</f>
        <v>0</v>
      </c>
      <c r="F110" s="92">
        <f t="shared" si="35"/>
        <v>0</v>
      </c>
      <c r="G110" s="48" t="str">
        <f t="shared" si="36"/>
        <v xml:space="preserve">-    </v>
      </c>
      <c r="H110" s="131" t="s">
        <v>979</v>
      </c>
      <c r="I110" s="156">
        <f>VLOOKUP(H110,'TB - Expense Data'!$H$3:$N$758,3,FALSE)</f>
        <v>0</v>
      </c>
      <c r="J110" s="14">
        <f t="shared" si="37"/>
        <v>0</v>
      </c>
      <c r="K110" s="26">
        <f>VLOOKUP(H110,'TB - Expense Data'!$H$3:$N$758,7,FALSE)</f>
        <v>0</v>
      </c>
      <c r="L110" s="92">
        <f t="shared" si="38"/>
        <v>0</v>
      </c>
      <c r="M110" s="48" t="str">
        <f t="shared" si="39"/>
        <v xml:space="preserve">-    </v>
      </c>
      <c r="N110" s="131" t="s">
        <v>979</v>
      </c>
      <c r="O110" s="156">
        <f>VLOOKUP(N110,'TB - Expense Data'!$H$3:$N$758,3,FALSE)</f>
        <v>0</v>
      </c>
      <c r="P110" s="14">
        <f t="shared" si="40"/>
        <v>0</v>
      </c>
      <c r="Q110" s="26">
        <f>VLOOKUP(N110,'TB - Expense Data'!$H$3:$N$758,7,FALSE)</f>
        <v>0</v>
      </c>
      <c r="R110" s="92">
        <f t="shared" si="41"/>
        <v>0</v>
      </c>
      <c r="S110" s="48" t="str">
        <f t="shared" si="42"/>
        <v xml:space="preserve">-    </v>
      </c>
      <c r="T110" s="131" t="s">
        <v>390</v>
      </c>
      <c r="U110" s="156">
        <f>VLOOKUP(T110,'TB - Expense Data'!$H$3:$N$758,3,FALSE)</f>
        <v>5000</v>
      </c>
      <c r="V110" s="14">
        <f t="shared" si="43"/>
        <v>2500</v>
      </c>
      <c r="W110" s="26">
        <f>VLOOKUP(T110,'TB - Expense Data'!$H$3:$N$758,7,FALSE)</f>
        <v>359.03</v>
      </c>
      <c r="X110" s="92">
        <f t="shared" si="44"/>
        <v>-2140.9700000000003</v>
      </c>
      <c r="Y110" s="48">
        <f t="shared" si="45"/>
        <v>-0.85638800000000015</v>
      </c>
      <c r="Z110" s="156">
        <f t="shared" si="46"/>
        <v>5000</v>
      </c>
      <c r="AA110" s="14">
        <f t="shared" si="47"/>
        <v>2500</v>
      </c>
      <c r="AB110" s="14">
        <f t="shared" si="48"/>
        <v>359.03</v>
      </c>
      <c r="AC110" s="92">
        <f t="shared" si="49"/>
        <v>-2140.9700000000003</v>
      </c>
      <c r="AD110" s="48">
        <f t="shared" si="50"/>
        <v>-0.85638800000000015</v>
      </c>
    </row>
    <row r="111" spans="1:30" x14ac:dyDescent="0.25">
      <c r="A111" s="13" t="s">
        <v>1045</v>
      </c>
      <c r="B111" s="131" t="s">
        <v>979</v>
      </c>
      <c r="C111" s="156">
        <f>VLOOKUP(B111,'TB - Expense Data'!$H$3:$N$758,3,FALSE)</f>
        <v>0</v>
      </c>
      <c r="D111" s="14">
        <f t="shared" si="34"/>
        <v>0</v>
      </c>
      <c r="E111" s="26">
        <f>VLOOKUP(B111,'TB - Expense Data'!$H$3:$N$758,7,FALSE)</f>
        <v>0</v>
      </c>
      <c r="F111" s="92">
        <f t="shared" si="35"/>
        <v>0</v>
      </c>
      <c r="G111" s="48" t="str">
        <f t="shared" si="36"/>
        <v xml:space="preserve">-    </v>
      </c>
      <c r="H111" s="131" t="s">
        <v>979</v>
      </c>
      <c r="I111" s="156">
        <f>VLOOKUP(H111,'TB - Expense Data'!$H$3:$N$758,3,FALSE)</f>
        <v>0</v>
      </c>
      <c r="J111" s="14">
        <f t="shared" si="37"/>
        <v>0</v>
      </c>
      <c r="K111" s="26">
        <f>VLOOKUP(H111,'TB - Expense Data'!$H$3:$N$758,7,FALSE)</f>
        <v>0</v>
      </c>
      <c r="L111" s="92">
        <f t="shared" si="38"/>
        <v>0</v>
      </c>
      <c r="M111" s="48" t="str">
        <f t="shared" si="39"/>
        <v xml:space="preserve">-    </v>
      </c>
      <c r="N111" s="131" t="s">
        <v>979</v>
      </c>
      <c r="O111" s="156">
        <f>VLOOKUP(N111,'TB - Expense Data'!$H$3:$N$758,3,FALSE)</f>
        <v>0</v>
      </c>
      <c r="P111" s="14">
        <f t="shared" si="40"/>
        <v>0</v>
      </c>
      <c r="Q111" s="26">
        <f>VLOOKUP(N111,'TB - Expense Data'!$H$3:$N$758,7,FALSE)</f>
        <v>0</v>
      </c>
      <c r="R111" s="92">
        <f t="shared" si="41"/>
        <v>0</v>
      </c>
      <c r="S111" s="48" t="str">
        <f t="shared" si="42"/>
        <v xml:space="preserve">-    </v>
      </c>
      <c r="T111" s="131" t="s">
        <v>391</v>
      </c>
      <c r="U111" s="156">
        <f>VLOOKUP(T111,'TB - Expense Data'!$H$3:$N$758,3,FALSE)</f>
        <v>2250</v>
      </c>
      <c r="V111" s="14">
        <f t="shared" si="43"/>
        <v>1125</v>
      </c>
      <c r="W111" s="26">
        <f>VLOOKUP(T111,'TB - Expense Data'!$H$3:$N$758,7,FALSE)</f>
        <v>820.11</v>
      </c>
      <c r="X111" s="92">
        <f t="shared" si="44"/>
        <v>-304.89</v>
      </c>
      <c r="Y111" s="48">
        <f t="shared" si="45"/>
        <v>-0.27101333333333333</v>
      </c>
      <c r="Z111" s="156">
        <f t="shared" si="46"/>
        <v>2250</v>
      </c>
      <c r="AA111" s="14">
        <f t="shared" si="47"/>
        <v>1125</v>
      </c>
      <c r="AB111" s="14">
        <f t="shared" si="48"/>
        <v>820.11</v>
      </c>
      <c r="AC111" s="92">
        <f t="shared" si="49"/>
        <v>-304.89</v>
      </c>
      <c r="AD111" s="48">
        <f t="shared" si="50"/>
        <v>-0.27101333333333333</v>
      </c>
    </row>
    <row r="112" spans="1:30" x14ac:dyDescent="0.25">
      <c r="A112" s="13" t="s">
        <v>1046</v>
      </c>
      <c r="B112" s="131" t="s">
        <v>979</v>
      </c>
      <c r="C112" s="156">
        <f>VLOOKUP(B112,'TB - Expense Data'!$H$3:$N$758,3,FALSE)</f>
        <v>0</v>
      </c>
      <c r="D112" s="14">
        <f t="shared" si="34"/>
        <v>0</v>
      </c>
      <c r="E112" s="26">
        <f>VLOOKUP(B112,'TB - Expense Data'!$H$3:$N$758,7,FALSE)</f>
        <v>0</v>
      </c>
      <c r="F112" s="92">
        <f t="shared" si="35"/>
        <v>0</v>
      </c>
      <c r="G112" s="48" t="str">
        <f t="shared" si="36"/>
        <v xml:space="preserve">-    </v>
      </c>
      <c r="H112" s="131" t="s">
        <v>979</v>
      </c>
      <c r="I112" s="156">
        <f>VLOOKUP(H112,'TB - Expense Data'!$H$3:$N$758,3,FALSE)</f>
        <v>0</v>
      </c>
      <c r="J112" s="14">
        <f t="shared" si="37"/>
        <v>0</v>
      </c>
      <c r="K112" s="26">
        <f>VLOOKUP(H112,'TB - Expense Data'!$H$3:$N$758,7,FALSE)</f>
        <v>0</v>
      </c>
      <c r="L112" s="92">
        <f t="shared" si="38"/>
        <v>0</v>
      </c>
      <c r="M112" s="48" t="str">
        <f t="shared" si="39"/>
        <v xml:space="preserve">-    </v>
      </c>
      <c r="N112" s="131" t="s">
        <v>979</v>
      </c>
      <c r="O112" s="156">
        <f>VLOOKUP(N112,'TB - Expense Data'!$H$3:$N$758,3,FALSE)</f>
        <v>0</v>
      </c>
      <c r="P112" s="14">
        <f t="shared" si="40"/>
        <v>0</v>
      </c>
      <c r="Q112" s="26">
        <f>VLOOKUP(N112,'TB - Expense Data'!$H$3:$N$758,7,FALSE)</f>
        <v>0</v>
      </c>
      <c r="R112" s="92">
        <f t="shared" si="41"/>
        <v>0</v>
      </c>
      <c r="S112" s="48" t="str">
        <f t="shared" si="42"/>
        <v xml:space="preserve">-    </v>
      </c>
      <c r="T112" s="131" t="s">
        <v>392</v>
      </c>
      <c r="U112" s="156">
        <f>VLOOKUP(T112,'TB - Expense Data'!$H$3:$N$758,3,FALSE)</f>
        <v>500</v>
      </c>
      <c r="V112" s="14">
        <f t="shared" si="43"/>
        <v>250</v>
      </c>
      <c r="W112" s="26">
        <f>VLOOKUP(T112,'TB - Expense Data'!$H$3:$N$758,7,FALSE)</f>
        <v>0</v>
      </c>
      <c r="X112" s="92">
        <f t="shared" si="44"/>
        <v>-250</v>
      </c>
      <c r="Y112" s="48">
        <f t="shared" si="45"/>
        <v>-1</v>
      </c>
      <c r="Z112" s="156">
        <f t="shared" si="46"/>
        <v>500</v>
      </c>
      <c r="AA112" s="14">
        <f t="shared" si="47"/>
        <v>250</v>
      </c>
      <c r="AB112" s="14">
        <f t="shared" si="48"/>
        <v>0</v>
      </c>
      <c r="AC112" s="92">
        <f t="shared" si="49"/>
        <v>-250</v>
      </c>
      <c r="AD112" s="48">
        <f t="shared" si="50"/>
        <v>-1</v>
      </c>
    </row>
    <row r="113" spans="1:30" x14ac:dyDescent="0.25">
      <c r="A113" s="13" t="s">
        <v>1047</v>
      </c>
      <c r="B113" s="131" t="s">
        <v>979</v>
      </c>
      <c r="C113" s="156">
        <f>VLOOKUP(B113,'TB - Expense Data'!$H$3:$N$758,3,FALSE)</f>
        <v>0</v>
      </c>
      <c r="D113" s="14">
        <f t="shared" si="34"/>
        <v>0</v>
      </c>
      <c r="E113" s="26">
        <f>VLOOKUP(B113,'TB - Expense Data'!$H$3:$N$758,7,FALSE)</f>
        <v>0</v>
      </c>
      <c r="F113" s="92">
        <f t="shared" si="35"/>
        <v>0</v>
      </c>
      <c r="G113" s="48" t="str">
        <f t="shared" si="36"/>
        <v xml:space="preserve">-    </v>
      </c>
      <c r="H113" s="131" t="s">
        <v>979</v>
      </c>
      <c r="I113" s="156">
        <f>VLOOKUP(H113,'TB - Expense Data'!$H$3:$N$758,3,FALSE)</f>
        <v>0</v>
      </c>
      <c r="J113" s="14">
        <f t="shared" si="37"/>
        <v>0</v>
      </c>
      <c r="K113" s="26">
        <f>VLOOKUP(H113,'TB - Expense Data'!$H$3:$N$758,7,FALSE)</f>
        <v>0</v>
      </c>
      <c r="L113" s="92">
        <f t="shared" si="38"/>
        <v>0</v>
      </c>
      <c r="M113" s="48" t="str">
        <f t="shared" si="39"/>
        <v xml:space="preserve">-    </v>
      </c>
      <c r="N113" s="131" t="s">
        <v>979</v>
      </c>
      <c r="O113" s="156">
        <f>VLOOKUP(N113,'TB - Expense Data'!$H$3:$N$758,3,FALSE)</f>
        <v>0</v>
      </c>
      <c r="P113" s="14">
        <f t="shared" si="40"/>
        <v>0</v>
      </c>
      <c r="Q113" s="26">
        <f>VLOOKUP(N113,'TB - Expense Data'!$H$3:$N$758,7,FALSE)</f>
        <v>0</v>
      </c>
      <c r="R113" s="92">
        <f t="shared" si="41"/>
        <v>0</v>
      </c>
      <c r="S113" s="48" t="str">
        <f t="shared" si="42"/>
        <v xml:space="preserve">-    </v>
      </c>
      <c r="T113" s="131" t="s">
        <v>393</v>
      </c>
      <c r="U113" s="156">
        <f>VLOOKUP(T113,'TB - Expense Data'!$H$3:$N$758,3,FALSE)</f>
        <v>275</v>
      </c>
      <c r="V113" s="14">
        <f t="shared" si="43"/>
        <v>137.5</v>
      </c>
      <c r="W113" s="26">
        <f>VLOOKUP(T113,'TB - Expense Data'!$H$3:$N$758,7,FALSE)</f>
        <v>73.78</v>
      </c>
      <c r="X113" s="92">
        <f t="shared" si="44"/>
        <v>-63.72</v>
      </c>
      <c r="Y113" s="48">
        <f t="shared" si="45"/>
        <v>-0.46341818181818178</v>
      </c>
      <c r="Z113" s="156">
        <f t="shared" si="46"/>
        <v>275</v>
      </c>
      <c r="AA113" s="14">
        <f t="shared" si="47"/>
        <v>137.5</v>
      </c>
      <c r="AB113" s="14">
        <f t="shared" si="48"/>
        <v>73.78</v>
      </c>
      <c r="AC113" s="92">
        <f t="shared" si="49"/>
        <v>-63.72</v>
      </c>
      <c r="AD113" s="48">
        <f t="shared" si="50"/>
        <v>-0.46341818181818178</v>
      </c>
    </row>
    <row r="114" spans="1:30" x14ac:dyDescent="0.25">
      <c r="A114" s="13" t="s">
        <v>1048</v>
      </c>
      <c r="B114" s="131" t="s">
        <v>979</v>
      </c>
      <c r="C114" s="156">
        <f>VLOOKUP(B114,'TB - Expense Data'!$H$3:$N$758,3,FALSE)</f>
        <v>0</v>
      </c>
      <c r="D114" s="14">
        <f t="shared" si="34"/>
        <v>0</v>
      </c>
      <c r="E114" s="26">
        <f>VLOOKUP(B114,'TB - Expense Data'!$H$3:$N$758,7,FALSE)</f>
        <v>0</v>
      </c>
      <c r="F114" s="92">
        <f t="shared" si="35"/>
        <v>0</v>
      </c>
      <c r="G114" s="48" t="str">
        <f t="shared" si="36"/>
        <v xml:space="preserve">-    </v>
      </c>
      <c r="H114" s="131" t="s">
        <v>979</v>
      </c>
      <c r="I114" s="156">
        <f>VLOOKUP(H114,'TB - Expense Data'!$H$3:$N$758,3,FALSE)</f>
        <v>0</v>
      </c>
      <c r="J114" s="14">
        <f t="shared" si="37"/>
        <v>0</v>
      </c>
      <c r="K114" s="26">
        <f>VLOOKUP(H114,'TB - Expense Data'!$H$3:$N$758,7,FALSE)</f>
        <v>0</v>
      </c>
      <c r="L114" s="92">
        <f t="shared" si="38"/>
        <v>0</v>
      </c>
      <c r="M114" s="48" t="str">
        <f t="shared" si="39"/>
        <v xml:space="preserve">-    </v>
      </c>
      <c r="N114" s="131" t="s">
        <v>979</v>
      </c>
      <c r="O114" s="156">
        <f>VLOOKUP(N114,'TB - Expense Data'!$H$3:$N$758,3,FALSE)</f>
        <v>0</v>
      </c>
      <c r="P114" s="14">
        <f t="shared" si="40"/>
        <v>0</v>
      </c>
      <c r="Q114" s="26">
        <f>VLOOKUP(N114,'TB - Expense Data'!$H$3:$N$758,7,FALSE)</f>
        <v>0</v>
      </c>
      <c r="R114" s="92">
        <f t="shared" si="41"/>
        <v>0</v>
      </c>
      <c r="S114" s="48" t="str">
        <f t="shared" si="42"/>
        <v xml:space="preserve">-    </v>
      </c>
      <c r="T114" s="131" t="s">
        <v>394</v>
      </c>
      <c r="U114" s="156">
        <f>VLOOKUP(T114,'TB - Expense Data'!$H$3:$N$758,3,FALSE)</f>
        <v>2000</v>
      </c>
      <c r="V114" s="14">
        <f t="shared" si="43"/>
        <v>1000</v>
      </c>
      <c r="W114" s="26">
        <f>VLOOKUP(T114,'TB - Expense Data'!$H$3:$N$758,7,FALSE)</f>
        <v>1197</v>
      </c>
      <c r="X114" s="92">
        <f t="shared" si="44"/>
        <v>197</v>
      </c>
      <c r="Y114" s="48">
        <f t="shared" si="45"/>
        <v>0.19700000000000001</v>
      </c>
      <c r="Z114" s="156">
        <f t="shared" si="46"/>
        <v>2000</v>
      </c>
      <c r="AA114" s="14">
        <f t="shared" si="47"/>
        <v>1000</v>
      </c>
      <c r="AB114" s="14">
        <f t="shared" si="48"/>
        <v>1197</v>
      </c>
      <c r="AC114" s="92">
        <f t="shared" si="49"/>
        <v>197</v>
      </c>
      <c r="AD114" s="48">
        <f t="shared" si="50"/>
        <v>0.19700000000000001</v>
      </c>
    </row>
    <row r="115" spans="1:30" x14ac:dyDescent="0.25">
      <c r="A115" s="13" t="s">
        <v>1049</v>
      </c>
      <c r="B115" s="131" t="s">
        <v>979</v>
      </c>
      <c r="C115" s="156">
        <f>VLOOKUP(B115,'TB - Expense Data'!$H$3:$N$758,3,FALSE)</f>
        <v>0</v>
      </c>
      <c r="D115" s="14">
        <f t="shared" si="34"/>
        <v>0</v>
      </c>
      <c r="E115" s="26">
        <f>VLOOKUP(B115,'TB - Expense Data'!$H$3:$N$758,7,FALSE)</f>
        <v>0</v>
      </c>
      <c r="F115" s="92">
        <f t="shared" si="35"/>
        <v>0</v>
      </c>
      <c r="G115" s="48" t="str">
        <f t="shared" si="36"/>
        <v xml:space="preserve">-    </v>
      </c>
      <c r="H115" s="131" t="s">
        <v>979</v>
      </c>
      <c r="I115" s="156">
        <f>VLOOKUP(H115,'TB - Expense Data'!$H$3:$N$758,3,FALSE)</f>
        <v>0</v>
      </c>
      <c r="J115" s="14">
        <f t="shared" si="37"/>
        <v>0</v>
      </c>
      <c r="K115" s="26">
        <f>VLOOKUP(H115,'TB - Expense Data'!$H$3:$N$758,7,FALSE)</f>
        <v>0</v>
      </c>
      <c r="L115" s="92">
        <f t="shared" si="38"/>
        <v>0</v>
      </c>
      <c r="M115" s="48" t="str">
        <f t="shared" si="39"/>
        <v xml:space="preserve">-    </v>
      </c>
      <c r="N115" s="131" t="s">
        <v>979</v>
      </c>
      <c r="O115" s="156">
        <f>VLOOKUP(N115,'TB - Expense Data'!$H$3:$N$758,3,FALSE)</f>
        <v>0</v>
      </c>
      <c r="P115" s="14">
        <f t="shared" si="40"/>
        <v>0</v>
      </c>
      <c r="Q115" s="26">
        <f>VLOOKUP(N115,'TB - Expense Data'!$H$3:$N$758,7,FALSE)</f>
        <v>0</v>
      </c>
      <c r="R115" s="92">
        <f t="shared" si="41"/>
        <v>0</v>
      </c>
      <c r="S115" s="48" t="str">
        <f t="shared" si="42"/>
        <v xml:space="preserve">-    </v>
      </c>
      <c r="T115" s="131" t="s">
        <v>395</v>
      </c>
      <c r="U115" s="156">
        <f>VLOOKUP(T115,'TB - Expense Data'!$H$3:$N$758,3,FALSE)</f>
        <v>10000</v>
      </c>
      <c r="V115" s="14">
        <f t="shared" si="43"/>
        <v>5000</v>
      </c>
      <c r="W115" s="26">
        <f>VLOOKUP(T115,'TB - Expense Data'!$H$3:$N$758,7,FALSE)</f>
        <v>6331.38</v>
      </c>
      <c r="X115" s="92">
        <f t="shared" si="44"/>
        <v>1331.38</v>
      </c>
      <c r="Y115" s="48">
        <f t="shared" si="45"/>
        <v>0.26627600000000001</v>
      </c>
      <c r="Z115" s="156">
        <f t="shared" si="46"/>
        <v>10000</v>
      </c>
      <c r="AA115" s="14">
        <f t="shared" si="47"/>
        <v>5000</v>
      </c>
      <c r="AB115" s="14">
        <f t="shared" si="48"/>
        <v>6331.38</v>
      </c>
      <c r="AC115" s="92">
        <f t="shared" si="49"/>
        <v>1331.38</v>
      </c>
      <c r="AD115" s="48">
        <f t="shared" si="50"/>
        <v>0.26627600000000001</v>
      </c>
    </row>
    <row r="116" spans="1:30" x14ac:dyDescent="0.25">
      <c r="A116" s="13" t="s">
        <v>1050</v>
      </c>
      <c r="B116" s="131" t="s">
        <v>979</v>
      </c>
      <c r="C116" s="156">
        <f>VLOOKUP(B116,'TB - Expense Data'!$H$3:$N$758,3,FALSE)</f>
        <v>0</v>
      </c>
      <c r="D116" s="14">
        <f t="shared" si="34"/>
        <v>0</v>
      </c>
      <c r="E116" s="26">
        <f>VLOOKUP(B116,'TB - Expense Data'!$H$3:$N$758,7,FALSE)</f>
        <v>0</v>
      </c>
      <c r="F116" s="92">
        <f t="shared" si="35"/>
        <v>0</v>
      </c>
      <c r="G116" s="48" t="str">
        <f t="shared" si="36"/>
        <v xml:space="preserve">-    </v>
      </c>
      <c r="H116" s="131" t="s">
        <v>979</v>
      </c>
      <c r="I116" s="156">
        <f>VLOOKUP(H116,'TB - Expense Data'!$H$3:$N$758,3,FALSE)</f>
        <v>0</v>
      </c>
      <c r="J116" s="14">
        <f t="shared" si="37"/>
        <v>0</v>
      </c>
      <c r="K116" s="26">
        <f>VLOOKUP(H116,'TB - Expense Data'!$H$3:$N$758,7,FALSE)</f>
        <v>0</v>
      </c>
      <c r="L116" s="92">
        <f t="shared" si="38"/>
        <v>0</v>
      </c>
      <c r="M116" s="48" t="str">
        <f t="shared" si="39"/>
        <v xml:space="preserve">-    </v>
      </c>
      <c r="N116" s="131" t="s">
        <v>979</v>
      </c>
      <c r="O116" s="156">
        <f>VLOOKUP(N116,'TB - Expense Data'!$H$3:$N$758,3,FALSE)</f>
        <v>0</v>
      </c>
      <c r="P116" s="14">
        <f t="shared" si="40"/>
        <v>0</v>
      </c>
      <c r="Q116" s="26">
        <f>VLOOKUP(N116,'TB - Expense Data'!$H$3:$N$758,7,FALSE)</f>
        <v>0</v>
      </c>
      <c r="R116" s="92">
        <f t="shared" si="41"/>
        <v>0</v>
      </c>
      <c r="S116" s="48" t="str">
        <f t="shared" si="42"/>
        <v xml:space="preserve">-    </v>
      </c>
      <c r="T116" s="131" t="s">
        <v>396</v>
      </c>
      <c r="U116" s="156">
        <f>VLOOKUP(T116,'TB - Expense Data'!$H$3:$N$758,3,FALSE)</f>
        <v>1000</v>
      </c>
      <c r="V116" s="14">
        <f t="shared" si="43"/>
        <v>500</v>
      </c>
      <c r="W116" s="26">
        <f>VLOOKUP(T116,'TB - Expense Data'!$H$3:$N$758,7,FALSE)</f>
        <v>488.12</v>
      </c>
      <c r="X116" s="92">
        <f t="shared" si="44"/>
        <v>-11.879999999999995</v>
      </c>
      <c r="Y116" s="48">
        <f t="shared" si="45"/>
        <v>-2.3759999999999989E-2</v>
      </c>
      <c r="Z116" s="156">
        <f t="shared" si="46"/>
        <v>1000</v>
      </c>
      <c r="AA116" s="14">
        <f t="shared" si="47"/>
        <v>500</v>
      </c>
      <c r="AB116" s="14">
        <f t="shared" si="48"/>
        <v>488.12</v>
      </c>
      <c r="AC116" s="92">
        <f t="shared" si="49"/>
        <v>-11.879999999999995</v>
      </c>
      <c r="AD116" s="48">
        <f t="shared" si="50"/>
        <v>-2.3759999999999989E-2</v>
      </c>
    </row>
    <row r="117" spans="1:30" x14ac:dyDescent="0.25">
      <c r="A117" s="13" t="s">
        <v>1051</v>
      </c>
      <c r="B117" s="131" t="s">
        <v>979</v>
      </c>
      <c r="C117" s="156">
        <f>VLOOKUP(B117,'TB - Expense Data'!$H$3:$N$758,3,FALSE)</f>
        <v>0</v>
      </c>
      <c r="D117" s="14">
        <f t="shared" si="34"/>
        <v>0</v>
      </c>
      <c r="E117" s="26">
        <f>VLOOKUP(B117,'TB - Expense Data'!$H$3:$N$758,7,FALSE)</f>
        <v>0</v>
      </c>
      <c r="F117" s="92">
        <f t="shared" si="35"/>
        <v>0</v>
      </c>
      <c r="G117" s="48" t="str">
        <f t="shared" si="36"/>
        <v xml:space="preserve">-    </v>
      </c>
      <c r="H117" s="131" t="s">
        <v>979</v>
      </c>
      <c r="I117" s="156">
        <f>VLOOKUP(H117,'TB - Expense Data'!$H$3:$N$758,3,FALSE)</f>
        <v>0</v>
      </c>
      <c r="J117" s="14">
        <f t="shared" si="37"/>
        <v>0</v>
      </c>
      <c r="K117" s="26">
        <f>VLOOKUP(H117,'TB - Expense Data'!$H$3:$N$758,7,FALSE)</f>
        <v>0</v>
      </c>
      <c r="L117" s="92">
        <f t="shared" si="38"/>
        <v>0</v>
      </c>
      <c r="M117" s="48" t="str">
        <f t="shared" si="39"/>
        <v xml:space="preserve">-    </v>
      </c>
      <c r="N117" s="131" t="s">
        <v>979</v>
      </c>
      <c r="O117" s="156">
        <f>VLOOKUP(N117,'TB - Expense Data'!$H$3:$N$758,3,FALSE)</f>
        <v>0</v>
      </c>
      <c r="P117" s="14">
        <f t="shared" si="40"/>
        <v>0</v>
      </c>
      <c r="Q117" s="26">
        <f>VLOOKUP(N117,'TB - Expense Data'!$H$3:$N$758,7,FALSE)</f>
        <v>0</v>
      </c>
      <c r="R117" s="92">
        <f t="shared" si="41"/>
        <v>0</v>
      </c>
      <c r="S117" s="48" t="str">
        <f t="shared" si="42"/>
        <v xml:space="preserve">-    </v>
      </c>
      <c r="T117" s="131" t="s">
        <v>397</v>
      </c>
      <c r="U117" s="156">
        <f>VLOOKUP(T117,'TB - Expense Data'!$H$3:$N$758,3,FALSE)</f>
        <v>1450</v>
      </c>
      <c r="V117" s="14">
        <f t="shared" si="43"/>
        <v>725</v>
      </c>
      <c r="W117" s="26">
        <f>VLOOKUP(T117,'TB - Expense Data'!$H$3:$N$758,7,FALSE)</f>
        <v>406.23</v>
      </c>
      <c r="X117" s="92">
        <f t="shared" si="44"/>
        <v>-318.77</v>
      </c>
      <c r="Y117" s="48">
        <f t="shared" si="45"/>
        <v>-0.43968275862068962</v>
      </c>
      <c r="Z117" s="156">
        <f t="shared" si="46"/>
        <v>1450</v>
      </c>
      <c r="AA117" s="14">
        <f t="shared" si="47"/>
        <v>725</v>
      </c>
      <c r="AB117" s="14">
        <f t="shared" si="48"/>
        <v>406.23</v>
      </c>
      <c r="AC117" s="92">
        <f t="shared" si="49"/>
        <v>-318.77</v>
      </c>
      <c r="AD117" s="48">
        <f t="shared" si="50"/>
        <v>-0.43968275862068962</v>
      </c>
    </row>
    <row r="118" spans="1:30" x14ac:dyDescent="0.25">
      <c r="A118" s="13" t="s">
        <v>1052</v>
      </c>
      <c r="B118" s="131" t="s">
        <v>979</v>
      </c>
      <c r="C118" s="156">
        <f>VLOOKUP(B118,'TB - Expense Data'!$H$3:$N$758,3,FALSE)</f>
        <v>0</v>
      </c>
      <c r="D118" s="14">
        <f t="shared" si="34"/>
        <v>0</v>
      </c>
      <c r="E118" s="26">
        <f>VLOOKUP(B118,'TB - Expense Data'!$H$3:$N$758,7,FALSE)</f>
        <v>0</v>
      </c>
      <c r="F118" s="92">
        <f t="shared" si="35"/>
        <v>0</v>
      </c>
      <c r="G118" s="48" t="str">
        <f t="shared" si="36"/>
        <v xml:space="preserve">-    </v>
      </c>
      <c r="H118" s="131" t="s">
        <v>979</v>
      </c>
      <c r="I118" s="156">
        <f>VLOOKUP(H118,'TB - Expense Data'!$H$3:$N$758,3,FALSE)</f>
        <v>0</v>
      </c>
      <c r="J118" s="14">
        <f t="shared" si="37"/>
        <v>0</v>
      </c>
      <c r="K118" s="26">
        <f>VLOOKUP(H118,'TB - Expense Data'!$H$3:$N$758,7,FALSE)</f>
        <v>0</v>
      </c>
      <c r="L118" s="92">
        <f t="shared" si="38"/>
        <v>0</v>
      </c>
      <c r="M118" s="48" t="str">
        <f t="shared" si="39"/>
        <v xml:space="preserve">-    </v>
      </c>
      <c r="N118" s="131" t="s">
        <v>979</v>
      </c>
      <c r="O118" s="156">
        <f>VLOOKUP(N118,'TB - Expense Data'!$H$3:$N$758,3,FALSE)</f>
        <v>0</v>
      </c>
      <c r="P118" s="14">
        <f t="shared" si="40"/>
        <v>0</v>
      </c>
      <c r="Q118" s="26">
        <f>VLOOKUP(N118,'TB - Expense Data'!$H$3:$N$758,7,FALSE)</f>
        <v>0</v>
      </c>
      <c r="R118" s="92">
        <f t="shared" si="41"/>
        <v>0</v>
      </c>
      <c r="S118" s="48" t="str">
        <f t="shared" si="42"/>
        <v xml:space="preserve">-    </v>
      </c>
      <c r="T118" s="131" t="s">
        <v>398</v>
      </c>
      <c r="U118" s="156">
        <f>VLOOKUP(T118,'TB - Expense Data'!$H$3:$N$758,3,FALSE)</f>
        <v>500</v>
      </c>
      <c r="V118" s="14">
        <f t="shared" si="43"/>
        <v>250</v>
      </c>
      <c r="W118" s="26">
        <f>VLOOKUP(T118,'TB - Expense Data'!$H$3:$N$758,7,FALSE)</f>
        <v>0</v>
      </c>
      <c r="X118" s="92">
        <f t="shared" si="44"/>
        <v>-250</v>
      </c>
      <c r="Y118" s="48">
        <f t="shared" si="45"/>
        <v>-1</v>
      </c>
      <c r="Z118" s="156">
        <f t="shared" si="46"/>
        <v>500</v>
      </c>
      <c r="AA118" s="14">
        <f t="shared" si="47"/>
        <v>250</v>
      </c>
      <c r="AB118" s="14">
        <f t="shared" si="48"/>
        <v>0</v>
      </c>
      <c r="AC118" s="92">
        <f t="shared" si="49"/>
        <v>-250</v>
      </c>
      <c r="AD118" s="48">
        <f t="shared" si="50"/>
        <v>-1</v>
      </c>
    </row>
    <row r="119" spans="1:30" x14ac:dyDescent="0.25">
      <c r="A119" s="13" t="s">
        <v>1053</v>
      </c>
      <c r="B119" s="131" t="s">
        <v>979</v>
      </c>
      <c r="C119" s="156">
        <f>VLOOKUP(B119,'TB - Expense Data'!$H$3:$N$758,3,FALSE)</f>
        <v>0</v>
      </c>
      <c r="D119" s="14">
        <f t="shared" si="34"/>
        <v>0</v>
      </c>
      <c r="E119" s="26">
        <f>VLOOKUP(B119,'TB - Expense Data'!$H$3:$N$758,7,FALSE)</f>
        <v>0</v>
      </c>
      <c r="F119" s="92">
        <f t="shared" si="35"/>
        <v>0</v>
      </c>
      <c r="G119" s="48" t="str">
        <f t="shared" si="36"/>
        <v xml:space="preserve">-    </v>
      </c>
      <c r="H119" s="131" t="s">
        <v>979</v>
      </c>
      <c r="I119" s="156">
        <f>VLOOKUP(H119,'TB - Expense Data'!$H$3:$N$758,3,FALSE)</f>
        <v>0</v>
      </c>
      <c r="J119" s="14">
        <f t="shared" si="37"/>
        <v>0</v>
      </c>
      <c r="K119" s="26">
        <f>VLOOKUP(H119,'TB - Expense Data'!$H$3:$N$758,7,FALSE)</f>
        <v>0</v>
      </c>
      <c r="L119" s="92">
        <f t="shared" si="38"/>
        <v>0</v>
      </c>
      <c r="M119" s="48" t="str">
        <f t="shared" si="39"/>
        <v xml:space="preserve">-    </v>
      </c>
      <c r="N119" s="131" t="s">
        <v>979</v>
      </c>
      <c r="O119" s="156">
        <f>VLOOKUP(N119,'TB - Expense Data'!$H$3:$N$758,3,FALSE)</f>
        <v>0</v>
      </c>
      <c r="P119" s="14">
        <f t="shared" si="40"/>
        <v>0</v>
      </c>
      <c r="Q119" s="26">
        <f>VLOOKUP(N119,'TB - Expense Data'!$H$3:$N$758,7,FALSE)</f>
        <v>0</v>
      </c>
      <c r="R119" s="92">
        <f t="shared" si="41"/>
        <v>0</v>
      </c>
      <c r="S119" s="48" t="str">
        <f t="shared" si="42"/>
        <v xml:space="preserve">-    </v>
      </c>
      <c r="T119" s="131" t="s">
        <v>399</v>
      </c>
      <c r="U119" s="156">
        <f>VLOOKUP(T119,'TB - Expense Data'!$H$3:$N$758,3,FALSE)</f>
        <v>1650</v>
      </c>
      <c r="V119" s="14">
        <f t="shared" si="43"/>
        <v>825</v>
      </c>
      <c r="W119" s="26">
        <f>VLOOKUP(T119,'TB - Expense Data'!$H$3:$N$758,7,FALSE)</f>
        <v>650.97</v>
      </c>
      <c r="X119" s="92">
        <f t="shared" si="44"/>
        <v>-174.02999999999997</v>
      </c>
      <c r="Y119" s="48">
        <f t="shared" si="45"/>
        <v>-0.21094545454545452</v>
      </c>
      <c r="Z119" s="156">
        <f t="shared" si="46"/>
        <v>1650</v>
      </c>
      <c r="AA119" s="14">
        <f t="shared" si="47"/>
        <v>825</v>
      </c>
      <c r="AB119" s="14">
        <f t="shared" si="48"/>
        <v>650.97</v>
      </c>
      <c r="AC119" s="92">
        <f t="shared" si="49"/>
        <v>-174.02999999999997</v>
      </c>
      <c r="AD119" s="48">
        <f t="shared" si="50"/>
        <v>-0.21094545454545452</v>
      </c>
    </row>
    <row r="120" spans="1:30" x14ac:dyDescent="0.25">
      <c r="A120" s="13" t="s">
        <v>1054</v>
      </c>
      <c r="B120" s="131" t="s">
        <v>979</v>
      </c>
      <c r="C120" s="156">
        <f>VLOOKUP(B120,'TB - Expense Data'!$H$3:$N$758,3,FALSE)</f>
        <v>0</v>
      </c>
      <c r="D120" s="14">
        <f t="shared" si="34"/>
        <v>0</v>
      </c>
      <c r="E120" s="26">
        <f>VLOOKUP(B120,'TB - Expense Data'!$H$3:$N$758,7,FALSE)</f>
        <v>0</v>
      </c>
      <c r="F120" s="92">
        <f t="shared" si="35"/>
        <v>0</v>
      </c>
      <c r="G120" s="48" t="str">
        <f t="shared" si="36"/>
        <v xml:space="preserve">-    </v>
      </c>
      <c r="H120" s="131" t="s">
        <v>979</v>
      </c>
      <c r="I120" s="156">
        <f>VLOOKUP(H120,'TB - Expense Data'!$H$3:$N$758,3,FALSE)</f>
        <v>0</v>
      </c>
      <c r="J120" s="14">
        <f t="shared" si="37"/>
        <v>0</v>
      </c>
      <c r="K120" s="26">
        <f>VLOOKUP(H120,'TB - Expense Data'!$H$3:$N$758,7,FALSE)</f>
        <v>0</v>
      </c>
      <c r="L120" s="92">
        <f t="shared" si="38"/>
        <v>0</v>
      </c>
      <c r="M120" s="48" t="str">
        <f t="shared" si="39"/>
        <v xml:space="preserve">-    </v>
      </c>
      <c r="N120" s="131" t="s">
        <v>979</v>
      </c>
      <c r="O120" s="156">
        <f>VLOOKUP(N120,'TB - Expense Data'!$H$3:$N$758,3,FALSE)</f>
        <v>0</v>
      </c>
      <c r="P120" s="14">
        <f t="shared" si="40"/>
        <v>0</v>
      </c>
      <c r="Q120" s="26">
        <f>VLOOKUP(N120,'TB - Expense Data'!$H$3:$N$758,7,FALSE)</f>
        <v>0</v>
      </c>
      <c r="R120" s="92">
        <f t="shared" si="41"/>
        <v>0</v>
      </c>
      <c r="S120" s="48" t="str">
        <f t="shared" si="42"/>
        <v xml:space="preserve">-    </v>
      </c>
      <c r="T120" s="131" t="s">
        <v>400</v>
      </c>
      <c r="U120" s="156">
        <f>VLOOKUP(T120,'TB - Expense Data'!$H$3:$N$758,3,FALSE)</f>
        <v>15500</v>
      </c>
      <c r="V120" s="14">
        <f t="shared" si="43"/>
        <v>7750</v>
      </c>
      <c r="W120" s="26">
        <f>VLOOKUP(T120,'TB - Expense Data'!$H$3:$N$758,7,FALSE)</f>
        <v>7294.52</v>
      </c>
      <c r="X120" s="92">
        <f t="shared" si="44"/>
        <v>-455.47999999999956</v>
      </c>
      <c r="Y120" s="48">
        <f t="shared" si="45"/>
        <v>-5.8771612903225752E-2</v>
      </c>
      <c r="Z120" s="156">
        <f t="shared" si="46"/>
        <v>15500</v>
      </c>
      <c r="AA120" s="14">
        <f t="shared" si="47"/>
        <v>7750</v>
      </c>
      <c r="AB120" s="14">
        <f t="shared" si="48"/>
        <v>7294.52</v>
      </c>
      <c r="AC120" s="92">
        <f t="shared" si="49"/>
        <v>-455.47999999999956</v>
      </c>
      <c r="AD120" s="48">
        <f t="shared" si="50"/>
        <v>-5.8771612903225752E-2</v>
      </c>
    </row>
    <row r="121" spans="1:30" x14ac:dyDescent="0.25">
      <c r="A121" s="13" t="s">
        <v>1055</v>
      </c>
      <c r="B121" s="131" t="s">
        <v>979</v>
      </c>
      <c r="C121" s="156">
        <f>VLOOKUP(B121,'TB - Expense Data'!$H$3:$N$758,3,FALSE)</f>
        <v>0</v>
      </c>
      <c r="D121" s="14">
        <f t="shared" si="34"/>
        <v>0</v>
      </c>
      <c r="E121" s="26">
        <f>VLOOKUP(B121,'TB - Expense Data'!$H$3:$N$758,7,FALSE)</f>
        <v>0</v>
      </c>
      <c r="F121" s="92">
        <f t="shared" si="35"/>
        <v>0</v>
      </c>
      <c r="G121" s="48" t="str">
        <f t="shared" si="36"/>
        <v xml:space="preserve">-    </v>
      </c>
      <c r="H121" s="131" t="s">
        <v>979</v>
      </c>
      <c r="I121" s="156">
        <f>VLOOKUP(H121,'TB - Expense Data'!$H$3:$N$758,3,FALSE)</f>
        <v>0</v>
      </c>
      <c r="J121" s="14">
        <f t="shared" si="37"/>
        <v>0</v>
      </c>
      <c r="K121" s="26">
        <f>VLOOKUP(H121,'TB - Expense Data'!$H$3:$N$758,7,FALSE)</f>
        <v>0</v>
      </c>
      <c r="L121" s="92">
        <f t="shared" si="38"/>
        <v>0</v>
      </c>
      <c r="M121" s="48" t="str">
        <f t="shared" si="39"/>
        <v xml:space="preserve">-    </v>
      </c>
      <c r="N121" s="131" t="s">
        <v>979</v>
      </c>
      <c r="O121" s="156">
        <f>VLOOKUP(N121,'TB - Expense Data'!$H$3:$N$758,3,FALSE)</f>
        <v>0</v>
      </c>
      <c r="P121" s="14">
        <f t="shared" si="40"/>
        <v>0</v>
      </c>
      <c r="Q121" s="26">
        <f>VLOOKUP(N121,'TB - Expense Data'!$H$3:$N$758,7,FALSE)</f>
        <v>0</v>
      </c>
      <c r="R121" s="92">
        <f t="shared" si="41"/>
        <v>0</v>
      </c>
      <c r="S121" s="48" t="str">
        <f t="shared" si="42"/>
        <v xml:space="preserve">-    </v>
      </c>
      <c r="T121" s="131" t="s">
        <v>401</v>
      </c>
      <c r="U121" s="156">
        <f>VLOOKUP(T121,'TB - Expense Data'!$H$3:$N$758,3,FALSE)</f>
        <v>950</v>
      </c>
      <c r="V121" s="14">
        <f t="shared" si="43"/>
        <v>475</v>
      </c>
      <c r="W121" s="26">
        <f>VLOOKUP(T121,'TB - Expense Data'!$H$3:$N$758,7,FALSE)</f>
        <v>527.55999999999995</v>
      </c>
      <c r="X121" s="92">
        <f t="shared" si="44"/>
        <v>52.559999999999945</v>
      </c>
      <c r="Y121" s="48">
        <f t="shared" si="45"/>
        <v>0.11065263157894725</v>
      </c>
      <c r="Z121" s="156">
        <f t="shared" si="46"/>
        <v>950</v>
      </c>
      <c r="AA121" s="14">
        <f t="shared" si="47"/>
        <v>475</v>
      </c>
      <c r="AB121" s="14">
        <f t="shared" si="48"/>
        <v>527.55999999999995</v>
      </c>
      <c r="AC121" s="92">
        <f t="shared" si="49"/>
        <v>52.559999999999945</v>
      </c>
      <c r="AD121" s="48">
        <f t="shared" si="50"/>
        <v>0.11065263157894725</v>
      </c>
    </row>
    <row r="122" spans="1:30" x14ac:dyDescent="0.25">
      <c r="A122" s="16" t="s">
        <v>1056</v>
      </c>
      <c r="B122" s="131" t="s">
        <v>979</v>
      </c>
      <c r="C122" s="156">
        <f>VLOOKUP(B122,'TB - Expense Data'!$H$3:$N$758,3,FALSE)</f>
        <v>0</v>
      </c>
      <c r="D122" s="14">
        <f>C122/2</f>
        <v>0</v>
      </c>
      <c r="E122" s="26">
        <f>VLOOKUP(B122,'TB - Expense Data'!$H$3:$N$758,7,FALSE)</f>
        <v>0</v>
      </c>
      <c r="F122" s="92">
        <f t="shared" ref="F122:F127" si="51">E122-D122</f>
        <v>0</v>
      </c>
      <c r="G122" s="48" t="str">
        <f>IF(AND(D122&lt;&gt;0,F122&lt;&gt;0,ISNUMBER(D122),ISNUMBER(F122)),F122/D122,"-    ")</f>
        <v xml:space="preserve">-    </v>
      </c>
      <c r="H122" s="131" t="s">
        <v>979</v>
      </c>
      <c r="I122" s="156">
        <f>VLOOKUP(H122,'TB - Expense Data'!$H$3:$N$758,3,FALSE)</f>
        <v>0</v>
      </c>
      <c r="J122" s="14">
        <f>I122/2</f>
        <v>0</v>
      </c>
      <c r="K122" s="26">
        <f>VLOOKUP(H122,'TB - Expense Data'!$H$3:$N$758,7,FALSE)</f>
        <v>0</v>
      </c>
      <c r="L122" s="92">
        <f>K122-J122</f>
        <v>0</v>
      </c>
      <c r="M122" s="48" t="str">
        <f>IF(AND(J122&lt;&gt;0,L122&lt;&gt;0,ISNUMBER(J122),ISNUMBER(L122)),L122/J122,"-    ")</f>
        <v xml:space="preserve">-    </v>
      </c>
      <c r="N122" s="131" t="s">
        <v>979</v>
      </c>
      <c r="O122" s="156">
        <f>VLOOKUP(N122,'TB - Expense Data'!$H$3:$N$758,3,FALSE)</f>
        <v>0</v>
      </c>
      <c r="P122" s="14">
        <f>O122/2</f>
        <v>0</v>
      </c>
      <c r="Q122" s="26">
        <f>VLOOKUP(N122,'TB - Expense Data'!$H$3:$N$758,7,FALSE)</f>
        <v>0</v>
      </c>
      <c r="R122" s="92">
        <f>Q122-P122</f>
        <v>0</v>
      </c>
      <c r="S122" s="48" t="str">
        <f>IF(AND(P122&lt;&gt;0,R122&lt;&gt;0,ISNUMBER(P122),ISNUMBER(R122)),R122/P122,"-    ")</f>
        <v xml:space="preserve">-    </v>
      </c>
      <c r="T122" s="131" t="s">
        <v>960</v>
      </c>
      <c r="U122" s="156">
        <f>VLOOKUP(T122,'TB - Expense Data'!$H$3:$N$758,3,FALSE)</f>
        <v>500</v>
      </c>
      <c r="V122" s="14">
        <f>U122/2</f>
        <v>250</v>
      </c>
      <c r="W122" s="26">
        <f>VLOOKUP(T122,'TB - Expense Data'!$H$3:$N$758,7,FALSE)</f>
        <v>0</v>
      </c>
      <c r="X122" s="92">
        <f>W122-V122</f>
        <v>-250</v>
      </c>
      <c r="Y122" s="48">
        <f>IF(AND(V122&lt;&gt;0,X122&lt;&gt;0,ISNUMBER(V122),ISNUMBER(X122)),X122/V122,"-    ")</f>
        <v>-1</v>
      </c>
      <c r="Z122" s="156">
        <f t="shared" ref="Z122:AB123" si="52">C122+I122+O122+U122</f>
        <v>500</v>
      </c>
      <c r="AA122" s="14">
        <f t="shared" si="52"/>
        <v>250</v>
      </c>
      <c r="AB122" s="14">
        <f t="shared" si="52"/>
        <v>0</v>
      </c>
      <c r="AC122" s="92">
        <f t="shared" ref="AC122:AC127" si="53">AB122-AA122</f>
        <v>-250</v>
      </c>
      <c r="AD122" s="48">
        <f>IF(AND(AA122&lt;&gt;0,AC122&lt;&gt;0,ISNUMBER(AA122),ISNUMBER(AC122)),AC122/AA122,"-    ")</f>
        <v>-1</v>
      </c>
    </row>
    <row r="123" spans="1:30" x14ac:dyDescent="0.25">
      <c r="A123" s="16" t="s">
        <v>1057</v>
      </c>
      <c r="B123" s="131" t="s">
        <v>979</v>
      </c>
      <c r="C123" s="156">
        <f>VLOOKUP(B123,'TB - Expense Data'!$H$3:$N$758,3,FALSE)</f>
        <v>0</v>
      </c>
      <c r="D123" s="14">
        <f>C123/2</f>
        <v>0</v>
      </c>
      <c r="E123" s="26">
        <f>VLOOKUP(B123,'TB - Expense Data'!$H$3:$N$758,7,FALSE)</f>
        <v>0</v>
      </c>
      <c r="F123" s="92">
        <f t="shared" si="51"/>
        <v>0</v>
      </c>
      <c r="G123" s="48" t="str">
        <f>IF(AND(D123&lt;&gt;0,F123&lt;&gt;0,ISNUMBER(D123),ISNUMBER(F123)),F123/D123,"-    ")</f>
        <v xml:space="preserve">-    </v>
      </c>
      <c r="H123" s="131" t="s">
        <v>979</v>
      </c>
      <c r="I123" s="156">
        <f>VLOOKUP(H123,'TB - Expense Data'!$H$3:$N$758,3,FALSE)</f>
        <v>0</v>
      </c>
      <c r="J123" s="14">
        <f>I123/2</f>
        <v>0</v>
      </c>
      <c r="K123" s="26">
        <f>VLOOKUP(H123,'TB - Expense Data'!$H$3:$N$758,7,FALSE)</f>
        <v>0</v>
      </c>
      <c r="L123" s="92">
        <f>K123-J123</f>
        <v>0</v>
      </c>
      <c r="M123" s="48" t="str">
        <f>IF(AND(J123&lt;&gt;0,L123&lt;&gt;0,ISNUMBER(J123),ISNUMBER(L123)),L123/J123,"-    ")</f>
        <v xml:space="preserve">-    </v>
      </c>
      <c r="N123" s="131" t="s">
        <v>979</v>
      </c>
      <c r="O123" s="156">
        <f>VLOOKUP(N123,'TB - Expense Data'!$H$3:$N$758,3,FALSE)</f>
        <v>0</v>
      </c>
      <c r="P123" s="14">
        <f>O123/2</f>
        <v>0</v>
      </c>
      <c r="Q123" s="26">
        <f>VLOOKUP(N123,'TB - Expense Data'!$H$3:$N$758,7,FALSE)</f>
        <v>0</v>
      </c>
      <c r="R123" s="92">
        <f>Q123-P123</f>
        <v>0</v>
      </c>
      <c r="S123" s="48" t="str">
        <f>IF(AND(P123&lt;&gt;0,R123&lt;&gt;0,ISNUMBER(P123),ISNUMBER(R123)),R123/P123,"-    ")</f>
        <v xml:space="preserve">-    </v>
      </c>
      <c r="T123" s="131" t="s">
        <v>961</v>
      </c>
      <c r="U123" s="156">
        <f>VLOOKUP(T123,'TB - Expense Data'!$H$3:$N$758,3,FALSE)</f>
        <v>750</v>
      </c>
      <c r="V123" s="14">
        <f>U123/2</f>
        <v>375</v>
      </c>
      <c r="W123" s="26">
        <f>VLOOKUP(T123,'TB - Expense Data'!$H$3:$N$758,7,FALSE)</f>
        <v>0</v>
      </c>
      <c r="X123" s="92">
        <f>W123-V123</f>
        <v>-375</v>
      </c>
      <c r="Y123" s="48">
        <f>IF(AND(V123&lt;&gt;0,X123&lt;&gt;0,ISNUMBER(V123),ISNUMBER(X123)),X123/V123,"-    ")</f>
        <v>-1</v>
      </c>
      <c r="Z123" s="156">
        <f t="shared" si="52"/>
        <v>750</v>
      </c>
      <c r="AA123" s="14">
        <f t="shared" si="52"/>
        <v>375</v>
      </c>
      <c r="AB123" s="14">
        <f t="shared" si="52"/>
        <v>0</v>
      </c>
      <c r="AC123" s="92">
        <f t="shared" si="53"/>
        <v>-375</v>
      </c>
      <c r="AD123" s="48">
        <f>IF(AND(AA123&lt;&gt;0,AC123&lt;&gt;0,ISNUMBER(AA123),ISNUMBER(AC123)),AC123/AA123,"-    ")</f>
        <v>-1</v>
      </c>
    </row>
    <row r="124" spans="1:30" x14ac:dyDescent="0.25">
      <c r="A124" s="17"/>
      <c r="B124" s="131"/>
      <c r="C124" s="162"/>
      <c r="D124" s="18"/>
      <c r="E124" s="28"/>
      <c r="F124" s="39"/>
      <c r="G124" s="51"/>
      <c r="H124" s="131"/>
      <c r="I124" s="162"/>
      <c r="J124" s="18"/>
      <c r="K124" s="28"/>
      <c r="L124" s="39"/>
      <c r="M124" s="51"/>
      <c r="N124" s="131"/>
      <c r="O124" s="162"/>
      <c r="P124" s="18"/>
      <c r="Q124" s="28"/>
      <c r="R124" s="39"/>
      <c r="S124" s="51"/>
      <c r="T124" s="131"/>
      <c r="U124" s="162"/>
      <c r="V124" s="18"/>
      <c r="W124" s="28"/>
      <c r="X124" s="39"/>
      <c r="Y124" s="51"/>
      <c r="Z124" s="162"/>
      <c r="AA124" s="18"/>
      <c r="AB124" s="28"/>
      <c r="AC124" s="89"/>
      <c r="AD124" s="51"/>
    </row>
    <row r="125" spans="1:30" s="46" customFormat="1" x14ac:dyDescent="0.25">
      <c r="A125" s="199" t="s">
        <v>61</v>
      </c>
      <c r="B125" s="222"/>
      <c r="C125" s="159">
        <f>SUM(C29:C124)</f>
        <v>408191.5</v>
      </c>
      <c r="D125" s="115">
        <f>C125/2</f>
        <v>204095.75</v>
      </c>
      <c r="E125" s="192">
        <f>SUM(E29:E124)</f>
        <v>171310.12999999998</v>
      </c>
      <c r="F125" s="90">
        <f t="shared" si="51"/>
        <v>-32785.620000000024</v>
      </c>
      <c r="G125" s="50">
        <f>IF(AND(D125&lt;&gt;0,F125&lt;&gt;0,ISNUMBER(D125),ISNUMBER(F125)),F125/D125,"-    ")</f>
        <v>-0.16063842583689286</v>
      </c>
      <c r="H125" s="222"/>
      <c r="I125" s="159">
        <f>SUM(I29:I124)</f>
        <v>55458</v>
      </c>
      <c r="J125" s="115">
        <f>I125/2</f>
        <v>27729</v>
      </c>
      <c r="K125" s="192">
        <f>SUM(K29:K124)</f>
        <v>14617.260000000002</v>
      </c>
      <c r="L125" s="90">
        <f>K125-J125</f>
        <v>-13111.739999999998</v>
      </c>
      <c r="M125" s="50">
        <f>IF(AND(J125&lt;&gt;0,L125&lt;&gt;0,ISNUMBER(J125),ISNUMBER(L125)),L125/J125,"-    ")</f>
        <v>-0.47285296981499508</v>
      </c>
      <c r="N125" s="84"/>
      <c r="O125" s="159">
        <f>SUM(O29:O124)</f>
        <v>1044252</v>
      </c>
      <c r="P125" s="115">
        <f>O125/2</f>
        <v>522126</v>
      </c>
      <c r="Q125" s="192">
        <f>SUM(Q29:Q124)</f>
        <v>360827.01</v>
      </c>
      <c r="R125" s="90">
        <f>Q125-P125</f>
        <v>-161298.99</v>
      </c>
      <c r="S125" s="50">
        <f>IF(AND(P125&lt;&gt;0,R125&lt;&gt;0,ISNUMBER(P125),ISNUMBER(R125)),R125/P125,"-    ")</f>
        <v>-0.30892732788637223</v>
      </c>
      <c r="T125" s="84"/>
      <c r="U125" s="159">
        <f>SUM(U29:U124)</f>
        <v>154123.5</v>
      </c>
      <c r="V125" s="115">
        <f>U125/2</f>
        <v>77061.75</v>
      </c>
      <c r="W125" s="192">
        <f>SUM(W29:W124)</f>
        <v>58262.990000000005</v>
      </c>
      <c r="X125" s="90">
        <f>W125-V125</f>
        <v>-18798.759999999995</v>
      </c>
      <c r="Y125" s="50">
        <f>IF(AND(V125&lt;&gt;0,X125&lt;&gt;0,ISNUMBER(V125),ISNUMBER(X125)),X125/V125,"-    ")</f>
        <v>-0.24394410975613706</v>
      </c>
      <c r="Z125" s="159">
        <f>SUM(Z29:Z124)</f>
        <v>1662025</v>
      </c>
      <c r="AA125" s="115">
        <f>SUM(AA29:AA124)</f>
        <v>831012.5</v>
      </c>
      <c r="AB125" s="192">
        <f>SUM(AB29:AB124)</f>
        <v>605017.3899999999</v>
      </c>
      <c r="AC125" s="90">
        <f t="shared" si="53"/>
        <v>-225995.1100000001</v>
      </c>
      <c r="AD125" s="50">
        <f>IF(AND(AA125&lt;&gt;0,AC125&lt;&gt;0,ISNUMBER(AA125),ISNUMBER(AC125)),AC125/AA125,"-    ")</f>
        <v>-0.27195151697477488</v>
      </c>
    </row>
    <row r="126" spans="1:30" s="46" customFormat="1" x14ac:dyDescent="0.25">
      <c r="A126" s="199"/>
      <c r="B126" s="222"/>
      <c r="C126" s="159"/>
      <c r="D126" s="115"/>
      <c r="E126" s="192"/>
      <c r="F126" s="224"/>
      <c r="G126" s="52"/>
      <c r="H126" s="222"/>
      <c r="I126" s="159"/>
      <c r="J126" s="115"/>
      <c r="K126" s="192"/>
      <c r="L126" s="224"/>
      <c r="M126" s="52"/>
      <c r="N126" s="85"/>
      <c r="O126" s="159"/>
      <c r="P126" s="115"/>
      <c r="Q126" s="192"/>
      <c r="R126" s="224"/>
      <c r="S126" s="52"/>
      <c r="T126" s="85"/>
      <c r="U126" s="159"/>
      <c r="V126" s="115"/>
      <c r="W126" s="192"/>
      <c r="X126" s="224"/>
      <c r="Y126" s="52"/>
      <c r="Z126" s="159"/>
      <c r="AA126" s="115"/>
      <c r="AB126" s="192"/>
      <c r="AC126" s="224"/>
      <c r="AD126" s="52"/>
    </row>
    <row r="127" spans="1:30" s="46" customFormat="1" x14ac:dyDescent="0.25">
      <c r="A127" s="221" t="s">
        <v>62</v>
      </c>
      <c r="B127" s="225"/>
      <c r="C127" s="160">
        <f>+C28+C125</f>
        <v>1051549.58</v>
      </c>
      <c r="D127" s="116">
        <f>C127/2</f>
        <v>525774.79</v>
      </c>
      <c r="E127" s="214">
        <f>+E28+E125</f>
        <v>392849.91</v>
      </c>
      <c r="F127" s="88">
        <f t="shared" si="51"/>
        <v>-132924.88000000006</v>
      </c>
      <c r="G127" s="55">
        <f>IF(AND(D127&lt;&gt;0,F127&lt;&gt;0,ISNUMBER(D127),ISNUMBER(F127)),F127/D127,"-    ")</f>
        <v>-0.25281714248794634</v>
      </c>
      <c r="H127" s="225"/>
      <c r="I127" s="160">
        <f>+I28+I125</f>
        <v>336927.16</v>
      </c>
      <c r="J127" s="116">
        <f>I127/2</f>
        <v>168463.58</v>
      </c>
      <c r="K127" s="214">
        <f>+K28+K125</f>
        <v>126100.58000000002</v>
      </c>
      <c r="L127" s="88">
        <f>K127-J127</f>
        <v>-42362.999999999971</v>
      </c>
      <c r="M127" s="55">
        <f>IF(AND(J127&lt;&gt;0,L127&lt;&gt;0,ISNUMBER(J127),ISNUMBER(L127)),L127/J127,"-    ")</f>
        <v>-0.25146681555740402</v>
      </c>
      <c r="N127" s="79"/>
      <c r="O127" s="160">
        <f>+O28+O125</f>
        <v>1808239.7200000002</v>
      </c>
      <c r="P127" s="116">
        <f>O127/2</f>
        <v>904119.8600000001</v>
      </c>
      <c r="Q127" s="214">
        <f>+Q28+Q125</f>
        <v>719750.92</v>
      </c>
      <c r="R127" s="88">
        <f>Q127-P127</f>
        <v>-184368.94000000006</v>
      </c>
      <c r="S127" s="55">
        <f>IF(AND(P127&lt;&gt;0,R127&lt;&gt;0,ISNUMBER(P127),ISNUMBER(R127)),R127/P127,"-    ")</f>
        <v>-0.20392090491187756</v>
      </c>
      <c r="T127" s="79"/>
      <c r="U127" s="160">
        <f>+U28+U125</f>
        <v>475802.5400000001</v>
      </c>
      <c r="V127" s="116">
        <f>U127/2</f>
        <v>237901.27000000005</v>
      </c>
      <c r="W127" s="214">
        <f>+W28+W125</f>
        <v>201137.46000000002</v>
      </c>
      <c r="X127" s="88">
        <f>W127-V127</f>
        <v>-36763.810000000027</v>
      </c>
      <c r="Y127" s="55">
        <f>IF(AND(V127&lt;&gt;0,X127&lt;&gt;0,ISNUMBER(V127),ISNUMBER(X127)),X127/V127,"-    ")</f>
        <v>-0.15453389551052005</v>
      </c>
      <c r="Z127" s="160">
        <f>+Z28+Z125</f>
        <v>3672519</v>
      </c>
      <c r="AA127" s="116">
        <f>+AA28+AA125</f>
        <v>1836259.5</v>
      </c>
      <c r="AB127" s="214">
        <f>+AB28+AB125</f>
        <v>1439838.87</v>
      </c>
      <c r="AC127" s="88">
        <f t="shared" si="53"/>
        <v>-396420.62999999989</v>
      </c>
      <c r="AD127" s="55">
        <f>IF(AND(AA127&lt;&gt;0,AC127&lt;&gt;0,ISNUMBER(AA127),ISNUMBER(AC127)),AC127/AA127,"-    ")</f>
        <v>-0.21588486267872264</v>
      </c>
    </row>
    <row r="128" spans="1:30" x14ac:dyDescent="0.25">
      <c r="C128" s="153">
        <f>C127-'TB - Expense Data'!J772</f>
        <v>0</v>
      </c>
      <c r="E128" s="120">
        <f>E127-'TB - Expense Data'!N772</f>
        <v>0</v>
      </c>
      <c r="I128" s="153">
        <f>I127-'TB - Expense Data'!J773</f>
        <v>0</v>
      </c>
      <c r="K128" s="120">
        <f>K127-'TB - Expense Data'!N773</f>
        <v>0</v>
      </c>
      <c r="O128" s="153">
        <f>O127-'TB - Expense Data'!J774</f>
        <v>0</v>
      </c>
      <c r="Q128" s="120">
        <f>Q127-'TB - Expense Data'!N774</f>
        <v>0</v>
      </c>
      <c r="U128" s="153">
        <f>U127-'TB - Expense Data'!J775</f>
        <v>0</v>
      </c>
      <c r="W128" s="120">
        <f>W127-'TB - Expense Data'!N775</f>
        <v>0</v>
      </c>
      <c r="Z128" s="153">
        <f>Z127-'TB - Expense Data'!J776</f>
        <v>0</v>
      </c>
      <c r="AB128" s="120">
        <f>AB127-'TB - Expense Data'!N776</f>
        <v>0</v>
      </c>
    </row>
    <row r="129" spans="3:30" x14ac:dyDescent="0.25">
      <c r="C129" s="34"/>
      <c r="D129" s="34"/>
      <c r="E129" s="38"/>
      <c r="F129" s="38"/>
      <c r="I129" s="34"/>
      <c r="J129" s="34"/>
      <c r="K129" s="38"/>
      <c r="L129" s="38"/>
      <c r="O129" s="34"/>
      <c r="P129" s="34"/>
      <c r="Q129" s="38"/>
      <c r="R129" s="38"/>
      <c r="U129" s="34"/>
      <c r="V129" s="34"/>
      <c r="W129" s="38"/>
      <c r="X129" s="38"/>
      <c r="Z129" s="34"/>
      <c r="AA129" s="34"/>
      <c r="AB129" s="38"/>
      <c r="AC129" s="38"/>
    </row>
    <row r="130" spans="3:30" x14ac:dyDescent="0.25">
      <c r="C130" s="34"/>
      <c r="D130" s="34"/>
      <c r="E130" s="38"/>
      <c r="F130" s="38"/>
      <c r="G130" s="54"/>
      <c r="H130" s="54"/>
      <c r="I130" s="34"/>
      <c r="J130" s="34"/>
      <c r="K130" s="38"/>
      <c r="L130" s="38"/>
      <c r="M130" s="54"/>
      <c r="N130" s="54"/>
      <c r="O130" s="34"/>
      <c r="P130" s="34"/>
      <c r="Q130" s="38"/>
      <c r="R130" s="38"/>
      <c r="S130" s="54"/>
      <c r="T130" s="54"/>
      <c r="U130" s="34"/>
      <c r="V130" s="34"/>
      <c r="W130" s="38"/>
      <c r="X130" s="38"/>
      <c r="Y130" s="54"/>
      <c r="Z130" s="34"/>
      <c r="AA130" s="34"/>
      <c r="AB130" s="38"/>
      <c r="AC130" s="38"/>
      <c r="AD130" s="54"/>
    </row>
    <row r="131" spans="3:30" x14ac:dyDescent="0.25">
      <c r="C131" s="34"/>
      <c r="D131" s="34"/>
      <c r="E131" s="38"/>
      <c r="F131" s="38"/>
      <c r="G131" s="54"/>
      <c r="H131" s="54"/>
      <c r="I131" s="34"/>
      <c r="J131" s="34"/>
      <c r="K131" s="38"/>
      <c r="L131" s="38"/>
      <c r="M131" s="54"/>
      <c r="N131" s="54"/>
      <c r="O131" s="34"/>
      <c r="P131" s="34"/>
      <c r="Q131" s="38"/>
      <c r="R131" s="38"/>
      <c r="S131" s="54"/>
      <c r="T131" s="54"/>
      <c r="U131" s="34"/>
      <c r="V131" s="34"/>
      <c r="W131" s="38"/>
      <c r="X131" s="38"/>
      <c r="Y131" s="54"/>
      <c r="Z131" s="34"/>
      <c r="AA131" s="34"/>
      <c r="AB131" s="38"/>
      <c r="AC131" s="38"/>
      <c r="AD131" s="54"/>
    </row>
    <row r="132" spans="3:30" x14ac:dyDescent="0.25">
      <c r="C132" s="34"/>
      <c r="D132" s="34"/>
      <c r="E132" s="38"/>
      <c r="F132" s="38"/>
      <c r="G132" s="54"/>
      <c r="H132" s="54"/>
      <c r="I132" s="34"/>
      <c r="J132" s="34"/>
      <c r="K132" s="38"/>
      <c r="L132" s="38"/>
      <c r="M132" s="54"/>
      <c r="N132" s="54"/>
      <c r="O132" s="34"/>
      <c r="P132" s="34"/>
      <c r="Q132" s="38"/>
      <c r="R132" s="38"/>
      <c r="S132" s="54"/>
      <c r="T132" s="54"/>
      <c r="U132" s="34"/>
      <c r="V132" s="34"/>
      <c r="W132" s="38"/>
      <c r="X132" s="38"/>
      <c r="Y132" s="54"/>
      <c r="Z132" s="34"/>
      <c r="AA132" s="34"/>
      <c r="AB132" s="38"/>
      <c r="AC132" s="38"/>
      <c r="AD132" s="54"/>
    </row>
    <row r="133" spans="3:30" x14ac:dyDescent="0.25">
      <c r="C133" s="34"/>
      <c r="D133" s="34"/>
      <c r="E133" s="38"/>
      <c r="F133" s="38"/>
      <c r="G133" s="54"/>
      <c r="H133" s="54"/>
      <c r="I133" s="34"/>
      <c r="J133" s="34"/>
      <c r="K133" s="38"/>
      <c r="L133" s="38"/>
      <c r="M133" s="54"/>
      <c r="N133" s="54"/>
      <c r="O133" s="34"/>
      <c r="P133" s="34"/>
      <c r="Q133" s="38"/>
      <c r="R133" s="38"/>
      <c r="S133" s="54"/>
      <c r="T133" s="54"/>
      <c r="U133" s="34"/>
      <c r="V133" s="34"/>
      <c r="W133" s="38"/>
      <c r="X133" s="38"/>
      <c r="Y133" s="54"/>
      <c r="Z133" s="34"/>
      <c r="AA133" s="34"/>
      <c r="AB133" s="38"/>
      <c r="AC133" s="38"/>
      <c r="AD133" s="54"/>
    </row>
    <row r="134" spans="3:30" x14ac:dyDescent="0.25">
      <c r="C134" s="34"/>
      <c r="D134" s="34"/>
      <c r="E134" s="38"/>
      <c r="F134" s="38"/>
      <c r="G134" s="54"/>
      <c r="H134" s="54"/>
      <c r="I134" s="34"/>
      <c r="J134" s="34"/>
      <c r="K134" s="38"/>
      <c r="L134" s="38"/>
      <c r="M134" s="54"/>
      <c r="N134" s="54"/>
      <c r="O134" s="34"/>
      <c r="P134" s="34"/>
      <c r="Q134" s="38"/>
      <c r="R134" s="38"/>
      <c r="S134" s="54"/>
      <c r="T134" s="54"/>
      <c r="U134" s="34"/>
      <c r="V134" s="34"/>
      <c r="W134" s="38"/>
      <c r="X134" s="38"/>
      <c r="Y134" s="54"/>
      <c r="Z134" s="34"/>
      <c r="AA134" s="34"/>
      <c r="AB134" s="38"/>
      <c r="AC134" s="38"/>
      <c r="AD134" s="54"/>
    </row>
    <row r="135" spans="3:30" x14ac:dyDescent="0.25">
      <c r="C135" s="34"/>
      <c r="D135" s="34"/>
      <c r="E135" s="38"/>
      <c r="F135" s="38"/>
      <c r="G135" s="54"/>
      <c r="H135" s="54"/>
      <c r="I135" s="34"/>
      <c r="J135" s="34"/>
      <c r="K135" s="38"/>
      <c r="L135" s="38"/>
      <c r="M135" s="54"/>
      <c r="N135" s="54"/>
      <c r="O135" s="34"/>
      <c r="P135" s="34"/>
      <c r="Q135" s="38"/>
      <c r="R135" s="38"/>
      <c r="S135" s="54"/>
      <c r="T135" s="54"/>
      <c r="U135" s="34"/>
      <c r="V135" s="34"/>
      <c r="W135" s="38"/>
      <c r="X135" s="38"/>
      <c r="Y135" s="54"/>
      <c r="Z135" s="34"/>
      <c r="AA135" s="34"/>
      <c r="AB135" s="38"/>
      <c r="AC135" s="38"/>
      <c r="AD135" s="54"/>
    </row>
    <row r="136" spans="3:30" x14ac:dyDescent="0.25">
      <c r="C136" s="34"/>
      <c r="D136" s="34"/>
      <c r="E136" s="38"/>
      <c r="F136" s="38"/>
      <c r="G136" s="54"/>
      <c r="H136" s="54"/>
      <c r="I136" s="34"/>
      <c r="J136" s="34"/>
      <c r="K136" s="38"/>
      <c r="L136" s="38"/>
      <c r="M136" s="54"/>
      <c r="N136" s="54"/>
      <c r="O136" s="34"/>
      <c r="P136" s="34"/>
      <c r="Q136" s="38"/>
      <c r="R136" s="38"/>
      <c r="S136" s="54"/>
      <c r="T136" s="54"/>
      <c r="U136" s="34"/>
      <c r="V136" s="34"/>
      <c r="W136" s="38"/>
      <c r="X136" s="38"/>
      <c r="Y136" s="54"/>
      <c r="Z136" s="34"/>
      <c r="AA136" s="34"/>
      <c r="AB136" s="38"/>
      <c r="AC136" s="38"/>
      <c r="AD136" s="54"/>
    </row>
    <row r="137" spans="3:30" x14ac:dyDescent="0.25">
      <c r="C137" s="34"/>
      <c r="D137" s="34"/>
      <c r="E137" s="38"/>
      <c r="F137" s="38"/>
      <c r="G137" s="54"/>
      <c r="H137" s="54"/>
      <c r="I137" s="34"/>
      <c r="J137" s="34"/>
      <c r="K137" s="38"/>
      <c r="L137" s="38"/>
      <c r="M137" s="54"/>
      <c r="N137" s="54"/>
      <c r="O137" s="34"/>
      <c r="P137" s="34"/>
      <c r="Q137" s="38"/>
      <c r="R137" s="38"/>
      <c r="S137" s="54"/>
      <c r="T137" s="54"/>
      <c r="U137" s="34"/>
      <c r="V137" s="34"/>
      <c r="W137" s="38"/>
      <c r="X137" s="38"/>
      <c r="Y137" s="54"/>
      <c r="Z137" s="34"/>
      <c r="AA137" s="34"/>
      <c r="AB137" s="38"/>
      <c r="AC137" s="38"/>
      <c r="AD137" s="54"/>
    </row>
    <row r="138" spans="3:30" x14ac:dyDescent="0.25">
      <c r="C138" s="34"/>
      <c r="D138" s="34"/>
      <c r="E138" s="38"/>
      <c r="F138" s="38"/>
      <c r="G138" s="54"/>
      <c r="H138" s="54"/>
      <c r="I138" s="34"/>
      <c r="J138" s="34"/>
      <c r="K138" s="38"/>
      <c r="L138" s="38"/>
      <c r="M138" s="54"/>
      <c r="N138" s="54"/>
      <c r="O138" s="34"/>
      <c r="P138" s="34"/>
      <c r="Q138" s="38"/>
      <c r="R138" s="38"/>
      <c r="S138" s="54"/>
      <c r="T138" s="54"/>
      <c r="U138" s="34"/>
      <c r="V138" s="34"/>
      <c r="W138" s="38"/>
      <c r="X138" s="38"/>
      <c r="Y138" s="54"/>
      <c r="Z138" s="34"/>
      <c r="AA138" s="34"/>
      <c r="AB138" s="38"/>
      <c r="AC138" s="38"/>
      <c r="AD138" s="54"/>
    </row>
    <row r="139" spans="3:30" x14ac:dyDescent="0.25">
      <c r="C139" s="34"/>
      <c r="D139" s="34"/>
      <c r="E139" s="38"/>
      <c r="F139" s="38"/>
      <c r="G139" s="54"/>
      <c r="H139" s="54"/>
      <c r="I139" s="34"/>
      <c r="J139" s="34"/>
      <c r="K139" s="38"/>
      <c r="L139" s="38"/>
      <c r="M139" s="54"/>
      <c r="N139" s="54"/>
      <c r="O139" s="34"/>
      <c r="P139" s="34"/>
      <c r="Q139" s="38"/>
      <c r="R139" s="38"/>
      <c r="S139" s="54"/>
      <c r="T139" s="54"/>
      <c r="U139" s="34"/>
      <c r="V139" s="34"/>
      <c r="W139" s="38"/>
      <c r="X139" s="38"/>
      <c r="Y139" s="54"/>
      <c r="Z139" s="34"/>
      <c r="AA139" s="34"/>
      <c r="AB139" s="38"/>
      <c r="AC139" s="38"/>
      <c r="AD139" s="54"/>
    </row>
    <row r="140" spans="3:30" x14ac:dyDescent="0.25">
      <c r="C140" s="34"/>
      <c r="D140" s="34"/>
      <c r="E140" s="38"/>
      <c r="F140" s="38"/>
      <c r="G140" s="54"/>
      <c r="H140" s="54"/>
      <c r="I140" s="34"/>
      <c r="J140" s="34"/>
      <c r="K140" s="38"/>
      <c r="L140" s="38"/>
      <c r="M140" s="54"/>
      <c r="N140" s="54"/>
      <c r="O140" s="34"/>
      <c r="P140" s="34"/>
      <c r="Q140" s="38"/>
      <c r="R140" s="38"/>
      <c r="S140" s="54"/>
      <c r="T140" s="54"/>
      <c r="U140" s="34"/>
      <c r="V140" s="34"/>
      <c r="W140" s="38"/>
      <c r="X140" s="38"/>
      <c r="Y140" s="54"/>
      <c r="Z140" s="34"/>
      <c r="AA140" s="34"/>
      <c r="AB140" s="38"/>
      <c r="AC140" s="38"/>
      <c r="AD140" s="54"/>
    </row>
    <row r="141" spans="3:30" x14ac:dyDescent="0.25">
      <c r="C141" s="34"/>
      <c r="D141" s="34"/>
      <c r="E141" s="38"/>
      <c r="F141" s="38"/>
      <c r="G141" s="54"/>
      <c r="H141" s="54"/>
      <c r="I141" s="34"/>
      <c r="J141" s="34"/>
      <c r="K141" s="38"/>
      <c r="L141" s="38"/>
      <c r="M141" s="54"/>
      <c r="N141" s="54"/>
      <c r="O141" s="34"/>
      <c r="P141" s="34"/>
      <c r="Q141" s="38"/>
      <c r="R141" s="38"/>
      <c r="S141" s="54"/>
      <c r="T141" s="54"/>
      <c r="U141" s="34"/>
      <c r="V141" s="34"/>
      <c r="W141" s="38"/>
      <c r="X141" s="38"/>
      <c r="Y141" s="54"/>
      <c r="Z141" s="34"/>
      <c r="AA141" s="34"/>
      <c r="AB141" s="38"/>
      <c r="AC141" s="38"/>
      <c r="AD141" s="54"/>
    </row>
    <row r="142" spans="3:30" x14ac:dyDescent="0.25">
      <c r="C142" s="34"/>
      <c r="D142" s="34"/>
      <c r="E142" s="38"/>
      <c r="F142" s="38"/>
      <c r="G142" s="54"/>
      <c r="H142" s="54"/>
      <c r="I142" s="34"/>
      <c r="J142" s="34"/>
      <c r="K142" s="38"/>
      <c r="L142" s="38"/>
      <c r="M142" s="54"/>
      <c r="N142" s="54"/>
      <c r="O142" s="34"/>
      <c r="P142" s="34"/>
      <c r="Q142" s="38"/>
      <c r="R142" s="38"/>
      <c r="S142" s="54"/>
      <c r="T142" s="54"/>
      <c r="U142" s="34"/>
      <c r="V142" s="34"/>
      <c r="W142" s="38"/>
      <c r="X142" s="38"/>
      <c r="Y142" s="54"/>
      <c r="Z142" s="34"/>
      <c r="AA142" s="34"/>
      <c r="AB142" s="38"/>
      <c r="AC142" s="38"/>
      <c r="AD142" s="54"/>
    </row>
    <row r="143" spans="3:30" x14ac:dyDescent="0.25">
      <c r="C143" s="34"/>
      <c r="D143" s="34"/>
      <c r="E143" s="38"/>
      <c r="F143" s="38"/>
      <c r="G143" s="54"/>
      <c r="H143" s="54"/>
      <c r="I143" s="34"/>
      <c r="J143" s="34"/>
      <c r="K143" s="38"/>
      <c r="L143" s="38"/>
      <c r="M143" s="54"/>
      <c r="N143" s="54"/>
      <c r="O143" s="34"/>
      <c r="P143" s="34"/>
      <c r="Q143" s="38"/>
      <c r="R143" s="38"/>
      <c r="S143" s="54"/>
      <c r="T143" s="54"/>
      <c r="U143" s="34"/>
      <c r="V143" s="34"/>
      <c r="W143" s="38"/>
      <c r="X143" s="38"/>
      <c r="Y143" s="54"/>
      <c r="Z143" s="34"/>
      <c r="AA143" s="34"/>
      <c r="AB143" s="38"/>
      <c r="AC143" s="38"/>
      <c r="AD143" s="54"/>
    </row>
    <row r="144" spans="3:30" x14ac:dyDescent="0.25">
      <c r="C144" s="34"/>
      <c r="D144" s="34"/>
      <c r="E144" s="38"/>
      <c r="F144" s="38"/>
      <c r="G144" s="54"/>
      <c r="H144" s="54"/>
      <c r="I144" s="34"/>
      <c r="J144" s="34"/>
      <c r="K144" s="38"/>
      <c r="L144" s="38"/>
      <c r="M144" s="54"/>
      <c r="N144" s="54"/>
      <c r="O144" s="34"/>
      <c r="P144" s="34"/>
      <c r="Q144" s="38"/>
      <c r="R144" s="38"/>
      <c r="S144" s="54"/>
      <c r="T144" s="54"/>
      <c r="U144" s="34"/>
      <c r="V144" s="34"/>
      <c r="W144" s="38"/>
      <c r="X144" s="38"/>
      <c r="Y144" s="54"/>
      <c r="Z144" s="34"/>
      <c r="AA144" s="34"/>
      <c r="AB144" s="38"/>
      <c r="AC144" s="38"/>
      <c r="AD144" s="54"/>
    </row>
    <row r="145" spans="3:30" x14ac:dyDescent="0.25">
      <c r="C145" s="34"/>
      <c r="D145" s="34"/>
      <c r="E145" s="38"/>
      <c r="F145" s="38"/>
      <c r="G145" s="54"/>
      <c r="H145" s="54"/>
      <c r="I145" s="34"/>
      <c r="J145" s="34"/>
      <c r="K145" s="38"/>
      <c r="L145" s="38"/>
      <c r="M145" s="54"/>
      <c r="N145" s="54"/>
      <c r="O145" s="34"/>
      <c r="P145" s="34"/>
      <c r="Q145" s="38"/>
      <c r="R145" s="38"/>
      <c r="S145" s="54"/>
      <c r="T145" s="54"/>
      <c r="U145" s="34"/>
      <c r="V145" s="34"/>
      <c r="W145" s="38"/>
      <c r="X145" s="38"/>
      <c r="Y145" s="54"/>
      <c r="Z145" s="34"/>
      <c r="AA145" s="34"/>
      <c r="AB145" s="38"/>
      <c r="AC145" s="38"/>
      <c r="AD145" s="54"/>
    </row>
    <row r="146" spans="3:30" x14ac:dyDescent="0.25">
      <c r="C146" s="34"/>
      <c r="D146" s="34"/>
      <c r="E146" s="38"/>
      <c r="F146" s="38"/>
      <c r="G146" s="54"/>
      <c r="H146" s="54"/>
      <c r="I146" s="34"/>
      <c r="J146" s="34"/>
      <c r="K146" s="38"/>
      <c r="L146" s="38"/>
      <c r="M146" s="54"/>
      <c r="N146" s="54"/>
      <c r="O146" s="34"/>
      <c r="P146" s="34"/>
      <c r="Q146" s="38"/>
      <c r="R146" s="38"/>
      <c r="S146" s="54"/>
      <c r="T146" s="54"/>
      <c r="U146" s="34"/>
      <c r="V146" s="34"/>
      <c r="W146" s="38"/>
      <c r="X146" s="38"/>
      <c r="Y146" s="54"/>
      <c r="Z146" s="34"/>
      <c r="AA146" s="34"/>
      <c r="AB146" s="38"/>
      <c r="AC146" s="38"/>
      <c r="AD146" s="54"/>
    </row>
    <row r="147" spans="3:30" x14ac:dyDescent="0.25">
      <c r="C147" s="34"/>
      <c r="D147" s="34"/>
      <c r="E147" s="38"/>
      <c r="F147" s="38"/>
      <c r="G147" s="54"/>
      <c r="H147" s="54"/>
      <c r="I147" s="34"/>
      <c r="J147" s="34"/>
      <c r="K147" s="38"/>
      <c r="L147" s="38"/>
      <c r="M147" s="54"/>
      <c r="N147" s="54"/>
      <c r="O147" s="34"/>
      <c r="P147" s="34"/>
      <c r="Q147" s="38"/>
      <c r="R147" s="38"/>
      <c r="S147" s="54"/>
      <c r="T147" s="54"/>
      <c r="U147" s="34"/>
      <c r="V147" s="34"/>
      <c r="W147" s="38"/>
      <c r="X147" s="38"/>
      <c r="Y147" s="54"/>
      <c r="Z147" s="34"/>
      <c r="AA147" s="34"/>
      <c r="AB147" s="38"/>
      <c r="AC147" s="38"/>
      <c r="AD147" s="54"/>
    </row>
    <row r="148" spans="3:30" x14ac:dyDescent="0.25">
      <c r="C148" s="34"/>
      <c r="D148" s="34"/>
      <c r="E148" s="38"/>
      <c r="F148" s="38"/>
      <c r="G148" s="54"/>
      <c r="H148" s="54"/>
      <c r="I148" s="34"/>
      <c r="J148" s="34"/>
      <c r="K148" s="38"/>
      <c r="L148" s="38"/>
      <c r="M148" s="54"/>
      <c r="N148" s="54"/>
      <c r="O148" s="34"/>
      <c r="P148" s="34"/>
      <c r="Q148" s="38"/>
      <c r="R148" s="38"/>
      <c r="S148" s="54"/>
      <c r="T148" s="54"/>
      <c r="U148" s="34"/>
      <c r="V148" s="34"/>
      <c r="W148" s="38"/>
      <c r="X148" s="38"/>
      <c r="Y148" s="54"/>
      <c r="Z148" s="34"/>
      <c r="AA148" s="34"/>
      <c r="AB148" s="38"/>
      <c r="AC148" s="38"/>
      <c r="AD148" s="54"/>
    </row>
    <row r="149" spans="3:30" x14ac:dyDescent="0.25">
      <c r="C149" s="34"/>
      <c r="D149" s="34"/>
      <c r="E149" s="38"/>
      <c r="F149" s="38"/>
      <c r="G149" s="54"/>
      <c r="H149" s="54"/>
      <c r="I149" s="34"/>
      <c r="J149" s="34"/>
      <c r="K149" s="38"/>
      <c r="L149" s="38"/>
      <c r="M149" s="54"/>
      <c r="N149" s="54"/>
      <c r="O149" s="34"/>
      <c r="P149" s="34"/>
      <c r="Q149" s="38"/>
      <c r="R149" s="38"/>
      <c r="S149" s="54"/>
      <c r="T149" s="54"/>
      <c r="U149" s="34"/>
      <c r="V149" s="34"/>
      <c r="W149" s="38"/>
      <c r="X149" s="38"/>
      <c r="Y149" s="54"/>
      <c r="Z149" s="34"/>
      <c r="AA149" s="34"/>
      <c r="AB149" s="38"/>
      <c r="AC149" s="38"/>
      <c r="AD149" s="54"/>
    </row>
    <row r="150" spans="3:30" x14ac:dyDescent="0.25">
      <c r="C150" s="34"/>
      <c r="D150" s="34"/>
      <c r="E150" s="38"/>
      <c r="F150" s="38"/>
      <c r="G150" s="54"/>
      <c r="H150" s="54"/>
      <c r="I150" s="34"/>
      <c r="J150" s="34"/>
      <c r="K150" s="38"/>
      <c r="L150" s="38"/>
      <c r="M150" s="54"/>
      <c r="N150" s="54"/>
      <c r="O150" s="34"/>
      <c r="P150" s="34"/>
      <c r="Q150" s="38"/>
      <c r="R150" s="38"/>
      <c r="S150" s="54"/>
      <c r="T150" s="54"/>
      <c r="U150" s="34"/>
      <c r="V150" s="34"/>
      <c r="W150" s="38"/>
      <c r="X150" s="38"/>
      <c r="Y150" s="54"/>
      <c r="Z150" s="34"/>
      <c r="AA150" s="34"/>
      <c r="AB150" s="38"/>
      <c r="AC150" s="38"/>
      <c r="AD150" s="54"/>
    </row>
    <row r="151" spans="3:30" x14ac:dyDescent="0.25">
      <c r="C151" s="34"/>
      <c r="D151" s="34"/>
      <c r="E151" s="38"/>
      <c r="F151" s="38"/>
      <c r="G151" s="54"/>
      <c r="H151" s="54"/>
      <c r="I151" s="34"/>
      <c r="J151" s="34"/>
      <c r="K151" s="38"/>
      <c r="L151" s="38"/>
      <c r="M151" s="54"/>
      <c r="N151" s="54"/>
      <c r="O151" s="34"/>
      <c r="P151" s="34"/>
      <c r="Q151" s="38"/>
      <c r="R151" s="38"/>
      <c r="S151" s="54"/>
      <c r="T151" s="54"/>
      <c r="U151" s="34"/>
      <c r="V151" s="34"/>
      <c r="W151" s="38"/>
      <c r="X151" s="38"/>
      <c r="Y151" s="54"/>
      <c r="Z151" s="34"/>
      <c r="AA151" s="34"/>
      <c r="AB151" s="38"/>
      <c r="AC151" s="38"/>
      <c r="AD151" s="54"/>
    </row>
    <row r="152" spans="3:30" x14ac:dyDescent="0.25">
      <c r="C152" s="34"/>
      <c r="D152" s="34"/>
      <c r="E152" s="38"/>
      <c r="F152" s="38"/>
      <c r="G152" s="54"/>
      <c r="H152" s="54"/>
      <c r="I152" s="34"/>
      <c r="J152" s="34"/>
      <c r="K152" s="38"/>
      <c r="L152" s="38"/>
      <c r="M152" s="54"/>
      <c r="N152" s="54"/>
      <c r="O152" s="34"/>
      <c r="P152" s="34"/>
      <c r="Q152" s="38"/>
      <c r="R152" s="38"/>
      <c r="S152" s="54"/>
      <c r="T152" s="54"/>
      <c r="U152" s="34"/>
      <c r="V152" s="34"/>
      <c r="W152" s="38"/>
      <c r="X152" s="38"/>
      <c r="Y152" s="54"/>
      <c r="Z152" s="34"/>
      <c r="AA152" s="34"/>
      <c r="AB152" s="38"/>
      <c r="AC152" s="38"/>
      <c r="AD152" s="54"/>
    </row>
    <row r="153" spans="3:30" x14ac:dyDescent="0.25">
      <c r="C153" s="34"/>
      <c r="D153" s="34"/>
      <c r="E153" s="38"/>
      <c r="F153" s="38"/>
      <c r="G153" s="54"/>
      <c r="H153" s="54"/>
      <c r="I153" s="34"/>
      <c r="J153" s="34"/>
      <c r="K153" s="38"/>
      <c r="L153" s="38"/>
      <c r="M153" s="54"/>
      <c r="N153" s="54"/>
      <c r="O153" s="34"/>
      <c r="P153" s="34"/>
      <c r="Q153" s="38"/>
      <c r="R153" s="38"/>
      <c r="S153" s="54"/>
      <c r="T153" s="54"/>
      <c r="U153" s="34"/>
      <c r="V153" s="34"/>
      <c r="W153" s="38"/>
      <c r="X153" s="38"/>
      <c r="Y153" s="54"/>
      <c r="Z153" s="34"/>
      <c r="AA153" s="34"/>
      <c r="AB153" s="38"/>
      <c r="AC153" s="38"/>
      <c r="AD153" s="54"/>
    </row>
    <row r="154" spans="3:30" x14ac:dyDescent="0.25">
      <c r="C154" s="34"/>
      <c r="D154" s="34"/>
      <c r="E154" s="38"/>
      <c r="F154" s="38"/>
      <c r="G154" s="54"/>
      <c r="H154" s="54"/>
      <c r="I154" s="34"/>
      <c r="J154" s="34"/>
      <c r="K154" s="38"/>
      <c r="L154" s="38"/>
      <c r="M154" s="54"/>
      <c r="N154" s="54"/>
      <c r="O154" s="34"/>
      <c r="P154" s="34"/>
      <c r="Q154" s="38"/>
      <c r="R154" s="38"/>
      <c r="S154" s="54"/>
      <c r="T154" s="54"/>
      <c r="U154" s="34"/>
      <c r="V154" s="34"/>
      <c r="W154" s="38"/>
      <c r="X154" s="38"/>
      <c r="Y154" s="54"/>
      <c r="Z154" s="34"/>
      <c r="AA154" s="34"/>
      <c r="AB154" s="38"/>
      <c r="AC154" s="38"/>
      <c r="AD154" s="54"/>
    </row>
    <row r="155" spans="3:30" x14ac:dyDescent="0.25">
      <c r="C155" s="34"/>
      <c r="D155" s="34"/>
      <c r="E155" s="38"/>
      <c r="F155" s="38"/>
      <c r="G155" s="54"/>
      <c r="H155" s="54"/>
      <c r="I155" s="34"/>
      <c r="J155" s="34"/>
      <c r="K155" s="38"/>
      <c r="L155" s="38"/>
      <c r="M155" s="54"/>
      <c r="N155" s="54"/>
      <c r="O155" s="34"/>
      <c r="P155" s="34"/>
      <c r="Q155" s="38"/>
      <c r="R155" s="38"/>
      <c r="S155" s="54"/>
      <c r="T155" s="54"/>
      <c r="U155" s="34"/>
      <c r="V155" s="34"/>
      <c r="W155" s="38"/>
      <c r="X155" s="38"/>
      <c r="Y155" s="54"/>
      <c r="Z155" s="34"/>
      <c r="AA155" s="34"/>
      <c r="AB155" s="38"/>
      <c r="AC155" s="38"/>
      <c r="AD155" s="54"/>
    </row>
    <row r="156" spans="3:30" x14ac:dyDescent="0.25">
      <c r="C156" s="34"/>
      <c r="D156" s="34"/>
      <c r="E156" s="38"/>
      <c r="F156" s="38"/>
      <c r="G156" s="54"/>
      <c r="H156" s="54"/>
      <c r="I156" s="34"/>
      <c r="J156" s="34"/>
      <c r="K156" s="38"/>
      <c r="L156" s="38"/>
      <c r="M156" s="54"/>
      <c r="N156" s="54"/>
      <c r="O156" s="34"/>
      <c r="P156" s="34"/>
      <c r="Q156" s="38"/>
      <c r="R156" s="38"/>
      <c r="S156" s="54"/>
      <c r="T156" s="54"/>
      <c r="U156" s="34"/>
      <c r="V156" s="34"/>
      <c r="W156" s="38"/>
      <c r="X156" s="38"/>
      <c r="Y156" s="54"/>
      <c r="Z156" s="34"/>
      <c r="AA156" s="34"/>
      <c r="AB156" s="38"/>
      <c r="AC156" s="38"/>
      <c r="AD156" s="54"/>
    </row>
    <row r="157" spans="3:30" x14ac:dyDescent="0.25">
      <c r="C157" s="34"/>
      <c r="D157" s="34"/>
      <c r="E157" s="38"/>
      <c r="F157" s="38"/>
      <c r="G157" s="54"/>
      <c r="H157" s="54"/>
      <c r="I157" s="34"/>
      <c r="J157" s="34"/>
      <c r="K157" s="38"/>
      <c r="L157" s="38"/>
      <c r="M157" s="54"/>
      <c r="N157" s="54"/>
      <c r="O157" s="34"/>
      <c r="P157" s="34"/>
      <c r="Q157" s="38"/>
      <c r="R157" s="38"/>
      <c r="S157" s="54"/>
      <c r="T157" s="54"/>
      <c r="U157" s="34"/>
      <c r="V157" s="34"/>
      <c r="W157" s="38"/>
      <c r="X157" s="38"/>
      <c r="Y157" s="54"/>
      <c r="Z157" s="34"/>
      <c r="AA157" s="34"/>
      <c r="AB157" s="38"/>
      <c r="AC157" s="38"/>
      <c r="AD157" s="54"/>
    </row>
    <row r="158" spans="3:30" x14ac:dyDescent="0.25">
      <c r="C158" s="34"/>
      <c r="D158" s="34"/>
      <c r="E158" s="38"/>
      <c r="F158" s="38"/>
      <c r="G158" s="54"/>
      <c r="H158" s="54"/>
      <c r="I158" s="34"/>
      <c r="J158" s="34"/>
      <c r="K158" s="38"/>
      <c r="L158" s="38"/>
      <c r="M158" s="54"/>
      <c r="N158" s="54"/>
      <c r="O158" s="34"/>
      <c r="P158" s="34"/>
      <c r="Q158" s="38"/>
      <c r="R158" s="38"/>
      <c r="S158" s="54"/>
      <c r="T158" s="54"/>
      <c r="U158" s="34"/>
      <c r="V158" s="34"/>
      <c r="W158" s="38"/>
      <c r="X158" s="38"/>
      <c r="Y158" s="54"/>
      <c r="Z158" s="34"/>
      <c r="AA158" s="34"/>
      <c r="AB158" s="38"/>
      <c r="AC158" s="38"/>
      <c r="AD158" s="54"/>
    </row>
    <row r="159" spans="3:30" x14ac:dyDescent="0.25">
      <c r="C159" s="34"/>
      <c r="D159" s="34"/>
      <c r="E159" s="38"/>
      <c r="F159" s="38"/>
      <c r="G159" s="54"/>
      <c r="H159" s="54"/>
      <c r="I159" s="34"/>
      <c r="J159" s="34"/>
      <c r="K159" s="38"/>
      <c r="L159" s="38"/>
      <c r="M159" s="54"/>
      <c r="N159" s="54"/>
      <c r="O159" s="34"/>
      <c r="P159" s="34"/>
      <c r="Q159" s="38"/>
      <c r="R159" s="38"/>
      <c r="S159" s="54"/>
      <c r="T159" s="54"/>
      <c r="U159" s="34"/>
      <c r="V159" s="34"/>
      <c r="W159" s="38"/>
      <c r="X159" s="38"/>
      <c r="Y159" s="54"/>
      <c r="Z159" s="34"/>
      <c r="AA159" s="34"/>
      <c r="AB159" s="38"/>
      <c r="AC159" s="38"/>
      <c r="AD159" s="54"/>
    </row>
    <row r="160" spans="3:30" x14ac:dyDescent="0.25">
      <c r="C160" s="34"/>
      <c r="D160" s="34"/>
      <c r="E160" s="38"/>
      <c r="F160" s="38"/>
      <c r="G160" s="54"/>
      <c r="H160" s="54"/>
      <c r="I160" s="34"/>
      <c r="J160" s="34"/>
      <c r="K160" s="38"/>
      <c r="L160" s="38"/>
      <c r="M160" s="54"/>
      <c r="N160" s="54"/>
      <c r="O160" s="34"/>
      <c r="P160" s="34"/>
      <c r="Q160" s="38"/>
      <c r="R160" s="38"/>
      <c r="S160" s="54"/>
      <c r="T160" s="54"/>
      <c r="U160" s="34"/>
      <c r="V160" s="34"/>
      <c r="W160" s="38"/>
      <c r="X160" s="38"/>
      <c r="Y160" s="54"/>
      <c r="Z160" s="34"/>
      <c r="AA160" s="34"/>
      <c r="AB160" s="38"/>
      <c r="AC160" s="38"/>
      <c r="AD160" s="54"/>
    </row>
    <row r="161" spans="3:30" x14ac:dyDescent="0.25">
      <c r="C161" s="34"/>
      <c r="D161" s="34"/>
      <c r="E161" s="38"/>
      <c r="F161" s="38"/>
      <c r="G161" s="54"/>
      <c r="H161" s="54"/>
      <c r="I161" s="34"/>
      <c r="J161" s="34"/>
      <c r="K161" s="38"/>
      <c r="L161" s="38"/>
      <c r="M161" s="54"/>
      <c r="N161" s="54"/>
      <c r="O161" s="34"/>
      <c r="P161" s="34"/>
      <c r="Q161" s="38"/>
      <c r="R161" s="38"/>
      <c r="S161" s="54"/>
      <c r="T161" s="54"/>
      <c r="U161" s="34"/>
      <c r="V161" s="34"/>
      <c r="W161" s="38"/>
      <c r="X161" s="38"/>
      <c r="Y161" s="54"/>
      <c r="Z161" s="34"/>
      <c r="AA161" s="34"/>
      <c r="AB161" s="38"/>
      <c r="AC161" s="38"/>
      <c r="AD161" s="54"/>
    </row>
    <row r="162" spans="3:30" x14ac:dyDescent="0.25">
      <c r="C162" s="34"/>
      <c r="D162" s="34"/>
      <c r="E162" s="38"/>
      <c r="F162" s="38"/>
      <c r="G162" s="54"/>
      <c r="H162" s="54"/>
      <c r="I162" s="34"/>
      <c r="J162" s="34"/>
      <c r="K162" s="38"/>
      <c r="L162" s="38"/>
      <c r="M162" s="54"/>
      <c r="N162" s="54"/>
      <c r="O162" s="34"/>
      <c r="P162" s="34"/>
      <c r="Q162" s="38"/>
      <c r="R162" s="38"/>
      <c r="S162" s="54"/>
      <c r="T162" s="54"/>
      <c r="U162" s="34"/>
      <c r="V162" s="34"/>
      <c r="W162" s="38"/>
      <c r="X162" s="38"/>
      <c r="Y162" s="54"/>
      <c r="Z162" s="34"/>
      <c r="AA162" s="34"/>
      <c r="AB162" s="38"/>
      <c r="AC162" s="38"/>
      <c r="AD162" s="54"/>
    </row>
  </sheetData>
  <sheetProtection password="CFD3" sheet="1" objects="1" scenarios="1" selectLockedCells="1" selectUnlockedCells="1"/>
  <mergeCells count="5">
    <mergeCell ref="Z5:AD5"/>
    <mergeCell ref="C5:G5"/>
    <mergeCell ref="I5:M5"/>
    <mergeCell ref="O5:S5"/>
    <mergeCell ref="U5:Y5"/>
  </mergeCells>
  <printOptions horizontalCentered="1"/>
  <pageMargins left="0.2" right="0.2" top="0.75" bottom="0.75" header="0.3" footer="0.3"/>
  <pageSetup scale="67" firstPageNumber="23" fitToWidth="5" fitToHeight="2" orientation="portrait" useFirstPageNumber="1" r:id="rId1"/>
  <headerFooter scaleWithDoc="0">
    <oddFooter>&amp;L&amp;9&amp;F - &amp;A&amp;C&amp;9Marina Coast Water District&amp;R&amp;9&amp;P</oddFooter>
  </headerFooter>
  <colBreaks count="4" manualBreakCount="4">
    <brk id="8" min="7" max="126" man="1"/>
    <brk id="14" min="7" max="126" man="1"/>
    <brk id="19" min="7" max="126" man="1"/>
    <brk id="25" min="7" max="1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R57"/>
  <sheetViews>
    <sheetView zoomScaleNormal="100" workbookViewId="0"/>
  </sheetViews>
  <sheetFormatPr defaultColWidth="9.140625" defaultRowHeight="15.75" outlineLevelCol="1" x14ac:dyDescent="0.25"/>
  <cols>
    <col min="1" max="1" width="40.28515625" style="3" bestFit="1" customWidth="1"/>
    <col min="2" max="2" width="14.7109375" style="69" hidden="1" customWidth="1" outlineLevel="1"/>
    <col min="3" max="3" width="11.5703125" style="3" customWidth="1" collapsed="1"/>
    <col min="4" max="5" width="11.5703125" style="3" customWidth="1"/>
    <col min="6" max="7" width="17.28515625" style="3" bestFit="1" customWidth="1"/>
    <col min="8" max="8" width="14.7109375" style="3" hidden="1" customWidth="1" outlineLevel="1"/>
    <col min="9" max="9" width="11.5703125" style="3" customWidth="1" collapsed="1"/>
    <col min="10" max="11" width="11.5703125" style="3" customWidth="1"/>
    <col min="12" max="13" width="17.28515625" style="3" bestFit="1" customWidth="1"/>
    <col min="14" max="16" width="11.5703125" style="3" customWidth="1"/>
    <col min="17" max="18" width="17.28515625" style="3" bestFit="1" customWidth="1"/>
    <col min="19" max="19" width="9.140625" style="3"/>
    <col min="20" max="21" width="16.140625" style="3" bestFit="1" customWidth="1"/>
    <col min="22" max="16384" width="9.140625" style="3"/>
  </cols>
  <sheetData>
    <row r="1" spans="1:18" s="1" customFormat="1" x14ac:dyDescent="0.25">
      <c r="A1" s="1" t="s">
        <v>31</v>
      </c>
      <c r="B1" s="68"/>
    </row>
    <row r="2" spans="1:18" s="1" customFormat="1" x14ac:dyDescent="0.25">
      <c r="A2" s="1" t="s">
        <v>1098</v>
      </c>
      <c r="B2" s="68"/>
    </row>
    <row r="3" spans="1:18" s="1" customFormat="1" x14ac:dyDescent="0.25">
      <c r="A3" s="1" t="str">
        <f>'All Departments'!A3</f>
        <v>JULY - DECEMBER 2014</v>
      </c>
      <c r="B3" s="68"/>
    </row>
    <row r="4" spans="1:18" s="1" customFormat="1" x14ac:dyDescent="0.25">
      <c r="B4" s="68"/>
    </row>
    <row r="5" spans="1:18" x14ac:dyDescent="0.25">
      <c r="A5" s="2" t="s">
        <v>0</v>
      </c>
      <c r="B5" s="80"/>
      <c r="C5" s="567" t="str">
        <f>'All Departments'!C5</f>
        <v>MARINA WATER</v>
      </c>
      <c r="D5" s="567"/>
      <c r="E5" s="567"/>
      <c r="F5" s="567"/>
      <c r="G5" s="568"/>
      <c r="H5" s="76"/>
      <c r="I5" s="567" t="str">
        <f>'All Departments'!O5</f>
        <v>ORD WATER</v>
      </c>
      <c r="J5" s="567"/>
      <c r="K5" s="567"/>
      <c r="L5" s="567"/>
      <c r="M5" s="568"/>
      <c r="N5" s="567" t="str">
        <f>'All Departments'!AL5</f>
        <v>TOTAL</v>
      </c>
      <c r="O5" s="567"/>
      <c r="P5" s="567"/>
      <c r="Q5" s="567"/>
      <c r="R5" s="568"/>
    </row>
    <row r="6" spans="1:18" x14ac:dyDescent="0.25">
      <c r="A6" s="4" t="s">
        <v>23</v>
      </c>
      <c r="B6" s="77" t="s">
        <v>952</v>
      </c>
      <c r="C6" s="24" t="str">
        <f>'All Departments'!$C$6</f>
        <v>ANNUAL</v>
      </c>
      <c r="D6" s="24" t="str">
        <f>'All Departments'!$D$6</f>
        <v>JUL - DEC</v>
      </c>
      <c r="E6" s="24" t="str">
        <f>'All Departments'!$E$6</f>
        <v>JUL - DEC</v>
      </c>
      <c r="F6" s="24" t="str">
        <f>'All Departments'!$F$6</f>
        <v>BUD vs ACTUALS</v>
      </c>
      <c r="G6" s="36" t="str">
        <f>'All Departments'!$G$6</f>
        <v>BUD vs ACTUALS</v>
      </c>
      <c r="H6" s="77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24" t="str">
        <f>$C$6</f>
        <v>ANNUAL</v>
      </c>
      <c r="O6" s="24" t="str">
        <f>$D$6</f>
        <v>JUL - DEC</v>
      </c>
      <c r="P6" s="24" t="str">
        <f>$E$6</f>
        <v>JUL - DEC</v>
      </c>
      <c r="Q6" s="24" t="str">
        <f>$F$6</f>
        <v>BUD vs ACTUALS</v>
      </c>
      <c r="R6" s="36" t="str">
        <f>$G$6</f>
        <v>BUD vs ACTUALS</v>
      </c>
    </row>
    <row r="7" spans="1:18" x14ac:dyDescent="0.25">
      <c r="A7" s="5"/>
      <c r="B7" s="78" t="s">
        <v>953</v>
      </c>
      <c r="C7" s="6" t="str">
        <f>'All Departments'!$C$7</f>
        <v>BUDGET</v>
      </c>
      <c r="D7" s="6" t="str">
        <f>'All Departments'!$D$7</f>
        <v>BUDGET</v>
      </c>
      <c r="E7" s="6" t="str">
        <f>'All Departments'!$E$7</f>
        <v>ACTUALS</v>
      </c>
      <c r="F7" s="6" t="str">
        <f>'All Departments'!$F$7</f>
        <v>$ CHANGE</v>
      </c>
      <c r="G7" s="7" t="str">
        <f>'All Departments'!$G$7</f>
        <v>% CHANGE</v>
      </c>
      <c r="H7" s="78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6" t="str">
        <f>$C$7</f>
        <v>BUDGET</v>
      </c>
      <c r="O7" s="6" t="str">
        <f>$D$7</f>
        <v>BUDGET</v>
      </c>
      <c r="P7" s="6" t="str">
        <f>$E$7</f>
        <v>ACTUALS</v>
      </c>
      <c r="Q7" s="6" t="str">
        <f>$F$7</f>
        <v>$ CHANGE</v>
      </c>
      <c r="R7" s="7" t="str">
        <f>$G$7</f>
        <v>% CHANGE</v>
      </c>
    </row>
    <row r="8" spans="1:18" x14ac:dyDescent="0.25">
      <c r="A8" s="8"/>
      <c r="B8" s="75"/>
      <c r="C8" s="9"/>
      <c r="D8" s="9"/>
      <c r="E8" s="9"/>
      <c r="F8" s="10"/>
      <c r="G8" s="41"/>
      <c r="H8" s="147"/>
      <c r="I8" s="9"/>
      <c r="J8" s="9"/>
      <c r="K8" s="9"/>
      <c r="L8" s="10"/>
      <c r="M8" s="41"/>
      <c r="N8" s="9"/>
      <c r="O8" s="9"/>
      <c r="P8" s="9"/>
      <c r="Q8" s="10"/>
      <c r="R8" s="41"/>
    </row>
    <row r="9" spans="1:18" x14ac:dyDescent="0.25">
      <c r="A9" s="13" t="s">
        <v>1249</v>
      </c>
      <c r="B9" s="142" t="s">
        <v>430</v>
      </c>
      <c r="C9" s="14">
        <f>VLOOKUP(B9,'TB - Expense Data'!$H$3:$N$758,3,FALSE)</f>
        <v>44355.6</v>
      </c>
      <c r="D9" s="14">
        <f>C9/2</f>
        <v>22177.8</v>
      </c>
      <c r="E9" s="26">
        <f>VLOOKUP(B9,'TB - Expense Data'!$H$3:$N$758,7,FALSE)</f>
        <v>21039.31</v>
      </c>
      <c r="F9" s="92">
        <f>E9-D9</f>
        <v>-1138.489999999998</v>
      </c>
      <c r="G9" s="48">
        <f>IF(AND(D9&lt;&gt;0,F9&lt;&gt;0,ISNUMBER(D9),ISNUMBER(F9)),F9/D9,"-    ")</f>
        <v>-5.1334668001334578E-2</v>
      </c>
      <c r="H9" s="148" t="s">
        <v>461</v>
      </c>
      <c r="I9" s="14">
        <f>VLOOKUP(H9,'TB - Expense Data'!$H$3:$N$758,3,FALSE)</f>
        <v>78854.399999999994</v>
      </c>
      <c r="J9" s="14">
        <f>I9/2</f>
        <v>39427.199999999997</v>
      </c>
      <c r="K9" s="26">
        <f>VLOOKUP(H9,'TB - Expense Data'!$H$3:$N$758,7,FALSE)</f>
        <v>36648.480000000003</v>
      </c>
      <c r="L9" s="92">
        <f>K9-J9</f>
        <v>-2778.7199999999939</v>
      </c>
      <c r="M9" s="48">
        <f>IF(AND(J9&lt;&gt;0,L9&lt;&gt;0,ISNUMBER(J9),ISNUMBER(L9)),L9/J9,"-    ")</f>
        <v>-7.0477233990747359E-2</v>
      </c>
      <c r="N9" s="14">
        <f>C9+I9</f>
        <v>123210</v>
      </c>
      <c r="O9" s="14">
        <f>D9+J9</f>
        <v>61605</v>
      </c>
      <c r="P9" s="26">
        <f>E9+K9</f>
        <v>57687.790000000008</v>
      </c>
      <c r="Q9" s="92">
        <f>P9-O9</f>
        <v>-3917.2099999999919</v>
      </c>
      <c r="R9" s="48">
        <f>IF(AND(O9&lt;&gt;0,Q9&lt;&gt;0,ISNUMBER(O9),ISNUMBER(Q9)),Q9/O9,"-    ")</f>
        <v>-6.3585910234558757E-2</v>
      </c>
    </row>
    <row r="10" spans="1:18" x14ac:dyDescent="0.25">
      <c r="A10" s="13" t="s">
        <v>37</v>
      </c>
      <c r="B10" s="142" t="s">
        <v>423</v>
      </c>
      <c r="C10" s="14">
        <f>VLOOKUP(B10,'TB - Expense Data'!$H$3:$N$758,3,FALSE)</f>
        <v>257.39999999999998</v>
      </c>
      <c r="D10" s="14">
        <f t="shared" ref="D10:D25" si="0">C10/2</f>
        <v>128.69999999999999</v>
      </c>
      <c r="E10" s="26">
        <f>VLOOKUP(B10,'TB - Expense Data'!$H$3:$N$758,7,FALSE)</f>
        <v>0</v>
      </c>
      <c r="F10" s="92">
        <f t="shared" ref="F10:F25" si="1">E10-D10</f>
        <v>-128.69999999999999</v>
      </c>
      <c r="G10" s="48">
        <f t="shared" ref="G10:G25" si="2">IF(AND(D10&lt;&gt;0,F10&lt;&gt;0,ISNUMBER(D10),ISNUMBER(F10)),F10/D10,"-    ")</f>
        <v>-1</v>
      </c>
      <c r="H10" s="148" t="s">
        <v>454</v>
      </c>
      <c r="I10" s="14">
        <f>VLOOKUP(H10,'TB - Expense Data'!$H$3:$N$758,3,FALSE)</f>
        <v>457.6</v>
      </c>
      <c r="J10" s="14">
        <f t="shared" ref="J10:J25" si="3">I10/2</f>
        <v>228.8</v>
      </c>
      <c r="K10" s="26">
        <f>VLOOKUP(H10,'TB - Expense Data'!$H$3:$N$758,7,FALSE)</f>
        <v>0</v>
      </c>
      <c r="L10" s="92">
        <f t="shared" ref="L10:L25" si="4">K10-J10</f>
        <v>-228.8</v>
      </c>
      <c r="M10" s="48">
        <f t="shared" ref="M10:M25" si="5">IF(AND(J10&lt;&gt;0,L10&lt;&gt;0,ISNUMBER(J10),ISNUMBER(L10)),L10/J10,"-    ")</f>
        <v>-1</v>
      </c>
      <c r="N10" s="14">
        <f t="shared" ref="N10:N25" si="6">C10+I10</f>
        <v>715</v>
      </c>
      <c r="O10" s="14">
        <f t="shared" ref="O10:O25" si="7">D10+J10</f>
        <v>357.5</v>
      </c>
      <c r="P10" s="26">
        <f t="shared" ref="P10:P25" si="8">E10+K10</f>
        <v>0</v>
      </c>
      <c r="Q10" s="92">
        <f t="shared" ref="Q10:Q25" si="9">P10-O10</f>
        <v>-357.5</v>
      </c>
      <c r="R10" s="48">
        <f t="shared" ref="R10:R25" si="10">IF(AND(O10&lt;&gt;0,Q10&lt;&gt;0,ISNUMBER(O10),ISNUMBER(Q10)),Q10/O10,"-    ")</f>
        <v>-1</v>
      </c>
    </row>
    <row r="11" spans="1:18" x14ac:dyDescent="0.25">
      <c r="A11" s="13" t="s">
        <v>153</v>
      </c>
      <c r="B11" s="142" t="s">
        <v>412</v>
      </c>
      <c r="C11" s="14">
        <f>VLOOKUP(B11,'TB - Expense Data'!$H$3:$N$758,3,FALSE)</f>
        <v>2765.88</v>
      </c>
      <c r="D11" s="14">
        <f t="shared" si="0"/>
        <v>1382.94</v>
      </c>
      <c r="E11" s="26">
        <f>VLOOKUP(B11,'TB - Expense Data'!$H$3:$N$758,7,FALSE)</f>
        <v>1270.1099999999999</v>
      </c>
      <c r="F11" s="92">
        <f t="shared" si="1"/>
        <v>-112.83000000000015</v>
      </c>
      <c r="G11" s="48">
        <f t="shared" si="2"/>
        <v>-8.1587053668272055E-2</v>
      </c>
      <c r="H11" s="148" t="s">
        <v>444</v>
      </c>
      <c r="I11" s="14">
        <f>VLOOKUP(H11,'TB - Expense Data'!$H$3:$N$758,3,FALSE)</f>
        <v>4917.12</v>
      </c>
      <c r="J11" s="14">
        <f t="shared" si="3"/>
        <v>2458.56</v>
      </c>
      <c r="K11" s="26">
        <f>VLOOKUP(H11,'TB - Expense Data'!$H$3:$N$758,7,FALSE)</f>
        <v>2220.3000000000002</v>
      </c>
      <c r="L11" s="92">
        <f t="shared" si="4"/>
        <v>-238.25999999999976</v>
      </c>
      <c r="M11" s="48">
        <f t="shared" si="5"/>
        <v>-9.6910386567746878E-2</v>
      </c>
      <c r="N11" s="14">
        <f t="shared" si="6"/>
        <v>7683</v>
      </c>
      <c r="O11" s="14">
        <f t="shared" si="7"/>
        <v>3841.5</v>
      </c>
      <c r="P11" s="26">
        <f t="shared" si="8"/>
        <v>3490.41</v>
      </c>
      <c r="Q11" s="92">
        <f t="shared" si="9"/>
        <v>-351.09000000000015</v>
      </c>
      <c r="R11" s="48">
        <f t="shared" si="10"/>
        <v>-9.1393986723936005E-2</v>
      </c>
    </row>
    <row r="12" spans="1:18" x14ac:dyDescent="0.25">
      <c r="A12" s="13" t="s">
        <v>154</v>
      </c>
      <c r="B12" s="142" t="s">
        <v>418</v>
      </c>
      <c r="C12" s="14">
        <f>VLOOKUP(B12,'TB - Expense Data'!$H$3:$N$758,3,FALSE)</f>
        <v>646.91999999999996</v>
      </c>
      <c r="D12" s="14">
        <f t="shared" si="0"/>
        <v>323.45999999999998</v>
      </c>
      <c r="E12" s="26">
        <f>VLOOKUP(B12,'TB - Expense Data'!$H$3:$N$758,7,FALSE)</f>
        <v>303.70999999999998</v>
      </c>
      <c r="F12" s="92">
        <f t="shared" si="1"/>
        <v>-19.75</v>
      </c>
      <c r="G12" s="48">
        <f t="shared" si="2"/>
        <v>-6.1058554380758058E-2</v>
      </c>
      <c r="H12" s="148" t="s">
        <v>443</v>
      </c>
      <c r="I12" s="14">
        <f>VLOOKUP(H12,'TB - Expense Data'!$H$3:$N$758,3,FALSE)</f>
        <v>1150.08</v>
      </c>
      <c r="J12" s="14">
        <f t="shared" si="3"/>
        <v>575.04</v>
      </c>
      <c r="K12" s="26">
        <f>VLOOKUP(H12,'TB - Expense Data'!$H$3:$N$758,7,FALSE)</f>
        <v>528.99</v>
      </c>
      <c r="L12" s="92">
        <f t="shared" si="4"/>
        <v>-46.049999999999955</v>
      </c>
      <c r="M12" s="48">
        <f t="shared" si="5"/>
        <v>-8.0081385642737826E-2</v>
      </c>
      <c r="N12" s="14">
        <f t="shared" si="6"/>
        <v>1797</v>
      </c>
      <c r="O12" s="14">
        <f t="shared" si="7"/>
        <v>898.5</v>
      </c>
      <c r="P12" s="26">
        <f t="shared" si="8"/>
        <v>832.7</v>
      </c>
      <c r="Q12" s="92">
        <f t="shared" si="9"/>
        <v>-65.799999999999955</v>
      </c>
      <c r="R12" s="48">
        <f t="shared" si="10"/>
        <v>-7.32331663884251E-2</v>
      </c>
    </row>
    <row r="13" spans="1:18" x14ac:dyDescent="0.25">
      <c r="A13" s="13" t="s">
        <v>38</v>
      </c>
      <c r="B13" s="142" t="s">
        <v>419</v>
      </c>
      <c r="C13" s="14">
        <f>VLOOKUP(B13,'TB - Expense Data'!$H$3:$N$758,3,FALSE)</f>
        <v>3992.04</v>
      </c>
      <c r="D13" s="14">
        <f t="shared" si="0"/>
        <v>1996.02</v>
      </c>
      <c r="E13" s="26">
        <f>VLOOKUP(B13,'TB - Expense Data'!$H$3:$N$758,7,FALSE)</f>
        <v>2051.8200000000002</v>
      </c>
      <c r="F13" s="92">
        <f t="shared" si="1"/>
        <v>55.800000000000182</v>
      </c>
      <c r="G13" s="48">
        <f t="shared" si="2"/>
        <v>2.7955631707097216E-2</v>
      </c>
      <c r="H13" s="148" t="s">
        <v>450</v>
      </c>
      <c r="I13" s="14">
        <f>VLOOKUP(H13,'TB - Expense Data'!$H$3:$N$758,3,FALSE)</f>
        <v>7096.96</v>
      </c>
      <c r="J13" s="14">
        <f t="shared" si="3"/>
        <v>3548.48</v>
      </c>
      <c r="K13" s="26">
        <f>VLOOKUP(H13,'TB - Expense Data'!$H$3:$N$758,7,FALSE)</f>
        <v>3495.69</v>
      </c>
      <c r="L13" s="92">
        <f t="shared" si="4"/>
        <v>-52.789999999999964</v>
      </c>
      <c r="M13" s="48">
        <f t="shared" si="5"/>
        <v>-1.4876792316710243E-2</v>
      </c>
      <c r="N13" s="14">
        <f t="shared" si="6"/>
        <v>11089</v>
      </c>
      <c r="O13" s="14">
        <f t="shared" si="7"/>
        <v>5544.5</v>
      </c>
      <c r="P13" s="26">
        <f t="shared" si="8"/>
        <v>5547.51</v>
      </c>
      <c r="Q13" s="92">
        <f t="shared" si="9"/>
        <v>3.0100000000002183</v>
      </c>
      <c r="R13" s="48">
        <f t="shared" si="10"/>
        <v>5.4288033186044161E-4</v>
      </c>
    </row>
    <row r="14" spans="1:18" x14ac:dyDescent="0.25">
      <c r="A14" s="13" t="s">
        <v>77</v>
      </c>
      <c r="B14" s="142" t="s">
        <v>409</v>
      </c>
      <c r="C14" s="14">
        <f>VLOOKUP(B14,'TB - Expense Data'!$H$3:$N$758,3,FALSE)</f>
        <v>207.36</v>
      </c>
      <c r="D14" s="14">
        <f t="shared" si="0"/>
        <v>103.68</v>
      </c>
      <c r="E14" s="26">
        <f>VLOOKUP(B14,'TB - Expense Data'!$H$3:$N$758,7,FALSE)</f>
        <v>106.92</v>
      </c>
      <c r="F14" s="92">
        <f t="shared" si="1"/>
        <v>3.2399999999999949</v>
      </c>
      <c r="G14" s="48">
        <f t="shared" si="2"/>
        <v>3.1249999999999948E-2</v>
      </c>
      <c r="H14" s="148" t="s">
        <v>439</v>
      </c>
      <c r="I14" s="14">
        <f>VLOOKUP(H14,'TB - Expense Data'!$H$3:$N$758,3,FALSE)</f>
        <v>368.64</v>
      </c>
      <c r="J14" s="14">
        <f t="shared" si="3"/>
        <v>184.32</v>
      </c>
      <c r="K14" s="26">
        <f>VLOOKUP(H14,'TB - Expense Data'!$H$3:$N$758,7,FALSE)</f>
        <v>181.23</v>
      </c>
      <c r="L14" s="92">
        <f t="shared" si="4"/>
        <v>-3.0900000000000034</v>
      </c>
      <c r="M14" s="48">
        <f t="shared" si="5"/>
        <v>-1.6764322916666685E-2</v>
      </c>
      <c r="N14" s="14">
        <f t="shared" si="6"/>
        <v>576</v>
      </c>
      <c r="O14" s="14">
        <f t="shared" si="7"/>
        <v>288</v>
      </c>
      <c r="P14" s="26">
        <f t="shared" si="8"/>
        <v>288.14999999999998</v>
      </c>
      <c r="Q14" s="92">
        <f t="shared" si="9"/>
        <v>0.14999999999997726</v>
      </c>
      <c r="R14" s="48">
        <f t="shared" si="10"/>
        <v>5.208333333332544E-4</v>
      </c>
    </row>
    <row r="15" spans="1:18" x14ac:dyDescent="0.25">
      <c r="A15" s="13" t="s">
        <v>78</v>
      </c>
      <c r="B15" s="142" t="s">
        <v>429</v>
      </c>
      <c r="C15" s="14">
        <f>VLOOKUP(B15,'TB - Expense Data'!$H$3:$N$758,3,FALSE)</f>
        <v>89.28</v>
      </c>
      <c r="D15" s="14">
        <f t="shared" si="0"/>
        <v>44.64</v>
      </c>
      <c r="E15" s="26">
        <f>VLOOKUP(B15,'TB - Expense Data'!$H$3:$N$758,7,FALSE)</f>
        <v>41.43</v>
      </c>
      <c r="F15" s="92">
        <f t="shared" si="1"/>
        <v>-3.2100000000000009</v>
      </c>
      <c r="G15" s="48">
        <f t="shared" si="2"/>
        <v>-7.1908602150537654E-2</v>
      </c>
      <c r="H15" s="148" t="s">
        <v>460</v>
      </c>
      <c r="I15" s="14">
        <f>VLOOKUP(H15,'TB - Expense Data'!$H$3:$N$758,3,FALSE)</f>
        <v>158.72</v>
      </c>
      <c r="J15" s="14">
        <f t="shared" si="3"/>
        <v>79.36</v>
      </c>
      <c r="K15" s="26">
        <f>VLOOKUP(H15,'TB - Expense Data'!$H$3:$N$758,7,FALSE)</f>
        <v>72.13</v>
      </c>
      <c r="L15" s="92">
        <f t="shared" si="4"/>
        <v>-7.230000000000004</v>
      </c>
      <c r="M15" s="48">
        <f t="shared" si="5"/>
        <v>-9.1103830645161338E-2</v>
      </c>
      <c r="N15" s="14">
        <f t="shared" si="6"/>
        <v>248</v>
      </c>
      <c r="O15" s="14">
        <f t="shared" si="7"/>
        <v>124</v>
      </c>
      <c r="P15" s="26">
        <f t="shared" si="8"/>
        <v>113.56</v>
      </c>
      <c r="Q15" s="92">
        <f t="shared" si="9"/>
        <v>-10.439999999999998</v>
      </c>
      <c r="R15" s="48">
        <f t="shared" si="10"/>
        <v>-8.419354838709675E-2</v>
      </c>
    </row>
    <row r="16" spans="1:18" x14ac:dyDescent="0.25">
      <c r="A16" s="13" t="s">
        <v>79</v>
      </c>
      <c r="B16" s="142" t="s">
        <v>431</v>
      </c>
      <c r="C16" s="14">
        <f>VLOOKUP(B16,'TB - Expense Data'!$H$3:$N$758,3,FALSE)</f>
        <v>1899.36</v>
      </c>
      <c r="D16" s="14">
        <f t="shared" si="0"/>
        <v>949.68</v>
      </c>
      <c r="E16" s="26">
        <f>VLOOKUP(B16,'TB - Expense Data'!$H$3:$N$758,7,FALSE)</f>
        <v>972.5</v>
      </c>
      <c r="F16" s="92">
        <f t="shared" si="1"/>
        <v>22.82000000000005</v>
      </c>
      <c r="G16" s="48">
        <f t="shared" si="2"/>
        <v>2.4029146659927607E-2</v>
      </c>
      <c r="H16" s="148" t="s">
        <v>462</v>
      </c>
      <c r="I16" s="14">
        <f>VLOOKUP(H16,'TB - Expense Data'!$H$3:$N$758,3,FALSE)</f>
        <v>3376.64</v>
      </c>
      <c r="J16" s="14">
        <f t="shared" si="3"/>
        <v>1688.32</v>
      </c>
      <c r="K16" s="26">
        <f>VLOOKUP(H16,'TB - Expense Data'!$H$3:$N$758,7,FALSE)</f>
        <v>1686.01</v>
      </c>
      <c r="L16" s="92">
        <f t="shared" si="4"/>
        <v>-2.3099999999999454</v>
      </c>
      <c r="M16" s="48">
        <f t="shared" si="5"/>
        <v>-1.3682240333585728E-3</v>
      </c>
      <c r="N16" s="14">
        <f t="shared" si="6"/>
        <v>5276</v>
      </c>
      <c r="O16" s="14">
        <f t="shared" si="7"/>
        <v>2638</v>
      </c>
      <c r="P16" s="26">
        <f t="shared" si="8"/>
        <v>2658.51</v>
      </c>
      <c r="Q16" s="92">
        <f t="shared" si="9"/>
        <v>20.510000000000218</v>
      </c>
      <c r="R16" s="48">
        <f t="shared" si="10"/>
        <v>7.7748294162244954E-3</v>
      </c>
    </row>
    <row r="17" spans="1:18" x14ac:dyDescent="0.25">
      <c r="A17" s="13" t="s">
        <v>1248</v>
      </c>
      <c r="B17" s="142" t="s">
        <v>417</v>
      </c>
      <c r="C17" s="14">
        <f>VLOOKUP(B17,'TB - Expense Data'!$H$3:$N$758,3,FALSE)</f>
        <v>157.68</v>
      </c>
      <c r="D17" s="14">
        <f t="shared" si="0"/>
        <v>78.84</v>
      </c>
      <c r="E17" s="26">
        <f>VLOOKUP(B17,'TB - Expense Data'!$H$3:$N$758,7,FALSE)</f>
        <v>72.72</v>
      </c>
      <c r="F17" s="92">
        <f t="shared" si="1"/>
        <v>-6.1200000000000045</v>
      </c>
      <c r="G17" s="48">
        <f t="shared" si="2"/>
        <v>-7.7625570776255759E-2</v>
      </c>
      <c r="H17" s="148" t="s">
        <v>449</v>
      </c>
      <c r="I17" s="14">
        <f>VLOOKUP(H17,'TB - Expense Data'!$H$3:$N$758,3,FALSE)</f>
        <v>280.32</v>
      </c>
      <c r="J17" s="14">
        <f t="shared" si="3"/>
        <v>140.16</v>
      </c>
      <c r="K17" s="26">
        <f>VLOOKUP(H17,'TB - Expense Data'!$H$3:$N$758,7,FALSE)</f>
        <v>129.24</v>
      </c>
      <c r="L17" s="92">
        <f t="shared" si="4"/>
        <v>-10.919999999999987</v>
      </c>
      <c r="M17" s="48">
        <f t="shared" si="5"/>
        <v>-7.7910958904109498E-2</v>
      </c>
      <c r="N17" s="14">
        <f t="shared" si="6"/>
        <v>438</v>
      </c>
      <c r="O17" s="14">
        <f t="shared" si="7"/>
        <v>219</v>
      </c>
      <c r="P17" s="26">
        <f t="shared" si="8"/>
        <v>201.96</v>
      </c>
      <c r="Q17" s="92">
        <f t="shared" si="9"/>
        <v>-17.039999999999992</v>
      </c>
      <c r="R17" s="48">
        <f t="shared" si="10"/>
        <v>-7.7808219178082158E-2</v>
      </c>
    </row>
    <row r="18" spans="1:18" x14ac:dyDescent="0.25">
      <c r="A18" s="13" t="s">
        <v>64</v>
      </c>
      <c r="B18" s="142" t="s">
        <v>428</v>
      </c>
      <c r="C18" s="14">
        <f>VLOOKUP(B18,'TB - Expense Data'!$H$3:$N$758,3,FALSE)</f>
        <v>144</v>
      </c>
      <c r="D18" s="14">
        <f t="shared" si="0"/>
        <v>72</v>
      </c>
      <c r="E18" s="26">
        <f>VLOOKUP(B18,'TB - Expense Data'!$H$3:$N$758,7,FALSE)</f>
        <v>95.78</v>
      </c>
      <c r="F18" s="92">
        <f t="shared" si="1"/>
        <v>23.78</v>
      </c>
      <c r="G18" s="48">
        <f t="shared" si="2"/>
        <v>0.33027777777777778</v>
      </c>
      <c r="H18" s="148" t="s">
        <v>459</v>
      </c>
      <c r="I18" s="14">
        <f>VLOOKUP(H18,'TB - Expense Data'!$H$3:$N$758,3,FALSE)</f>
        <v>256</v>
      </c>
      <c r="J18" s="14">
        <f t="shared" si="3"/>
        <v>128</v>
      </c>
      <c r="K18" s="26">
        <f>VLOOKUP(H18,'TB - Expense Data'!$H$3:$N$758,7,FALSE)</f>
        <v>170.06</v>
      </c>
      <c r="L18" s="92">
        <f t="shared" si="4"/>
        <v>42.06</v>
      </c>
      <c r="M18" s="48">
        <f t="shared" si="5"/>
        <v>0.32859375000000002</v>
      </c>
      <c r="N18" s="14">
        <f t="shared" si="6"/>
        <v>400</v>
      </c>
      <c r="O18" s="14">
        <f t="shared" si="7"/>
        <v>200</v>
      </c>
      <c r="P18" s="26">
        <f t="shared" si="8"/>
        <v>265.84000000000003</v>
      </c>
      <c r="Q18" s="92">
        <f t="shared" si="9"/>
        <v>65.840000000000032</v>
      </c>
      <c r="R18" s="48">
        <f t="shared" si="10"/>
        <v>0.32920000000000016</v>
      </c>
    </row>
    <row r="19" spans="1:18" x14ac:dyDescent="0.25">
      <c r="A19" s="13" t="s">
        <v>65</v>
      </c>
      <c r="B19" s="142" t="s">
        <v>403</v>
      </c>
      <c r="C19" s="14">
        <f>VLOOKUP(B19,'TB - Expense Data'!$H$3:$N$758,3,FALSE)</f>
        <v>72</v>
      </c>
      <c r="D19" s="14">
        <f t="shared" si="0"/>
        <v>36</v>
      </c>
      <c r="E19" s="26">
        <f>VLOOKUP(B19,'TB - Expense Data'!$H$3:$N$758,7,FALSE)</f>
        <v>0</v>
      </c>
      <c r="F19" s="92">
        <f t="shared" si="1"/>
        <v>-36</v>
      </c>
      <c r="G19" s="48">
        <f t="shared" si="2"/>
        <v>-1</v>
      </c>
      <c r="H19" s="148" t="s">
        <v>433</v>
      </c>
      <c r="I19" s="14">
        <f>VLOOKUP(H19,'TB - Expense Data'!$H$3:$N$758,3,FALSE)</f>
        <v>128</v>
      </c>
      <c r="J19" s="14">
        <f t="shared" si="3"/>
        <v>64</v>
      </c>
      <c r="K19" s="26">
        <f>VLOOKUP(H19,'TB - Expense Data'!$H$3:$N$758,7,FALSE)</f>
        <v>0</v>
      </c>
      <c r="L19" s="92">
        <f t="shared" si="4"/>
        <v>-64</v>
      </c>
      <c r="M19" s="48">
        <f t="shared" si="5"/>
        <v>-1</v>
      </c>
      <c r="N19" s="14">
        <f t="shared" si="6"/>
        <v>200</v>
      </c>
      <c r="O19" s="14">
        <f t="shared" si="7"/>
        <v>100</v>
      </c>
      <c r="P19" s="26">
        <f t="shared" si="8"/>
        <v>0</v>
      </c>
      <c r="Q19" s="92">
        <f t="shared" si="9"/>
        <v>-100</v>
      </c>
      <c r="R19" s="48">
        <f t="shared" si="10"/>
        <v>-1</v>
      </c>
    </row>
    <row r="20" spans="1:18" x14ac:dyDescent="0.25">
      <c r="A20" s="13" t="s">
        <v>40</v>
      </c>
      <c r="B20" s="142" t="s">
        <v>427</v>
      </c>
      <c r="C20" s="14">
        <f>VLOOKUP(B20,'TB - Expense Data'!$H$3:$N$758,3,FALSE)</f>
        <v>237.96</v>
      </c>
      <c r="D20" s="14">
        <f t="shared" si="0"/>
        <v>118.98</v>
      </c>
      <c r="E20" s="26">
        <f>VLOOKUP(B20,'TB - Expense Data'!$H$3:$N$758,7,FALSE)</f>
        <v>46.1</v>
      </c>
      <c r="F20" s="92">
        <f t="shared" si="1"/>
        <v>-72.88</v>
      </c>
      <c r="G20" s="48">
        <f t="shared" si="2"/>
        <v>-0.61253992267607993</v>
      </c>
      <c r="H20" s="148" t="s">
        <v>458</v>
      </c>
      <c r="I20" s="14">
        <f>VLOOKUP(H20,'TB - Expense Data'!$H$3:$N$758,3,FALSE)</f>
        <v>423.04</v>
      </c>
      <c r="J20" s="14">
        <f t="shared" si="3"/>
        <v>211.52</v>
      </c>
      <c r="K20" s="26">
        <f>VLOOKUP(H20,'TB - Expense Data'!$H$3:$N$758,7,FALSE)</f>
        <v>81.680000000000007</v>
      </c>
      <c r="L20" s="92">
        <f t="shared" si="4"/>
        <v>-129.84</v>
      </c>
      <c r="M20" s="48">
        <f t="shared" si="5"/>
        <v>-0.61384266263237519</v>
      </c>
      <c r="N20" s="14">
        <f t="shared" si="6"/>
        <v>661</v>
      </c>
      <c r="O20" s="14">
        <f t="shared" si="7"/>
        <v>330.5</v>
      </c>
      <c r="P20" s="26">
        <f t="shared" si="8"/>
        <v>127.78</v>
      </c>
      <c r="Q20" s="92">
        <f t="shared" si="9"/>
        <v>-202.72</v>
      </c>
      <c r="R20" s="48">
        <f t="shared" si="10"/>
        <v>-0.6133736762481089</v>
      </c>
    </row>
    <row r="21" spans="1:18" x14ac:dyDescent="0.25">
      <c r="A21" s="13" t="s">
        <v>41</v>
      </c>
      <c r="B21" s="142" t="s">
        <v>411</v>
      </c>
      <c r="C21" s="14">
        <f>VLOOKUP(B21,'TB - Expense Data'!$H$3:$N$758,3,FALSE)</f>
        <v>5.4</v>
      </c>
      <c r="D21" s="14">
        <f t="shared" si="0"/>
        <v>2.7</v>
      </c>
      <c r="E21" s="26">
        <f>VLOOKUP(B21,'TB - Expense Data'!$H$3:$N$758,7,FALSE)</f>
        <v>1.1100000000000001</v>
      </c>
      <c r="F21" s="92">
        <f t="shared" si="1"/>
        <v>-1.59</v>
      </c>
      <c r="G21" s="48">
        <f t="shared" si="2"/>
        <v>-0.58888888888888891</v>
      </c>
      <c r="H21" s="148" t="s">
        <v>442</v>
      </c>
      <c r="I21" s="14">
        <f>VLOOKUP(H21,'TB - Expense Data'!$H$3:$N$758,3,FALSE)</f>
        <v>9.6</v>
      </c>
      <c r="J21" s="14">
        <f t="shared" si="3"/>
        <v>4.8</v>
      </c>
      <c r="K21" s="26">
        <f>VLOOKUP(H21,'TB - Expense Data'!$H$3:$N$758,7,FALSE)</f>
        <v>2.08</v>
      </c>
      <c r="L21" s="92">
        <f t="shared" si="4"/>
        <v>-2.7199999999999998</v>
      </c>
      <c r="M21" s="48">
        <f t="shared" si="5"/>
        <v>-0.56666666666666665</v>
      </c>
      <c r="N21" s="14">
        <f t="shared" si="6"/>
        <v>15</v>
      </c>
      <c r="O21" s="14">
        <f t="shared" si="7"/>
        <v>7.5</v>
      </c>
      <c r="P21" s="26">
        <f t="shared" si="8"/>
        <v>3.1900000000000004</v>
      </c>
      <c r="Q21" s="92">
        <f t="shared" si="9"/>
        <v>-4.3099999999999996</v>
      </c>
      <c r="R21" s="48">
        <f t="shared" si="10"/>
        <v>-0.57466666666666666</v>
      </c>
    </row>
    <row r="22" spans="1:18" x14ac:dyDescent="0.25">
      <c r="A22" s="13" t="s">
        <v>42</v>
      </c>
      <c r="B22" s="142" t="s">
        <v>410</v>
      </c>
      <c r="C22" s="14">
        <f>VLOOKUP(B22,'TB - Expense Data'!$H$3:$N$758,3,FALSE)</f>
        <v>123.84</v>
      </c>
      <c r="D22" s="14">
        <f t="shared" si="0"/>
        <v>61.92</v>
      </c>
      <c r="E22" s="26">
        <f>VLOOKUP(B22,'TB - Expense Data'!$H$3:$N$758,7,FALSE)</f>
        <v>50.95</v>
      </c>
      <c r="F22" s="92">
        <f t="shared" si="1"/>
        <v>-10.969999999999999</v>
      </c>
      <c r="G22" s="48">
        <f t="shared" si="2"/>
        <v>-0.17716408268733846</v>
      </c>
      <c r="H22" s="148" t="s">
        <v>441</v>
      </c>
      <c r="I22" s="14">
        <f>VLOOKUP(H22,'TB - Expense Data'!$H$3:$N$758,3,FALSE)</f>
        <v>220.16</v>
      </c>
      <c r="J22" s="14">
        <f t="shared" si="3"/>
        <v>110.08</v>
      </c>
      <c r="K22" s="26">
        <f>VLOOKUP(H22,'TB - Expense Data'!$H$3:$N$758,7,FALSE)</f>
        <v>90.59</v>
      </c>
      <c r="L22" s="92">
        <f t="shared" si="4"/>
        <v>-19.489999999999995</v>
      </c>
      <c r="M22" s="48">
        <f t="shared" si="5"/>
        <v>-0.17705305232558136</v>
      </c>
      <c r="N22" s="14">
        <f t="shared" si="6"/>
        <v>344</v>
      </c>
      <c r="O22" s="14">
        <f t="shared" si="7"/>
        <v>172</v>
      </c>
      <c r="P22" s="26">
        <f t="shared" si="8"/>
        <v>141.54000000000002</v>
      </c>
      <c r="Q22" s="92">
        <f t="shared" si="9"/>
        <v>-30.45999999999998</v>
      </c>
      <c r="R22" s="48">
        <f t="shared" si="10"/>
        <v>-0.17709302325581383</v>
      </c>
    </row>
    <row r="23" spans="1:18" x14ac:dyDescent="0.25">
      <c r="A23" s="498" t="s">
        <v>3441</v>
      </c>
      <c r="B23" s="501" t="s">
        <v>404</v>
      </c>
      <c r="C23" s="14">
        <f>VLOOKUP(B23,'TB - Expense Data'!$H$3:$N$758,3,FALSE)</f>
        <v>3614.4</v>
      </c>
      <c r="D23" s="14">
        <f t="shared" si="0"/>
        <v>1807.2</v>
      </c>
      <c r="E23" s="26">
        <f>VLOOKUP(B23,'TB - Expense Data'!$H$3:$N$758,7,FALSE)</f>
        <v>1679.7</v>
      </c>
      <c r="F23" s="92">
        <f t="shared" si="1"/>
        <v>-127.5</v>
      </c>
      <c r="G23" s="48">
        <f t="shared" si="2"/>
        <v>-7.0551128818061082E-2</v>
      </c>
      <c r="H23" s="502" t="s">
        <v>434</v>
      </c>
      <c r="I23" s="14">
        <f>VLOOKUP(H23,'TB - Expense Data'!$H$3:$N$758,3,FALSE)</f>
        <v>6425.6</v>
      </c>
      <c r="J23" s="14">
        <f t="shared" si="3"/>
        <v>3212.8</v>
      </c>
      <c r="K23" s="26">
        <f>VLOOKUP(H23,'TB - Expense Data'!$H$3:$N$758,7,FALSE)</f>
        <v>2932.97</v>
      </c>
      <c r="L23" s="92">
        <f t="shared" si="4"/>
        <v>-279.83000000000038</v>
      </c>
      <c r="M23" s="48">
        <f t="shared" si="5"/>
        <v>-8.7098481075697329E-2</v>
      </c>
      <c r="N23" s="14">
        <f t="shared" si="6"/>
        <v>10040</v>
      </c>
      <c r="O23" s="14">
        <f t="shared" si="7"/>
        <v>5020</v>
      </c>
      <c r="P23" s="26">
        <f t="shared" si="8"/>
        <v>4612.67</v>
      </c>
      <c r="Q23" s="92">
        <f t="shared" si="9"/>
        <v>-407.32999999999993</v>
      </c>
      <c r="R23" s="48">
        <f t="shared" si="10"/>
        <v>-8.1141434262948189E-2</v>
      </c>
    </row>
    <row r="24" spans="1:18" x14ac:dyDescent="0.25">
      <c r="A24" s="498" t="s">
        <v>3442</v>
      </c>
      <c r="B24" s="501" t="s">
        <v>405</v>
      </c>
      <c r="C24" s="14">
        <f>VLOOKUP(B24,'TB - Expense Data'!$H$3:$N$758,3,FALSE)</f>
        <v>2985.84</v>
      </c>
      <c r="D24" s="14">
        <f t="shared" si="0"/>
        <v>1492.92</v>
      </c>
      <c r="E24" s="26">
        <f>VLOOKUP(B24,'TB - Expense Data'!$H$3:$N$758,7,FALSE)</f>
        <v>1393.83</v>
      </c>
      <c r="F24" s="92">
        <f t="shared" si="1"/>
        <v>-99.090000000000146</v>
      </c>
      <c r="G24" s="48">
        <f t="shared" si="2"/>
        <v>-6.637328189052337E-2</v>
      </c>
      <c r="H24" s="502" t="s">
        <v>435</v>
      </c>
      <c r="I24" s="14">
        <f>VLOOKUP(H24,'TB - Expense Data'!$H$3:$N$758,3,FALSE)</f>
        <v>5308.16</v>
      </c>
      <c r="J24" s="14">
        <f t="shared" si="3"/>
        <v>2654.08</v>
      </c>
      <c r="K24" s="26">
        <f>VLOOKUP(H24,'TB - Expense Data'!$H$3:$N$758,7,FALSE)</f>
        <v>2434.0300000000002</v>
      </c>
      <c r="L24" s="92">
        <f t="shared" si="4"/>
        <v>-220.04999999999973</v>
      </c>
      <c r="M24" s="48">
        <f t="shared" si="5"/>
        <v>-8.2910085604051026E-2</v>
      </c>
      <c r="N24" s="14">
        <f t="shared" si="6"/>
        <v>8294</v>
      </c>
      <c r="O24" s="14">
        <f t="shared" si="7"/>
        <v>4147</v>
      </c>
      <c r="P24" s="26">
        <f t="shared" si="8"/>
        <v>3827.86</v>
      </c>
      <c r="Q24" s="92">
        <f t="shared" si="9"/>
        <v>-319.13999999999987</v>
      </c>
      <c r="R24" s="48">
        <f t="shared" si="10"/>
        <v>-7.695683626718107E-2</v>
      </c>
    </row>
    <row r="25" spans="1:18" x14ac:dyDescent="0.25">
      <c r="A25" s="13" t="s">
        <v>183</v>
      </c>
      <c r="B25" s="142" t="s">
        <v>422</v>
      </c>
      <c r="C25" s="14">
        <f>VLOOKUP(B25,'TB - Expense Data'!$H$3:$N$758,3,FALSE)</f>
        <v>2196</v>
      </c>
      <c r="D25" s="14">
        <f t="shared" si="0"/>
        <v>1098</v>
      </c>
      <c r="E25" s="26">
        <f>VLOOKUP(B25,'TB - Expense Data'!$H$3:$N$758,7,FALSE)</f>
        <v>0</v>
      </c>
      <c r="F25" s="92">
        <f t="shared" si="1"/>
        <v>-1098</v>
      </c>
      <c r="G25" s="48">
        <f t="shared" si="2"/>
        <v>-1</v>
      </c>
      <c r="H25" s="148" t="s">
        <v>453</v>
      </c>
      <c r="I25" s="14">
        <f>VLOOKUP(H25,'TB - Expense Data'!$H$3:$N$758,3,FALSE)</f>
        <v>3904</v>
      </c>
      <c r="J25" s="14">
        <f t="shared" si="3"/>
        <v>1952</v>
      </c>
      <c r="K25" s="26">
        <f>VLOOKUP(H25,'TB - Expense Data'!$H$3:$N$758,7,FALSE)</f>
        <v>0</v>
      </c>
      <c r="L25" s="92">
        <f t="shared" si="4"/>
        <v>-1952</v>
      </c>
      <c r="M25" s="48">
        <f t="shared" si="5"/>
        <v>-1</v>
      </c>
      <c r="N25" s="14">
        <f t="shared" si="6"/>
        <v>6100</v>
      </c>
      <c r="O25" s="14">
        <f t="shared" si="7"/>
        <v>3050</v>
      </c>
      <c r="P25" s="26">
        <f t="shared" si="8"/>
        <v>0</v>
      </c>
      <c r="Q25" s="92">
        <f t="shared" si="9"/>
        <v>-3050</v>
      </c>
      <c r="R25" s="48">
        <f t="shared" si="10"/>
        <v>-1</v>
      </c>
    </row>
    <row r="26" spans="1:18" x14ac:dyDescent="0.25">
      <c r="A26" s="13"/>
      <c r="B26" s="143"/>
      <c r="C26" s="62"/>
      <c r="D26" s="14"/>
      <c r="E26" s="62"/>
      <c r="F26" s="92"/>
      <c r="G26" s="48"/>
      <c r="H26" s="149"/>
      <c r="I26" s="62"/>
      <c r="J26" s="14"/>
      <c r="K26" s="62"/>
      <c r="L26" s="92"/>
      <c r="M26" s="48"/>
      <c r="N26" s="62"/>
      <c r="O26" s="62"/>
      <c r="P26" s="62"/>
      <c r="Q26" s="62"/>
      <c r="R26" s="15"/>
    </row>
    <row r="27" spans="1:18" s="1" customFormat="1" x14ac:dyDescent="0.25">
      <c r="A27" s="64" t="s">
        <v>45</v>
      </c>
      <c r="B27" s="144"/>
      <c r="C27" s="23">
        <f>SUM(C8:C26)</f>
        <v>63750.959999999992</v>
      </c>
      <c r="D27" s="27">
        <f>C27/2</f>
        <v>31875.479999999996</v>
      </c>
      <c r="E27" s="27">
        <f>SUM(E8:E26)</f>
        <v>29125.989999999998</v>
      </c>
      <c r="F27" s="90">
        <f>E27-D27</f>
        <v>-2749.489999999998</v>
      </c>
      <c r="G27" s="50">
        <f>IF(AND(D27&lt;&gt;0,F27&lt;&gt;0,ISNUMBER(D27),ISNUMBER(F27)),F27/D27,"-    ")</f>
        <v>-8.6257210871804851E-2</v>
      </c>
      <c r="H27" s="150"/>
      <c r="I27" s="23">
        <f>SUM(I8:I26)</f>
        <v>113335.04000000002</v>
      </c>
      <c r="J27" s="27">
        <f>I27/2</f>
        <v>56667.520000000011</v>
      </c>
      <c r="K27" s="27">
        <f>SUM(K8:K26)</f>
        <v>50673.48</v>
      </c>
      <c r="L27" s="90">
        <f>K27-J27</f>
        <v>-5994.0400000000081</v>
      </c>
      <c r="M27" s="50">
        <f>IF(AND(J27&lt;&gt;0,L27&lt;&gt;0,ISNUMBER(J27),ISNUMBER(L27)),L27/J27,"-    ")</f>
        <v>-0.10577558361474099</v>
      </c>
      <c r="N27" s="23">
        <f>SUM(N8:N26)</f>
        <v>177086</v>
      </c>
      <c r="O27" s="23">
        <f>SUM(O8:O26)</f>
        <v>88543</v>
      </c>
      <c r="P27" s="27">
        <f>SUM(P8:P26)</f>
        <v>79799.469999999987</v>
      </c>
      <c r="Q27" s="90">
        <f>P27-O27</f>
        <v>-8743.5300000000134</v>
      </c>
      <c r="R27" s="50">
        <f>IF(AND(O27&lt;&gt;0,Q27&lt;&gt;0,ISNUMBER(O27),ISNUMBER(Q27)),Q27/O27,"-    ")</f>
        <v>-9.8748969427284075E-2</v>
      </c>
    </row>
    <row r="28" spans="1:18" x14ac:dyDescent="0.25">
      <c r="A28" s="13"/>
      <c r="B28" s="143"/>
      <c r="C28" s="62"/>
      <c r="D28" s="14"/>
      <c r="E28" s="62"/>
      <c r="F28" s="92"/>
      <c r="G28" s="48"/>
      <c r="H28" s="149"/>
      <c r="I28" s="62"/>
      <c r="J28" s="14"/>
      <c r="K28" s="62"/>
      <c r="L28" s="92"/>
      <c r="M28" s="48"/>
      <c r="N28" s="62"/>
      <c r="O28" s="62"/>
      <c r="P28" s="62"/>
      <c r="Q28" s="62"/>
      <c r="R28" s="15"/>
    </row>
    <row r="29" spans="1:18" x14ac:dyDescent="0.25">
      <c r="A29" s="13" t="s">
        <v>66</v>
      </c>
      <c r="B29" s="142" t="s">
        <v>407</v>
      </c>
      <c r="C29" s="14">
        <f>VLOOKUP(B29,'TB - Expense Data'!$H$3:$N$758,3,FALSE)</f>
        <v>3681</v>
      </c>
      <c r="D29" s="14">
        <f>C29/2</f>
        <v>1840.5</v>
      </c>
      <c r="E29" s="26">
        <f>VLOOKUP(B29,'TB - Expense Data'!$H$3:$N$758,7,FALSE)</f>
        <v>977.82</v>
      </c>
      <c r="F29" s="92">
        <f>E29-D29</f>
        <v>-862.68</v>
      </c>
      <c r="G29" s="48">
        <f>IF(AND(D29&lt;&gt;0,F29&lt;&gt;0,ISNUMBER(D29),ISNUMBER(F29)),F29/D29,"-    ")</f>
        <v>-0.46872045639771798</v>
      </c>
      <c r="H29" s="148" t="s">
        <v>437</v>
      </c>
      <c r="I29" s="14">
        <f>VLOOKUP(H29,'TB - Expense Data'!$H$3:$N$758,3,FALSE)</f>
        <v>6544</v>
      </c>
      <c r="J29" s="14">
        <f>I29/2</f>
        <v>3272</v>
      </c>
      <c r="K29" s="26">
        <f>VLOOKUP(H29,'TB - Expense Data'!$H$3:$N$758,7,FALSE)</f>
        <v>1738.39</v>
      </c>
      <c r="L29" s="92">
        <f>K29-J29</f>
        <v>-1533.61</v>
      </c>
      <c r="M29" s="48">
        <f>IF(AND(J29&lt;&gt;0,L29&lt;&gt;0,ISNUMBER(J29),ISNUMBER(L29)),L29/J29,"-    ")</f>
        <v>-0.46870721271393639</v>
      </c>
      <c r="N29" s="14">
        <f>C29+I29</f>
        <v>10225</v>
      </c>
      <c r="O29" s="14">
        <f>D29+J29</f>
        <v>5112.5</v>
      </c>
      <c r="P29" s="26">
        <f>E29+K29</f>
        <v>2716.21</v>
      </c>
      <c r="Q29" s="92">
        <f>P29-O29</f>
        <v>-2396.29</v>
      </c>
      <c r="R29" s="48">
        <f>IF(AND(O29&lt;&gt;0,Q29&lt;&gt;0,ISNUMBER(O29),ISNUMBER(Q29)),Q29/O29,"-    ")</f>
        <v>-0.46871198044009782</v>
      </c>
    </row>
    <row r="30" spans="1:18" x14ac:dyDescent="0.25">
      <c r="A30" s="13" t="s">
        <v>67</v>
      </c>
      <c r="B30" s="142" t="s">
        <v>414</v>
      </c>
      <c r="C30" s="14">
        <f>VLOOKUP(B30,'TB - Expense Data'!$H$3:$N$758,3,FALSE)</f>
        <v>1447.92</v>
      </c>
      <c r="D30" s="14">
        <f t="shared" ref="D30:D42" si="11">C30/2</f>
        <v>723.96</v>
      </c>
      <c r="E30" s="26">
        <f>VLOOKUP(B30,'TB - Expense Data'!$H$3:$N$758,7,FALSE)</f>
        <v>318.95999999999998</v>
      </c>
      <c r="F30" s="92">
        <f t="shared" ref="F30:F42" si="12">E30-D30</f>
        <v>-405.00000000000006</v>
      </c>
      <c r="G30" s="48">
        <f t="shared" ref="G30:G42" si="13">IF(AND(D30&lt;&gt;0,F30&lt;&gt;0,ISNUMBER(D30),ISNUMBER(F30)),F30/D30,"-    ")</f>
        <v>-0.55942317255096974</v>
      </c>
      <c r="H30" s="148" t="s">
        <v>446</v>
      </c>
      <c r="I30" s="14">
        <f>VLOOKUP(H30,'TB - Expense Data'!$H$3:$N$758,3,FALSE)</f>
        <v>2574.08</v>
      </c>
      <c r="J30" s="14">
        <f t="shared" ref="J30:J42" si="14">I30/2</f>
        <v>1287.04</v>
      </c>
      <c r="K30" s="26">
        <f>VLOOKUP(H30,'TB - Expense Data'!$H$3:$N$758,7,FALSE)</f>
        <v>567.07000000000005</v>
      </c>
      <c r="L30" s="92">
        <f t="shared" ref="L30:L42" si="15">K30-J30</f>
        <v>-719.96999999999991</v>
      </c>
      <c r="M30" s="48">
        <f t="shared" ref="M30:M42" si="16">IF(AND(J30&lt;&gt;0,L30&lt;&gt;0,ISNUMBER(J30),ISNUMBER(L30)),L30/J30,"-    ")</f>
        <v>-0.55939986325211333</v>
      </c>
      <c r="N30" s="14">
        <f t="shared" ref="N30:N42" si="17">C30+I30</f>
        <v>4022</v>
      </c>
      <c r="O30" s="14">
        <f t="shared" ref="O30:O42" si="18">D30+J30</f>
        <v>2011</v>
      </c>
      <c r="P30" s="26">
        <f t="shared" ref="P30:P42" si="19">E30+K30</f>
        <v>886.03</v>
      </c>
      <c r="Q30" s="92">
        <f t="shared" ref="Q30:Q42" si="20">P30-O30</f>
        <v>-1124.97</v>
      </c>
      <c r="R30" s="48">
        <f t="shared" ref="R30:R42" si="21">IF(AND(O30&lt;&gt;0,Q30&lt;&gt;0,ISNUMBER(O30),ISNUMBER(Q30)),Q30/O30,"-    ")</f>
        <v>-0.55940825459970167</v>
      </c>
    </row>
    <row r="31" spans="1:18" x14ac:dyDescent="0.25">
      <c r="A31" s="13" t="s">
        <v>46</v>
      </c>
      <c r="B31" s="142" t="s">
        <v>402</v>
      </c>
      <c r="C31" s="14">
        <f>VLOOKUP(B31,'TB - Expense Data'!$H$3:$N$758,3,FALSE)</f>
        <v>209.88</v>
      </c>
      <c r="D31" s="14">
        <f t="shared" si="11"/>
        <v>104.94</v>
      </c>
      <c r="E31" s="26">
        <f>VLOOKUP(B31,'TB - Expense Data'!$H$3:$N$758,7,FALSE)</f>
        <v>0</v>
      </c>
      <c r="F31" s="92">
        <f t="shared" si="12"/>
        <v>-104.94</v>
      </c>
      <c r="G31" s="48">
        <f t="shared" si="13"/>
        <v>-1</v>
      </c>
      <c r="H31" s="148" t="s">
        <v>432</v>
      </c>
      <c r="I31" s="14">
        <f>VLOOKUP(H31,'TB - Expense Data'!$H$3:$N$758,3,FALSE)</f>
        <v>373.12</v>
      </c>
      <c r="J31" s="14">
        <f t="shared" si="14"/>
        <v>186.56</v>
      </c>
      <c r="K31" s="26">
        <f>VLOOKUP(H31,'TB - Expense Data'!$H$3:$N$758,7,FALSE)</f>
        <v>0</v>
      </c>
      <c r="L31" s="92">
        <f t="shared" si="15"/>
        <v>-186.56</v>
      </c>
      <c r="M31" s="48">
        <f t="shared" si="16"/>
        <v>-1</v>
      </c>
      <c r="N31" s="14">
        <f t="shared" si="17"/>
        <v>583</v>
      </c>
      <c r="O31" s="14">
        <f t="shared" si="18"/>
        <v>291.5</v>
      </c>
      <c r="P31" s="26">
        <f t="shared" si="19"/>
        <v>0</v>
      </c>
      <c r="Q31" s="92">
        <f t="shared" si="20"/>
        <v>-291.5</v>
      </c>
      <c r="R31" s="48">
        <f t="shared" si="21"/>
        <v>-1</v>
      </c>
    </row>
    <row r="32" spans="1:18" x14ac:dyDescent="0.25">
      <c r="A32" s="13" t="s">
        <v>68</v>
      </c>
      <c r="B32" s="142" t="s">
        <v>408</v>
      </c>
      <c r="C32" s="14">
        <f>VLOOKUP(B32,'TB - Expense Data'!$H$3:$N$758,3,FALSE)</f>
        <v>21717</v>
      </c>
      <c r="D32" s="14">
        <f t="shared" si="11"/>
        <v>10858.5</v>
      </c>
      <c r="E32" s="26">
        <f>VLOOKUP(B32,'TB - Expense Data'!$H$3:$N$758,7,FALSE)</f>
        <v>8304.6</v>
      </c>
      <c r="F32" s="92">
        <f t="shared" si="12"/>
        <v>-2553.8999999999996</v>
      </c>
      <c r="G32" s="48">
        <f t="shared" si="13"/>
        <v>-0.23519823179997235</v>
      </c>
      <c r="H32" s="148" t="s">
        <v>438</v>
      </c>
      <c r="I32" s="14">
        <f>VLOOKUP(H32,'TB - Expense Data'!$H$3:$N$758,3,FALSE)</f>
        <v>38608</v>
      </c>
      <c r="J32" s="14">
        <f t="shared" si="14"/>
        <v>19304</v>
      </c>
      <c r="K32" s="26">
        <f>VLOOKUP(H32,'TB - Expense Data'!$H$3:$N$758,7,FALSE)</f>
        <v>8268.4</v>
      </c>
      <c r="L32" s="92">
        <f t="shared" si="15"/>
        <v>-11035.6</v>
      </c>
      <c r="M32" s="48">
        <f t="shared" si="16"/>
        <v>-0.57167426440116043</v>
      </c>
      <c r="N32" s="14">
        <f t="shared" si="17"/>
        <v>60325</v>
      </c>
      <c r="O32" s="14">
        <f t="shared" si="18"/>
        <v>30162.5</v>
      </c>
      <c r="P32" s="26">
        <f t="shared" si="19"/>
        <v>16573</v>
      </c>
      <c r="Q32" s="92">
        <f t="shared" si="20"/>
        <v>-13589.5</v>
      </c>
      <c r="R32" s="48">
        <f t="shared" si="21"/>
        <v>-0.45054289266473269</v>
      </c>
    </row>
    <row r="33" spans="1:18" x14ac:dyDescent="0.25">
      <c r="A33" s="13" t="s">
        <v>49</v>
      </c>
      <c r="B33" s="142" t="s">
        <v>1105</v>
      </c>
      <c r="C33" s="14">
        <f>VLOOKUP(B33,'TB - Expense Data'!$H$3:$N$758,3,FALSE)</f>
        <v>3481.92</v>
      </c>
      <c r="D33" s="14">
        <f t="shared" si="11"/>
        <v>1740.96</v>
      </c>
      <c r="E33" s="26">
        <f>VLOOKUP(B33,'TB - Expense Data'!$H$3:$N$758,7,FALSE)</f>
        <v>795.68</v>
      </c>
      <c r="F33" s="92">
        <f t="shared" si="12"/>
        <v>-945.28000000000009</v>
      </c>
      <c r="G33" s="48">
        <f t="shared" si="13"/>
        <v>-0.54296480102931721</v>
      </c>
      <c r="H33" s="148" t="s">
        <v>1106</v>
      </c>
      <c r="I33" s="14">
        <f>VLOOKUP(H33,'TB - Expense Data'!$H$3:$N$758,3,FALSE)</f>
        <v>6190.08</v>
      </c>
      <c r="J33" s="14">
        <f t="shared" si="14"/>
        <v>3095.04</v>
      </c>
      <c r="K33" s="26">
        <f>VLOOKUP(H33,'TB - Expense Data'!$H$3:$N$758,7,FALSE)</f>
        <v>1414.55</v>
      </c>
      <c r="L33" s="92">
        <f t="shared" si="15"/>
        <v>-1680.49</v>
      </c>
      <c r="M33" s="48">
        <f t="shared" si="16"/>
        <v>-0.54296228804797353</v>
      </c>
      <c r="N33" s="14">
        <f t="shared" si="17"/>
        <v>9672</v>
      </c>
      <c r="O33" s="14">
        <f t="shared" si="18"/>
        <v>4836</v>
      </c>
      <c r="P33" s="26">
        <f t="shared" si="19"/>
        <v>2210.23</v>
      </c>
      <c r="Q33" s="92">
        <f t="shared" si="20"/>
        <v>-2625.77</v>
      </c>
      <c r="R33" s="48">
        <f t="shared" si="21"/>
        <v>-0.54296319272125726</v>
      </c>
    </row>
    <row r="34" spans="1:18" x14ac:dyDescent="0.25">
      <c r="A34" s="13" t="s">
        <v>69</v>
      </c>
      <c r="B34" s="142" t="s">
        <v>426</v>
      </c>
      <c r="C34" s="14">
        <f>VLOOKUP(B34,'TB - Expense Data'!$H$3:$N$758,3,FALSE)</f>
        <v>4462.92</v>
      </c>
      <c r="D34" s="14">
        <f t="shared" si="11"/>
        <v>2231.46</v>
      </c>
      <c r="E34" s="26">
        <f>VLOOKUP(B34,'TB - Expense Data'!$H$3:$N$758,7,FALSE)</f>
        <v>1632.77</v>
      </c>
      <c r="F34" s="92">
        <f t="shared" si="12"/>
        <v>-598.69000000000005</v>
      </c>
      <c r="G34" s="48">
        <f t="shared" si="13"/>
        <v>-0.26829519686662545</v>
      </c>
      <c r="H34" s="148" t="s">
        <v>457</v>
      </c>
      <c r="I34" s="14">
        <f>VLOOKUP(H34,'TB - Expense Data'!$H$3:$N$758,3,FALSE)</f>
        <v>7934.08</v>
      </c>
      <c r="J34" s="14">
        <f t="shared" si="14"/>
        <v>3967.04</v>
      </c>
      <c r="K34" s="26">
        <f>VLOOKUP(H34,'TB - Expense Data'!$H$3:$N$758,7,FALSE)</f>
        <v>2902.72</v>
      </c>
      <c r="L34" s="92">
        <f t="shared" si="15"/>
        <v>-1064.3200000000002</v>
      </c>
      <c r="M34" s="48">
        <f t="shared" si="16"/>
        <v>-0.26829071549568451</v>
      </c>
      <c r="N34" s="14">
        <f t="shared" si="17"/>
        <v>12397</v>
      </c>
      <c r="O34" s="14">
        <f t="shared" si="18"/>
        <v>6198.5</v>
      </c>
      <c r="P34" s="26">
        <f t="shared" si="19"/>
        <v>4535.49</v>
      </c>
      <c r="Q34" s="92">
        <f t="shared" si="20"/>
        <v>-1663.0100000000002</v>
      </c>
      <c r="R34" s="48">
        <f t="shared" si="21"/>
        <v>-0.26829232878922321</v>
      </c>
    </row>
    <row r="35" spans="1:18" x14ac:dyDescent="0.25">
      <c r="A35" s="13" t="s">
        <v>70</v>
      </c>
      <c r="B35" s="142" t="s">
        <v>424</v>
      </c>
      <c r="C35" s="14">
        <f>VLOOKUP(B35,'TB - Expense Data'!$H$3:$N$758,3,FALSE)</f>
        <v>361.8</v>
      </c>
      <c r="D35" s="14">
        <f t="shared" si="11"/>
        <v>180.9</v>
      </c>
      <c r="E35" s="26">
        <f>VLOOKUP(B35,'TB - Expense Data'!$H$3:$N$758,7,FALSE)</f>
        <v>0</v>
      </c>
      <c r="F35" s="92">
        <f t="shared" si="12"/>
        <v>-180.9</v>
      </c>
      <c r="G35" s="48">
        <f t="shared" si="13"/>
        <v>-1</v>
      </c>
      <c r="H35" s="148" t="s">
        <v>455</v>
      </c>
      <c r="I35" s="14">
        <f>VLOOKUP(H35,'TB - Expense Data'!$H$3:$N$758,3,FALSE)</f>
        <v>643.20000000000005</v>
      </c>
      <c r="J35" s="14">
        <f t="shared" si="14"/>
        <v>321.60000000000002</v>
      </c>
      <c r="K35" s="26">
        <f>VLOOKUP(H35,'TB - Expense Data'!$H$3:$N$758,7,FALSE)</f>
        <v>0</v>
      </c>
      <c r="L35" s="92">
        <f t="shared" si="15"/>
        <v>-321.60000000000002</v>
      </c>
      <c r="M35" s="48">
        <f t="shared" si="16"/>
        <v>-1</v>
      </c>
      <c r="N35" s="14">
        <f t="shared" si="17"/>
        <v>1005</v>
      </c>
      <c r="O35" s="14">
        <f t="shared" si="18"/>
        <v>502.5</v>
      </c>
      <c r="P35" s="26">
        <f t="shared" si="19"/>
        <v>0</v>
      </c>
      <c r="Q35" s="92">
        <f t="shared" si="20"/>
        <v>-502.5</v>
      </c>
      <c r="R35" s="48">
        <f t="shared" si="21"/>
        <v>-1</v>
      </c>
    </row>
    <row r="36" spans="1:18" x14ac:dyDescent="0.25">
      <c r="A36" s="13" t="s">
        <v>47</v>
      </c>
      <c r="B36" s="142" t="s">
        <v>425</v>
      </c>
      <c r="C36" s="14">
        <f>VLOOKUP(B36,'TB - Expense Data'!$H$3:$N$758,3,FALSE)</f>
        <v>2797.92</v>
      </c>
      <c r="D36" s="14">
        <f t="shared" si="11"/>
        <v>1398.96</v>
      </c>
      <c r="E36" s="26">
        <f>VLOOKUP(B36,'TB - Expense Data'!$H$3:$N$758,7,FALSE)</f>
        <v>0</v>
      </c>
      <c r="F36" s="92">
        <f t="shared" si="12"/>
        <v>-1398.96</v>
      </c>
      <c r="G36" s="48">
        <f t="shared" si="13"/>
        <v>-1</v>
      </c>
      <c r="H36" s="148" t="s">
        <v>456</v>
      </c>
      <c r="I36" s="14">
        <f>VLOOKUP(H36,'TB - Expense Data'!$H$3:$N$758,3,FALSE)</f>
        <v>4974.08</v>
      </c>
      <c r="J36" s="14">
        <f t="shared" si="14"/>
        <v>2487.04</v>
      </c>
      <c r="K36" s="26">
        <f>VLOOKUP(H36,'TB - Expense Data'!$H$3:$N$758,7,FALSE)</f>
        <v>0</v>
      </c>
      <c r="L36" s="92">
        <f t="shared" si="15"/>
        <v>-2487.04</v>
      </c>
      <c r="M36" s="48">
        <f t="shared" si="16"/>
        <v>-1</v>
      </c>
      <c r="N36" s="14">
        <f t="shared" si="17"/>
        <v>7772</v>
      </c>
      <c r="O36" s="14">
        <f t="shared" si="18"/>
        <v>3886</v>
      </c>
      <c r="P36" s="26">
        <f t="shared" si="19"/>
        <v>0</v>
      </c>
      <c r="Q36" s="92">
        <f t="shared" si="20"/>
        <v>-3886</v>
      </c>
      <c r="R36" s="48">
        <f t="shared" si="21"/>
        <v>-1</v>
      </c>
    </row>
    <row r="37" spans="1:18" x14ac:dyDescent="0.25">
      <c r="A37" s="13" t="s">
        <v>48</v>
      </c>
      <c r="B37" s="142" t="s">
        <v>421</v>
      </c>
      <c r="C37" s="14">
        <f>VLOOKUP(B37,'TB - Expense Data'!$H$3:$N$758,3,FALSE)</f>
        <v>227.88</v>
      </c>
      <c r="D37" s="14">
        <f t="shared" si="11"/>
        <v>113.94</v>
      </c>
      <c r="E37" s="26">
        <f>VLOOKUP(B37,'TB - Expense Data'!$H$3:$N$758,7,FALSE)</f>
        <v>0</v>
      </c>
      <c r="F37" s="92">
        <f t="shared" si="12"/>
        <v>-113.94</v>
      </c>
      <c r="G37" s="48">
        <f t="shared" si="13"/>
        <v>-1</v>
      </c>
      <c r="H37" s="148" t="s">
        <v>452</v>
      </c>
      <c r="I37" s="14">
        <f>VLOOKUP(H37,'TB - Expense Data'!$H$3:$N$758,3,FALSE)</f>
        <v>405.12</v>
      </c>
      <c r="J37" s="14">
        <f t="shared" si="14"/>
        <v>202.56</v>
      </c>
      <c r="K37" s="26">
        <f>VLOOKUP(H37,'TB - Expense Data'!$H$3:$N$758,7,FALSE)</f>
        <v>0</v>
      </c>
      <c r="L37" s="92">
        <f t="shared" si="15"/>
        <v>-202.56</v>
      </c>
      <c r="M37" s="48">
        <f t="shared" si="16"/>
        <v>-1</v>
      </c>
      <c r="N37" s="14">
        <f t="shared" si="17"/>
        <v>633</v>
      </c>
      <c r="O37" s="14">
        <f t="shared" si="18"/>
        <v>316.5</v>
      </c>
      <c r="P37" s="26">
        <f t="shared" si="19"/>
        <v>0</v>
      </c>
      <c r="Q37" s="92">
        <f t="shared" si="20"/>
        <v>-316.5</v>
      </c>
      <c r="R37" s="48">
        <f t="shared" si="21"/>
        <v>-1</v>
      </c>
    </row>
    <row r="38" spans="1:18" x14ac:dyDescent="0.25">
      <c r="A38" s="13" t="s">
        <v>54</v>
      </c>
      <c r="B38" s="142" t="s">
        <v>420</v>
      </c>
      <c r="C38" s="14">
        <f>VLOOKUP(B38,'TB - Expense Data'!$H$3:$N$758,3,FALSE)</f>
        <v>941.04</v>
      </c>
      <c r="D38" s="14">
        <f t="shared" si="11"/>
        <v>470.52</v>
      </c>
      <c r="E38" s="26">
        <f>VLOOKUP(B38,'TB - Expense Data'!$H$3:$N$758,7,FALSE)</f>
        <v>731.52</v>
      </c>
      <c r="F38" s="92">
        <f t="shared" si="12"/>
        <v>261</v>
      </c>
      <c r="G38" s="48">
        <f t="shared" si="13"/>
        <v>0.55470543228768177</v>
      </c>
      <c r="H38" s="148" t="s">
        <v>451</v>
      </c>
      <c r="I38" s="14">
        <f>VLOOKUP(H38,'TB - Expense Data'!$H$3:$N$758,3,FALSE)</f>
        <v>1672.96</v>
      </c>
      <c r="J38" s="14">
        <f t="shared" si="14"/>
        <v>836.48</v>
      </c>
      <c r="K38" s="26">
        <f>VLOOKUP(H38,'TB - Expense Data'!$H$3:$N$758,7,FALSE)</f>
        <v>1300.48</v>
      </c>
      <c r="L38" s="92">
        <f t="shared" si="15"/>
        <v>464</v>
      </c>
      <c r="M38" s="48">
        <f t="shared" si="16"/>
        <v>0.55470543228768165</v>
      </c>
      <c r="N38" s="14">
        <f t="shared" si="17"/>
        <v>2614</v>
      </c>
      <c r="O38" s="14">
        <f t="shared" si="18"/>
        <v>1307</v>
      </c>
      <c r="P38" s="26">
        <f t="shared" si="19"/>
        <v>2032</v>
      </c>
      <c r="Q38" s="92">
        <f t="shared" si="20"/>
        <v>725</v>
      </c>
      <c r="R38" s="48">
        <f t="shared" si="21"/>
        <v>0.55470543228768177</v>
      </c>
    </row>
    <row r="39" spans="1:18" x14ac:dyDescent="0.25">
      <c r="A39" s="13" t="s">
        <v>72</v>
      </c>
      <c r="B39" s="142" t="s">
        <v>416</v>
      </c>
      <c r="C39" s="14">
        <f>VLOOKUP(B39,'TB - Expense Data'!$H$3:$N$758,3,FALSE)</f>
        <v>3735.36</v>
      </c>
      <c r="D39" s="14">
        <f t="shared" si="11"/>
        <v>1867.68</v>
      </c>
      <c r="E39" s="26">
        <f>VLOOKUP(B39,'TB - Expense Data'!$H$3:$N$758,7,FALSE)</f>
        <v>2088</v>
      </c>
      <c r="F39" s="92">
        <f t="shared" si="12"/>
        <v>220.31999999999994</v>
      </c>
      <c r="G39" s="48">
        <f t="shared" si="13"/>
        <v>0.11796453353893596</v>
      </c>
      <c r="H39" s="148" t="s">
        <v>448</v>
      </c>
      <c r="I39" s="14">
        <f>VLOOKUP(H39,'TB - Expense Data'!$H$3:$N$758,3,FALSE)</f>
        <v>6640.64</v>
      </c>
      <c r="J39" s="14">
        <f t="shared" si="14"/>
        <v>3320.32</v>
      </c>
      <c r="K39" s="26">
        <f>VLOOKUP(H39,'TB - Expense Data'!$H$3:$N$758,7,FALSE)</f>
        <v>0</v>
      </c>
      <c r="L39" s="92">
        <f t="shared" si="15"/>
        <v>-3320.32</v>
      </c>
      <c r="M39" s="48">
        <f t="shared" si="16"/>
        <v>-1</v>
      </c>
      <c r="N39" s="14">
        <f t="shared" si="17"/>
        <v>10376</v>
      </c>
      <c r="O39" s="14">
        <f t="shared" si="18"/>
        <v>5188</v>
      </c>
      <c r="P39" s="26">
        <f t="shared" si="19"/>
        <v>2088</v>
      </c>
      <c r="Q39" s="92">
        <f t="shared" si="20"/>
        <v>-3100</v>
      </c>
      <c r="R39" s="48">
        <f t="shared" si="21"/>
        <v>-0.59753276792598309</v>
      </c>
    </row>
    <row r="40" spans="1:18" x14ac:dyDescent="0.25">
      <c r="A40" s="13" t="s">
        <v>73</v>
      </c>
      <c r="B40" s="142" t="s">
        <v>406</v>
      </c>
      <c r="C40" s="14">
        <f>VLOOKUP(B40,'TB - Expense Data'!$H$3:$N$758,3,FALSE)</f>
        <v>191.88</v>
      </c>
      <c r="D40" s="14">
        <f t="shared" si="11"/>
        <v>95.94</v>
      </c>
      <c r="E40" s="26">
        <f>VLOOKUP(B40,'TB - Expense Data'!$H$3:$N$758,7,FALSE)</f>
        <v>129.6</v>
      </c>
      <c r="F40" s="92">
        <f t="shared" si="12"/>
        <v>33.659999999999997</v>
      </c>
      <c r="G40" s="48">
        <f t="shared" si="13"/>
        <v>0.35084427767354592</v>
      </c>
      <c r="H40" s="148" t="s">
        <v>436</v>
      </c>
      <c r="I40" s="14">
        <f>VLOOKUP(H40,'TB - Expense Data'!$H$3:$N$758,3,FALSE)</f>
        <v>341.12</v>
      </c>
      <c r="J40" s="14">
        <f t="shared" si="14"/>
        <v>170.56</v>
      </c>
      <c r="K40" s="26">
        <f>VLOOKUP(H40,'TB - Expense Data'!$H$3:$N$758,7,FALSE)</f>
        <v>230.4</v>
      </c>
      <c r="L40" s="92">
        <f t="shared" si="15"/>
        <v>59.84</v>
      </c>
      <c r="M40" s="48">
        <f t="shared" si="16"/>
        <v>0.35084427767354598</v>
      </c>
      <c r="N40" s="14">
        <f t="shared" si="17"/>
        <v>533</v>
      </c>
      <c r="O40" s="14">
        <f t="shared" si="18"/>
        <v>266.5</v>
      </c>
      <c r="P40" s="26">
        <f t="shared" si="19"/>
        <v>360</v>
      </c>
      <c r="Q40" s="92">
        <f t="shared" si="20"/>
        <v>93.5</v>
      </c>
      <c r="R40" s="48">
        <f t="shared" si="21"/>
        <v>0.35084427767354598</v>
      </c>
    </row>
    <row r="41" spans="1:18" x14ac:dyDescent="0.25">
      <c r="A41" s="13" t="s">
        <v>74</v>
      </c>
      <c r="B41" s="81" t="s">
        <v>979</v>
      </c>
      <c r="C41" s="14">
        <f>VLOOKUP(B41,'TB - Expense Data'!$H$3:$N$758,3,FALSE)</f>
        <v>0</v>
      </c>
      <c r="D41" s="14">
        <f t="shared" si="11"/>
        <v>0</v>
      </c>
      <c r="E41" s="26">
        <f>VLOOKUP(B41,'TB - Expense Data'!$H$3:$N$758,7,FALSE)</f>
        <v>0</v>
      </c>
      <c r="F41" s="92">
        <f t="shared" si="12"/>
        <v>0</v>
      </c>
      <c r="G41" s="48" t="str">
        <f t="shared" si="13"/>
        <v xml:space="preserve">-    </v>
      </c>
      <c r="H41" s="148" t="s">
        <v>440</v>
      </c>
      <c r="I41" s="14">
        <f>VLOOKUP(H41,'TB - Expense Data'!$H$3:$N$758,3,FALSE)</f>
        <v>6000</v>
      </c>
      <c r="J41" s="14">
        <f t="shared" si="14"/>
        <v>3000</v>
      </c>
      <c r="K41" s="26">
        <f>VLOOKUP(H41,'TB - Expense Data'!$H$3:$N$758,7,FALSE)</f>
        <v>0</v>
      </c>
      <c r="L41" s="92">
        <f t="shared" si="15"/>
        <v>-3000</v>
      </c>
      <c r="M41" s="48">
        <f t="shared" si="16"/>
        <v>-1</v>
      </c>
      <c r="N41" s="14">
        <f t="shared" si="17"/>
        <v>6000</v>
      </c>
      <c r="O41" s="14">
        <f t="shared" si="18"/>
        <v>3000</v>
      </c>
      <c r="P41" s="26">
        <f t="shared" si="19"/>
        <v>0</v>
      </c>
      <c r="Q41" s="92">
        <f t="shared" si="20"/>
        <v>-3000</v>
      </c>
      <c r="R41" s="48">
        <f t="shared" si="21"/>
        <v>-1</v>
      </c>
    </row>
    <row r="42" spans="1:18" x14ac:dyDescent="0.25">
      <c r="A42" s="13" t="s">
        <v>75</v>
      </c>
      <c r="B42" s="142" t="s">
        <v>415</v>
      </c>
      <c r="C42" s="14">
        <f>VLOOKUP(B42,'TB - Expense Data'!$H$3:$N$758,3,FALSE)</f>
        <v>3716.64</v>
      </c>
      <c r="D42" s="14">
        <f t="shared" si="11"/>
        <v>1858.32</v>
      </c>
      <c r="E42" s="26">
        <f>VLOOKUP(B42,'TB - Expense Data'!$H$3:$N$758,7,FALSE)</f>
        <v>2903.39</v>
      </c>
      <c r="F42" s="92">
        <f t="shared" si="12"/>
        <v>1045.07</v>
      </c>
      <c r="G42" s="48">
        <f t="shared" si="13"/>
        <v>0.56237354169357268</v>
      </c>
      <c r="H42" s="148" t="s">
        <v>447</v>
      </c>
      <c r="I42" s="14">
        <f>VLOOKUP(H42,'TB - Expense Data'!$H$3:$N$758,3,FALSE)</f>
        <v>6607.36</v>
      </c>
      <c r="J42" s="14">
        <f t="shared" si="14"/>
        <v>3303.68</v>
      </c>
      <c r="K42" s="26">
        <f>VLOOKUP(H42,'TB - Expense Data'!$H$3:$N$758,7,FALSE)</f>
        <v>5161.6099999999997</v>
      </c>
      <c r="L42" s="92">
        <f t="shared" si="15"/>
        <v>1857.9299999999998</v>
      </c>
      <c r="M42" s="48">
        <f t="shared" si="16"/>
        <v>0.56238194982564893</v>
      </c>
      <c r="N42" s="14">
        <f t="shared" si="17"/>
        <v>10324</v>
      </c>
      <c r="O42" s="14">
        <f t="shared" si="18"/>
        <v>5162</v>
      </c>
      <c r="P42" s="26">
        <f t="shared" si="19"/>
        <v>8065</v>
      </c>
      <c r="Q42" s="92">
        <f t="shared" si="20"/>
        <v>2903</v>
      </c>
      <c r="R42" s="48">
        <f t="shared" si="21"/>
        <v>0.56237892289810154</v>
      </c>
    </row>
    <row r="43" spans="1:18" x14ac:dyDescent="0.25">
      <c r="A43" s="17"/>
      <c r="B43" s="143"/>
      <c r="C43" s="61"/>
      <c r="D43" s="14"/>
      <c r="E43" s="61"/>
      <c r="F43" s="61"/>
      <c r="G43" s="168"/>
      <c r="H43" s="149"/>
      <c r="I43" s="61"/>
      <c r="J43" s="14"/>
      <c r="K43" s="61"/>
      <c r="L43" s="61"/>
      <c r="M43" s="168"/>
      <c r="N43" s="61"/>
      <c r="O43" s="61"/>
      <c r="P43" s="61"/>
      <c r="Q43" s="61"/>
      <c r="R43" s="19"/>
    </row>
    <row r="44" spans="1:18" s="1" customFormat="1" x14ac:dyDescent="0.25">
      <c r="A44" s="31" t="s">
        <v>61</v>
      </c>
      <c r="B44" s="145"/>
      <c r="C44" s="32">
        <f>SUM(C28:C42)</f>
        <v>46973.159999999996</v>
      </c>
      <c r="D44" s="23">
        <f>C44/2</f>
        <v>23486.579999999998</v>
      </c>
      <c r="E44" s="32">
        <f>SUM(E28:E42)</f>
        <v>17882.340000000004</v>
      </c>
      <c r="F44" s="90">
        <f>E44-D44</f>
        <v>-5604.2399999999943</v>
      </c>
      <c r="G44" s="50">
        <f>IF(AND(D44&lt;&gt;0,F44&lt;&gt;0,ISNUMBER(D44),ISNUMBER(F44)),F44/D44,"-    ")</f>
        <v>-0.23861456201796918</v>
      </c>
      <c r="H44" s="150"/>
      <c r="I44" s="32">
        <f>SUM(I28:I42)</f>
        <v>89507.839999999997</v>
      </c>
      <c r="J44" s="23">
        <f>I44/2</f>
        <v>44753.919999999998</v>
      </c>
      <c r="K44" s="32">
        <f>SUM(K28:K42)</f>
        <v>21583.62</v>
      </c>
      <c r="L44" s="90">
        <f>K44-J44</f>
        <v>-23170.3</v>
      </c>
      <c r="M44" s="50">
        <f>IF(AND(J44&lt;&gt;0,L44&lt;&gt;0,ISNUMBER(J44),ISNUMBER(L44)),L44/J44,"-    ")</f>
        <v>-0.51772671533577397</v>
      </c>
      <c r="N44" s="32">
        <f>SUM(N28:N42)</f>
        <v>136481</v>
      </c>
      <c r="O44" s="32">
        <f>SUM(O28:O42)</f>
        <v>68240.5</v>
      </c>
      <c r="P44" s="32">
        <f>SUM(P28:P42)</f>
        <v>39465.96</v>
      </c>
      <c r="Q44" s="90">
        <f>P44-O44</f>
        <v>-28774.54</v>
      </c>
      <c r="R44" s="50">
        <f>IF(AND(O44&lt;&gt;0,Q44&lt;&gt;0,ISNUMBER(O44),ISNUMBER(Q44)),Q44/O44,"-    ")</f>
        <v>-0.42166367479722455</v>
      </c>
    </row>
    <row r="45" spans="1:18" s="1" customFormat="1" x14ac:dyDescent="0.25">
      <c r="A45" s="31"/>
      <c r="B45" s="145"/>
      <c r="C45" s="32"/>
      <c r="D45" s="23"/>
      <c r="E45" s="32"/>
      <c r="F45" s="32"/>
      <c r="G45" s="165"/>
      <c r="H45" s="151"/>
      <c r="I45" s="32"/>
      <c r="J45" s="23"/>
      <c r="K45" s="32"/>
      <c r="L45" s="32"/>
      <c r="M45" s="165"/>
      <c r="N45" s="32"/>
      <c r="O45" s="32"/>
      <c r="P45" s="32"/>
      <c r="Q45" s="96"/>
      <c r="R45" s="33"/>
    </row>
    <row r="46" spans="1:18" s="1" customFormat="1" x14ac:dyDescent="0.25">
      <c r="A46" s="21" t="s">
        <v>62</v>
      </c>
      <c r="B46" s="146"/>
      <c r="C46" s="22">
        <f>+C27+C44</f>
        <v>110724.12</v>
      </c>
      <c r="D46" s="97">
        <f>C46/2</f>
        <v>55362.06</v>
      </c>
      <c r="E46" s="22">
        <f>+E27+E44</f>
        <v>47008.33</v>
      </c>
      <c r="F46" s="88">
        <f>E46-D46</f>
        <v>-8353.7299999999959</v>
      </c>
      <c r="G46" s="55">
        <f>IF(AND(D46&lt;&gt;0,F46&lt;&gt;0,ISNUMBER(D46),ISNUMBER(F46)),F46/D46,"-    ")</f>
        <v>-0.15089268715795612</v>
      </c>
      <c r="H46" s="152"/>
      <c r="I46" s="22">
        <f>+I27+I44</f>
        <v>202842.88</v>
      </c>
      <c r="J46" s="97">
        <f>I46/2</f>
        <v>101421.44</v>
      </c>
      <c r="K46" s="22">
        <f>+K27+K44</f>
        <v>72257.100000000006</v>
      </c>
      <c r="L46" s="88">
        <f>K46-J46</f>
        <v>-29164.339999999997</v>
      </c>
      <c r="M46" s="55">
        <f>IF(AND(J46&lt;&gt;0,L46&lt;&gt;0,ISNUMBER(J46),ISNUMBER(L46)),L46/J46,"-    ")</f>
        <v>-0.28755596449823623</v>
      </c>
      <c r="N46" s="22">
        <f>+N27+N44</f>
        <v>313567</v>
      </c>
      <c r="O46" s="22">
        <f>+O27+O44</f>
        <v>156783.5</v>
      </c>
      <c r="P46" s="22">
        <f>+P27+P44</f>
        <v>119265.43</v>
      </c>
      <c r="Q46" s="88">
        <f>P46-O46</f>
        <v>-37518.070000000007</v>
      </c>
      <c r="R46" s="55">
        <f>IF(AND(O46&lt;&gt;0,Q46&lt;&gt;0,ISNUMBER(O46),ISNUMBER(Q46)),Q46/O46,"-    ")</f>
        <v>-0.23929858690487205</v>
      </c>
    </row>
    <row r="47" spans="1:18" x14ac:dyDescent="0.25">
      <c r="C47" s="153">
        <f>C46-'TB - Expense Data'!J778</f>
        <v>0</v>
      </c>
      <c r="E47" s="153">
        <f>E46-'TB - Expense Data'!N778</f>
        <v>0</v>
      </c>
      <c r="I47" s="153">
        <f>I46-'TB - Expense Data'!J779</f>
        <v>0</v>
      </c>
      <c r="K47" s="153">
        <f>K46-'TB - Expense Data'!N779</f>
        <v>0</v>
      </c>
      <c r="N47" s="153">
        <f>N46-'TB - Expense Data'!J780</f>
        <v>0</v>
      </c>
      <c r="P47" s="153">
        <f>P46-'TB - Expense Data'!N780</f>
        <v>0</v>
      </c>
    </row>
    <row r="48" spans="1:18" x14ac:dyDescent="0.2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3:18" x14ac:dyDescent="0.2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3:18" x14ac:dyDescent="0.2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3:18" x14ac:dyDescent="0.25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3:18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3:18" x14ac:dyDescent="0.2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3:18" x14ac:dyDescent="0.25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3:18" x14ac:dyDescent="0.25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3:18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3:18" x14ac:dyDescent="0.25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</sheetData>
  <sheetProtection password="CFD3" sheet="1" objects="1" scenarios="1" selectLockedCells="1" selectUnlockedCells="1"/>
  <mergeCells count="3">
    <mergeCell ref="N5:R5"/>
    <mergeCell ref="C5:G5"/>
    <mergeCell ref="I5:M5"/>
  </mergeCells>
  <printOptions horizontalCentered="1"/>
  <pageMargins left="0.25" right="0.25" top="0.75" bottom="0.75" header="0.3" footer="0.3"/>
  <pageSetup scale="82" firstPageNumber="33" fitToWidth="3" orientation="portrait" useFirstPageNumber="1" r:id="rId1"/>
  <headerFooter scaleWithDoc="0">
    <oddFooter>&amp;L&amp;9&amp;F - &amp;A&amp;C&amp;9Marina Coast Water District&amp;R&amp;9&amp;P</oddFooter>
  </headerFooter>
  <colBreaks count="2" manualBreakCount="2">
    <brk id="7" max="45" man="1"/>
    <brk id="13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R44"/>
  <sheetViews>
    <sheetView zoomScaleNormal="100" workbookViewId="0"/>
  </sheetViews>
  <sheetFormatPr defaultColWidth="9.85546875" defaultRowHeight="15.75" outlineLevelRow="1" outlineLevelCol="1" x14ac:dyDescent="0.25"/>
  <cols>
    <col min="1" max="1" width="40.28515625" style="3" bestFit="1" customWidth="1"/>
    <col min="2" max="2" width="13.28515625" style="3" hidden="1" customWidth="1" outlineLevel="1"/>
    <col min="3" max="3" width="11.5703125" style="3" customWidth="1" collapsed="1"/>
    <col min="4" max="5" width="11.5703125" style="3" customWidth="1"/>
    <col min="6" max="7" width="17.28515625" style="3" bestFit="1" customWidth="1"/>
    <col min="8" max="8" width="13.28515625" style="69" hidden="1" customWidth="1" outlineLevel="1"/>
    <col min="9" max="9" width="11.5703125" style="3" customWidth="1" collapsed="1"/>
    <col min="10" max="11" width="11.5703125" style="3" customWidth="1"/>
    <col min="12" max="13" width="17.28515625" style="3" bestFit="1" customWidth="1"/>
    <col min="14" max="16" width="11.5703125" style="3" customWidth="1"/>
    <col min="17" max="18" width="17.28515625" style="3" bestFit="1" customWidth="1"/>
    <col min="19" max="16384" width="9.85546875" style="3"/>
  </cols>
  <sheetData>
    <row r="1" spans="1:18" s="1" customFormat="1" x14ac:dyDescent="0.25">
      <c r="A1" s="1" t="s">
        <v>31</v>
      </c>
      <c r="H1" s="68"/>
    </row>
    <row r="2" spans="1:18" s="1" customFormat="1" x14ac:dyDescent="0.25">
      <c r="A2" s="1" t="s">
        <v>1099</v>
      </c>
      <c r="H2" s="68"/>
    </row>
    <row r="3" spans="1:18" s="1" customFormat="1" x14ac:dyDescent="0.25">
      <c r="A3" s="1" t="str">
        <f>'All Departments'!A3</f>
        <v>JULY - DECEMBER 2014</v>
      </c>
      <c r="H3" s="68"/>
    </row>
    <row r="4" spans="1:18" s="1" customFormat="1" x14ac:dyDescent="0.25">
      <c r="H4" s="68"/>
    </row>
    <row r="5" spans="1:18" x14ac:dyDescent="0.25">
      <c r="A5" s="2" t="s">
        <v>0</v>
      </c>
      <c r="B5" s="2"/>
      <c r="C5" s="567" t="str">
        <f>'All Departments'!C5</f>
        <v>MARINA WATER</v>
      </c>
      <c r="D5" s="567"/>
      <c r="E5" s="567"/>
      <c r="F5" s="567"/>
      <c r="G5" s="568"/>
      <c r="H5" s="76"/>
      <c r="I5" s="567" t="str">
        <f>'All Departments'!O5</f>
        <v>ORD WATER</v>
      </c>
      <c r="J5" s="567"/>
      <c r="K5" s="567"/>
      <c r="L5" s="567"/>
      <c r="M5" s="568"/>
      <c r="N5" s="567" t="str">
        <f>'All Departments'!AL5</f>
        <v>TOTAL</v>
      </c>
      <c r="O5" s="567"/>
      <c r="P5" s="567"/>
      <c r="Q5" s="567"/>
      <c r="R5" s="568"/>
    </row>
    <row r="6" spans="1:18" x14ac:dyDescent="0.25">
      <c r="A6" s="4" t="s">
        <v>23</v>
      </c>
      <c r="B6" s="77" t="s">
        <v>952</v>
      </c>
      <c r="C6" s="24" t="str">
        <f>'All Departments'!$C$6</f>
        <v>ANNUAL</v>
      </c>
      <c r="D6" s="24" t="str">
        <f>'All Departments'!$D$6</f>
        <v>JUL - DEC</v>
      </c>
      <c r="E6" s="24" t="str">
        <f>'All Departments'!$E$6</f>
        <v>JUL - DEC</v>
      </c>
      <c r="F6" s="24" t="str">
        <f>'All Departments'!$F$6</f>
        <v>BUD vs ACTUALS</v>
      </c>
      <c r="G6" s="36" t="str">
        <f>'All Departments'!$G$6</f>
        <v>BUD vs ACTUALS</v>
      </c>
      <c r="H6" s="77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24" t="str">
        <f>$C$6</f>
        <v>ANNUAL</v>
      </c>
      <c r="O6" s="24" t="str">
        <f>$D$6</f>
        <v>JUL - DEC</v>
      </c>
      <c r="P6" s="24" t="str">
        <f>$E$6</f>
        <v>JUL - DEC</v>
      </c>
      <c r="Q6" s="24" t="str">
        <f>$F$6</f>
        <v>BUD vs ACTUALS</v>
      </c>
      <c r="R6" s="36" t="str">
        <f>$G$6</f>
        <v>BUD vs ACTUALS</v>
      </c>
    </row>
    <row r="7" spans="1:18" x14ac:dyDescent="0.25">
      <c r="A7" s="5"/>
      <c r="B7" s="78" t="s">
        <v>953</v>
      </c>
      <c r="C7" s="6" t="str">
        <f>'All Departments'!$C$7</f>
        <v>BUDGET</v>
      </c>
      <c r="D7" s="6" t="str">
        <f>'All Departments'!$D$7</f>
        <v>BUDGET</v>
      </c>
      <c r="E7" s="6" t="str">
        <f>'All Departments'!$E$7</f>
        <v>ACTUALS</v>
      </c>
      <c r="F7" s="6" t="str">
        <f>'All Departments'!$F$7</f>
        <v>$ CHANGE</v>
      </c>
      <c r="G7" s="7" t="str">
        <f>'All Departments'!$G$7</f>
        <v>% CHANGE</v>
      </c>
      <c r="H7" s="78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6" t="str">
        <f>$C$7</f>
        <v>BUDGET</v>
      </c>
      <c r="O7" s="6" t="str">
        <f>$D$7</f>
        <v>BUDGET</v>
      </c>
      <c r="P7" s="6" t="str">
        <f>$E$7</f>
        <v>ACTUALS</v>
      </c>
      <c r="Q7" s="6" t="str">
        <f>$F$7</f>
        <v>$ CHANGE</v>
      </c>
      <c r="R7" s="7" t="str">
        <f>$G$7</f>
        <v>% CHANGE</v>
      </c>
    </row>
    <row r="8" spans="1:18" x14ac:dyDescent="0.25">
      <c r="A8" s="8"/>
      <c r="B8" s="8"/>
      <c r="C8" s="9"/>
      <c r="D8" s="9"/>
      <c r="E8" s="9"/>
      <c r="F8" s="10"/>
      <c r="G8" s="41"/>
      <c r="H8" s="82"/>
      <c r="I8" s="10"/>
      <c r="J8" s="10"/>
      <c r="K8" s="10"/>
      <c r="L8" s="10"/>
      <c r="M8" s="41"/>
      <c r="N8" s="9"/>
      <c r="O8" s="9"/>
      <c r="P8" s="9"/>
      <c r="Q8" s="9"/>
      <c r="R8" s="11"/>
    </row>
    <row r="9" spans="1:18" x14ac:dyDescent="0.25">
      <c r="A9" s="13" t="s">
        <v>1249</v>
      </c>
      <c r="B9" s="131" t="s">
        <v>488</v>
      </c>
      <c r="C9" s="14">
        <f>VLOOKUP(B9,'TB - Expense Data'!$H$3:$N$758,3,FALSE)</f>
        <v>37389.599999999999</v>
      </c>
      <c r="D9" s="14">
        <f>C9/2</f>
        <v>18694.8</v>
      </c>
      <c r="E9" s="26">
        <f>VLOOKUP(B9,'TB - Expense Data'!$H$3:$N$758,7,FALSE)</f>
        <v>17947.330000000002</v>
      </c>
      <c r="F9" s="92">
        <f>E9-D9</f>
        <v>-747.46999999999753</v>
      </c>
      <c r="G9" s="48">
        <f>IF(AND(D9&lt;&gt;0,F9&lt;&gt;0,ISNUMBER(D9),ISNUMBER(F9)),F9/D9,"-    ")</f>
        <v>-3.9982775959090097E-2</v>
      </c>
      <c r="H9" s="137" t="s">
        <v>516</v>
      </c>
      <c r="I9" s="14">
        <f>VLOOKUP(H9,'TB - Expense Data'!$H$3:$N$758,3,FALSE)</f>
        <v>66470.399999999994</v>
      </c>
      <c r="J9" s="14">
        <f>I9/2</f>
        <v>33235.199999999997</v>
      </c>
      <c r="K9" s="26">
        <f>VLOOKUP(H9,'TB - Expense Data'!$H$3:$N$758,7,FALSE)</f>
        <v>32283.29</v>
      </c>
      <c r="L9" s="92">
        <f>K9-J9</f>
        <v>-951.90999999999622</v>
      </c>
      <c r="M9" s="48">
        <f>IF(AND(J9&lt;&gt;0,L9&lt;&gt;0,ISNUMBER(J9),ISNUMBER(L9)),L9/J9,"-    ")</f>
        <v>-2.8641620932023767E-2</v>
      </c>
      <c r="N9" s="14">
        <f>C9+I9</f>
        <v>103860</v>
      </c>
      <c r="O9" s="14">
        <f>D9+J9</f>
        <v>51930</v>
      </c>
      <c r="P9" s="26">
        <f>E9+K9</f>
        <v>50230.62</v>
      </c>
      <c r="Q9" s="92">
        <f>P9-O9</f>
        <v>-1699.3799999999974</v>
      </c>
      <c r="R9" s="48">
        <f>IF(AND(O9&lt;&gt;0,Q9&lt;&gt;0,ISNUMBER(O9),ISNUMBER(Q9)),Q9/O9,"-    ")</f>
        <v>-3.2724436741767712E-2</v>
      </c>
    </row>
    <row r="10" spans="1:18" x14ac:dyDescent="0.25">
      <c r="A10" s="13" t="s">
        <v>37</v>
      </c>
      <c r="B10" s="131" t="s">
        <v>483</v>
      </c>
      <c r="C10" s="14">
        <f>VLOOKUP(B10,'TB - Expense Data'!$H$3:$N$758,3,FALSE)</f>
        <v>1417</v>
      </c>
      <c r="D10" s="14">
        <f t="shared" ref="D10:D23" si="0">C10/2</f>
        <v>708.5</v>
      </c>
      <c r="E10" s="26">
        <f>VLOOKUP(B10,'TB - Expense Data'!$H$3:$N$758,7,FALSE)</f>
        <v>717.84</v>
      </c>
      <c r="F10" s="92">
        <f t="shared" ref="F10:F23" si="1">E10-D10</f>
        <v>9.3400000000000318</v>
      </c>
      <c r="G10" s="48">
        <f t="shared" ref="G10:G23" si="2">IF(AND(D10&lt;&gt;0,F10&lt;&gt;0,ISNUMBER(D10),ISNUMBER(F10)),F10/D10,"-    ")</f>
        <v>1.3182780522230108E-2</v>
      </c>
      <c r="H10" s="137" t="s">
        <v>511</v>
      </c>
      <c r="I10" s="14">
        <f>VLOOKUP(H10,'TB - Expense Data'!$H$3:$N$758,3,FALSE)</f>
        <v>2519</v>
      </c>
      <c r="J10" s="14">
        <f t="shared" ref="J10:J23" si="3">I10/2</f>
        <v>1259.5</v>
      </c>
      <c r="K10" s="26">
        <f>VLOOKUP(H10,'TB - Expense Data'!$H$3:$N$758,7,FALSE)</f>
        <v>1276.08</v>
      </c>
      <c r="L10" s="92">
        <f t="shared" ref="L10:L23" si="4">K10-J10</f>
        <v>16.579999999999927</v>
      </c>
      <c r="M10" s="48">
        <f t="shared" ref="M10:M23" si="5">IF(AND(J10&lt;&gt;0,L10&lt;&gt;0,ISNUMBER(J10),ISNUMBER(L10)),L10/J10,"-    ")</f>
        <v>1.3163953949980094E-2</v>
      </c>
      <c r="N10" s="14">
        <f t="shared" ref="N10:N23" si="6">C10+I10</f>
        <v>3936</v>
      </c>
      <c r="O10" s="14">
        <f t="shared" ref="O10:O23" si="7">D10+J10</f>
        <v>1968</v>
      </c>
      <c r="P10" s="26">
        <f t="shared" ref="P10:P23" si="8">E10+K10</f>
        <v>1993.92</v>
      </c>
      <c r="Q10" s="92">
        <f t="shared" ref="Q10:Q23" si="9">P10-O10</f>
        <v>25.920000000000073</v>
      </c>
      <c r="R10" s="48">
        <f t="shared" ref="R10:R23" si="10">IF(AND(O10&lt;&gt;0,Q10&lt;&gt;0,ISNUMBER(O10),ISNUMBER(Q10)),Q10/O10,"-    ")</f>
        <v>1.3170731707317111E-2</v>
      </c>
    </row>
    <row r="11" spans="1:18" x14ac:dyDescent="0.25">
      <c r="A11" s="13" t="s">
        <v>153</v>
      </c>
      <c r="B11" s="131" t="s">
        <v>474</v>
      </c>
      <c r="C11" s="14">
        <f>VLOOKUP(B11,'TB - Expense Data'!$H$3:$N$758,3,FALSE)</f>
        <v>2406</v>
      </c>
      <c r="D11" s="14">
        <f t="shared" si="0"/>
        <v>1203</v>
      </c>
      <c r="E11" s="26">
        <f>VLOOKUP(B11,'TB - Expense Data'!$H$3:$N$758,7,FALSE)</f>
        <v>1105.26</v>
      </c>
      <c r="F11" s="92">
        <f t="shared" si="1"/>
        <v>-97.740000000000009</v>
      </c>
      <c r="G11" s="48">
        <f t="shared" si="2"/>
        <v>-8.1246882793017464E-2</v>
      </c>
      <c r="H11" s="137" t="s">
        <v>502</v>
      </c>
      <c r="I11" s="14">
        <f>VLOOKUP(H11,'TB - Expense Data'!$H$3:$N$758,3,FALSE)</f>
        <v>4277</v>
      </c>
      <c r="J11" s="14">
        <f t="shared" si="3"/>
        <v>2138.5</v>
      </c>
      <c r="K11" s="26">
        <f>VLOOKUP(H11,'TB - Expense Data'!$H$3:$N$758,7,FALSE)</f>
        <v>1983.87</v>
      </c>
      <c r="L11" s="92">
        <f t="shared" si="4"/>
        <v>-154.63000000000011</v>
      </c>
      <c r="M11" s="48">
        <f t="shared" si="5"/>
        <v>-7.2307692307692364E-2</v>
      </c>
      <c r="N11" s="14">
        <f t="shared" si="6"/>
        <v>6683</v>
      </c>
      <c r="O11" s="14">
        <f t="shared" si="7"/>
        <v>3341.5</v>
      </c>
      <c r="P11" s="26">
        <f t="shared" si="8"/>
        <v>3089.13</v>
      </c>
      <c r="Q11" s="92">
        <f t="shared" si="9"/>
        <v>-252.36999999999989</v>
      </c>
      <c r="R11" s="48">
        <f t="shared" si="10"/>
        <v>-7.5525961394583244E-2</v>
      </c>
    </row>
    <row r="12" spans="1:18" x14ac:dyDescent="0.25">
      <c r="A12" s="13" t="s">
        <v>154</v>
      </c>
      <c r="B12" s="131" t="s">
        <v>473</v>
      </c>
      <c r="C12" s="14">
        <f>VLOOKUP(B12,'TB - Expense Data'!$H$3:$N$758,3,FALSE)</f>
        <v>563</v>
      </c>
      <c r="D12" s="14">
        <f t="shared" si="0"/>
        <v>281.5</v>
      </c>
      <c r="E12" s="26">
        <f>VLOOKUP(B12,'TB - Expense Data'!$H$3:$N$758,7,FALSE)</f>
        <v>269.98</v>
      </c>
      <c r="F12" s="92">
        <f t="shared" si="1"/>
        <v>-11.519999999999982</v>
      </c>
      <c r="G12" s="48">
        <f t="shared" si="2"/>
        <v>-4.0923623445825869E-2</v>
      </c>
      <c r="H12" s="137" t="s">
        <v>501</v>
      </c>
      <c r="I12" s="14">
        <f>VLOOKUP(H12,'TB - Expense Data'!$H$3:$N$758,3,FALSE)</f>
        <v>1000</v>
      </c>
      <c r="J12" s="14">
        <f t="shared" si="3"/>
        <v>500</v>
      </c>
      <c r="K12" s="26">
        <f>VLOOKUP(H12,'TB - Expense Data'!$H$3:$N$758,7,FALSE)</f>
        <v>485.36</v>
      </c>
      <c r="L12" s="92">
        <f t="shared" si="4"/>
        <v>-14.639999999999986</v>
      </c>
      <c r="M12" s="48">
        <f t="shared" si="5"/>
        <v>-2.9279999999999973E-2</v>
      </c>
      <c r="N12" s="14">
        <f t="shared" si="6"/>
        <v>1563</v>
      </c>
      <c r="O12" s="14">
        <f t="shared" si="7"/>
        <v>781.5</v>
      </c>
      <c r="P12" s="26">
        <f t="shared" si="8"/>
        <v>755.34</v>
      </c>
      <c r="Q12" s="92">
        <f t="shared" si="9"/>
        <v>-26.159999999999968</v>
      </c>
      <c r="R12" s="48">
        <f t="shared" si="10"/>
        <v>-3.3474088291746598E-2</v>
      </c>
    </row>
    <row r="13" spans="1:18" x14ac:dyDescent="0.25">
      <c r="A13" s="13" t="s">
        <v>38</v>
      </c>
      <c r="B13" s="131" t="s">
        <v>480</v>
      </c>
      <c r="C13" s="14">
        <f>VLOOKUP(B13,'TB - Expense Data'!$H$3:$N$758,3,FALSE)</f>
        <v>4836.24</v>
      </c>
      <c r="D13" s="14">
        <f t="shared" si="0"/>
        <v>2418.12</v>
      </c>
      <c r="E13" s="26">
        <f>VLOOKUP(B13,'TB - Expense Data'!$H$3:$N$758,7,FALSE)</f>
        <v>2428.27</v>
      </c>
      <c r="F13" s="92">
        <f t="shared" si="1"/>
        <v>10.150000000000091</v>
      </c>
      <c r="G13" s="48">
        <f t="shared" si="2"/>
        <v>4.1974757249433822E-3</v>
      </c>
      <c r="H13" s="137" t="s">
        <v>508</v>
      </c>
      <c r="I13" s="14">
        <f>VLOOKUP(H13,'TB - Expense Data'!$H$3:$N$758,3,FALSE)</f>
        <v>8597.76</v>
      </c>
      <c r="J13" s="14">
        <f t="shared" si="3"/>
        <v>4298.88</v>
      </c>
      <c r="K13" s="26">
        <f>VLOOKUP(H13,'TB - Expense Data'!$H$3:$N$758,7,FALSE)</f>
        <v>4307.84</v>
      </c>
      <c r="L13" s="92">
        <f t="shared" si="4"/>
        <v>8.9600000000000364</v>
      </c>
      <c r="M13" s="48">
        <f t="shared" si="5"/>
        <v>2.0842638082477381E-3</v>
      </c>
      <c r="N13" s="14">
        <f t="shared" si="6"/>
        <v>13434</v>
      </c>
      <c r="O13" s="14">
        <f t="shared" si="7"/>
        <v>6717</v>
      </c>
      <c r="P13" s="26">
        <f t="shared" si="8"/>
        <v>6736.1100000000006</v>
      </c>
      <c r="Q13" s="92">
        <f t="shared" si="9"/>
        <v>19.110000000000582</v>
      </c>
      <c r="R13" s="48">
        <f t="shared" si="10"/>
        <v>2.8450200982582377E-3</v>
      </c>
    </row>
    <row r="14" spans="1:18" x14ac:dyDescent="0.25">
      <c r="A14" s="13" t="s">
        <v>77</v>
      </c>
      <c r="B14" s="131" t="s">
        <v>470</v>
      </c>
      <c r="C14" s="14">
        <f>VLOOKUP(B14,'TB - Expense Data'!$H$3:$N$758,3,FALSE)</f>
        <v>259.2</v>
      </c>
      <c r="D14" s="14">
        <f t="shared" si="0"/>
        <v>129.6</v>
      </c>
      <c r="E14" s="26">
        <f>VLOOKUP(B14,'TB - Expense Data'!$H$3:$N$758,7,FALSE)</f>
        <v>129.79</v>
      </c>
      <c r="F14" s="92">
        <f t="shared" si="1"/>
        <v>0.18999999999999773</v>
      </c>
      <c r="G14" s="48">
        <f t="shared" si="2"/>
        <v>1.4660493827160319E-3</v>
      </c>
      <c r="H14" s="137" t="s">
        <v>498</v>
      </c>
      <c r="I14" s="14">
        <f>VLOOKUP(H14,'TB - Expense Data'!$H$3:$N$758,3,FALSE)</f>
        <v>460.8</v>
      </c>
      <c r="J14" s="14">
        <f t="shared" si="3"/>
        <v>230.4</v>
      </c>
      <c r="K14" s="26">
        <f>VLOOKUP(H14,'TB - Expense Data'!$H$3:$N$758,7,FALSE)</f>
        <v>230.35</v>
      </c>
      <c r="L14" s="92">
        <f t="shared" si="4"/>
        <v>-5.0000000000011369E-2</v>
      </c>
      <c r="M14" s="48">
        <f t="shared" si="5"/>
        <v>-2.1701388888893824E-4</v>
      </c>
      <c r="N14" s="14">
        <f t="shared" si="6"/>
        <v>720</v>
      </c>
      <c r="O14" s="14">
        <f t="shared" si="7"/>
        <v>360</v>
      </c>
      <c r="P14" s="26">
        <f t="shared" si="8"/>
        <v>360.14</v>
      </c>
      <c r="Q14" s="92">
        <f t="shared" si="9"/>
        <v>0.13999999999998636</v>
      </c>
      <c r="R14" s="48">
        <f t="shared" si="10"/>
        <v>3.8888888888885097E-4</v>
      </c>
    </row>
    <row r="15" spans="1:18" x14ac:dyDescent="0.25">
      <c r="A15" s="13" t="s">
        <v>78</v>
      </c>
      <c r="B15" s="131" t="s">
        <v>487</v>
      </c>
      <c r="C15" s="14">
        <f>VLOOKUP(B15,'TB - Expense Data'!$H$3:$N$758,3,FALSE)</f>
        <v>81.72</v>
      </c>
      <c r="D15" s="14">
        <f t="shared" si="0"/>
        <v>40.86</v>
      </c>
      <c r="E15" s="26">
        <f>VLOOKUP(B15,'TB - Expense Data'!$H$3:$N$758,7,FALSE)</f>
        <v>44.67</v>
      </c>
      <c r="F15" s="92">
        <f t="shared" si="1"/>
        <v>3.8100000000000023</v>
      </c>
      <c r="G15" s="48">
        <f t="shared" si="2"/>
        <v>9.3245227606461145E-2</v>
      </c>
      <c r="H15" s="137" t="s">
        <v>515</v>
      </c>
      <c r="I15" s="14">
        <f>VLOOKUP(H15,'TB - Expense Data'!$H$3:$N$758,3,FALSE)</f>
        <v>145.28</v>
      </c>
      <c r="J15" s="14">
        <f t="shared" si="3"/>
        <v>72.64</v>
      </c>
      <c r="K15" s="26">
        <f>VLOOKUP(H15,'TB - Expense Data'!$H$3:$N$758,7,FALSE)</f>
        <v>79.2</v>
      </c>
      <c r="L15" s="92">
        <f t="shared" si="4"/>
        <v>6.5600000000000023</v>
      </c>
      <c r="M15" s="48">
        <f t="shared" si="5"/>
        <v>9.0308370044052899E-2</v>
      </c>
      <c r="N15" s="14">
        <f t="shared" si="6"/>
        <v>227</v>
      </c>
      <c r="O15" s="14">
        <f t="shared" si="7"/>
        <v>113.5</v>
      </c>
      <c r="P15" s="26">
        <f t="shared" si="8"/>
        <v>123.87</v>
      </c>
      <c r="Q15" s="92">
        <f t="shared" si="9"/>
        <v>10.370000000000005</v>
      </c>
      <c r="R15" s="48">
        <f t="shared" si="10"/>
        <v>9.136563876651986E-2</v>
      </c>
    </row>
    <row r="16" spans="1:18" x14ac:dyDescent="0.25">
      <c r="A16" s="13" t="s">
        <v>79</v>
      </c>
      <c r="B16" s="131" t="s">
        <v>490</v>
      </c>
      <c r="C16" s="14">
        <f>VLOOKUP(B16,'TB - Expense Data'!$H$3:$N$758,3,FALSE)</f>
        <v>399</v>
      </c>
      <c r="D16" s="14">
        <f t="shared" si="0"/>
        <v>199.5</v>
      </c>
      <c r="E16" s="26">
        <f>VLOOKUP(B16,'TB - Expense Data'!$H$3:$N$758,7,FALSE)</f>
        <v>362.6</v>
      </c>
      <c r="F16" s="92">
        <f t="shared" si="1"/>
        <v>163.10000000000002</v>
      </c>
      <c r="G16" s="48">
        <f t="shared" si="2"/>
        <v>0.81754385964912291</v>
      </c>
      <c r="H16" s="137" t="s">
        <v>518</v>
      </c>
      <c r="I16" s="14">
        <f>VLOOKUP(H16,'TB - Expense Data'!$H$3:$N$758,3,FALSE)</f>
        <v>708</v>
      </c>
      <c r="J16" s="14">
        <f t="shared" si="3"/>
        <v>354</v>
      </c>
      <c r="K16" s="26">
        <f>VLOOKUP(H16,'TB - Expense Data'!$H$3:$N$758,7,FALSE)</f>
        <v>654.23</v>
      </c>
      <c r="L16" s="92">
        <f t="shared" si="4"/>
        <v>300.23</v>
      </c>
      <c r="M16" s="48">
        <f t="shared" si="5"/>
        <v>0.84810734463276838</v>
      </c>
      <c r="N16" s="14">
        <f t="shared" si="6"/>
        <v>1107</v>
      </c>
      <c r="O16" s="14">
        <f t="shared" si="7"/>
        <v>553.5</v>
      </c>
      <c r="P16" s="26">
        <f t="shared" si="8"/>
        <v>1016.83</v>
      </c>
      <c r="Q16" s="92">
        <f t="shared" si="9"/>
        <v>463.33000000000004</v>
      </c>
      <c r="R16" s="48">
        <f t="shared" si="10"/>
        <v>0.83709123757904258</v>
      </c>
    </row>
    <row r="17" spans="1:18" x14ac:dyDescent="0.25">
      <c r="A17" s="13" t="s">
        <v>1248</v>
      </c>
      <c r="B17" s="131" t="s">
        <v>479</v>
      </c>
      <c r="C17" s="14">
        <f>VLOOKUP(B17,'TB - Expense Data'!$H$3:$N$758,3,FALSE)</f>
        <v>130.32</v>
      </c>
      <c r="D17" s="14">
        <f t="shared" si="0"/>
        <v>65.16</v>
      </c>
      <c r="E17" s="26">
        <f>VLOOKUP(B17,'TB - Expense Data'!$H$3:$N$758,7,FALSE)</f>
        <v>49.19</v>
      </c>
      <c r="F17" s="92">
        <f t="shared" si="1"/>
        <v>-15.969999999999999</v>
      </c>
      <c r="G17" s="48">
        <f t="shared" si="2"/>
        <v>-0.24508901166359728</v>
      </c>
      <c r="H17" s="137" t="s">
        <v>507</v>
      </c>
      <c r="I17" s="14">
        <f>VLOOKUP(H17,'TB - Expense Data'!$H$3:$N$758,3,FALSE)</f>
        <v>231.68</v>
      </c>
      <c r="J17" s="14">
        <f t="shared" si="3"/>
        <v>115.84</v>
      </c>
      <c r="K17" s="26">
        <f>VLOOKUP(H17,'TB - Expense Data'!$H$3:$N$758,7,FALSE)</f>
        <v>87.49</v>
      </c>
      <c r="L17" s="92">
        <f t="shared" si="4"/>
        <v>-28.350000000000009</v>
      </c>
      <c r="M17" s="48">
        <f t="shared" si="5"/>
        <v>-0.24473411602209952</v>
      </c>
      <c r="N17" s="14">
        <f t="shared" si="6"/>
        <v>362</v>
      </c>
      <c r="O17" s="14">
        <f t="shared" si="7"/>
        <v>181</v>
      </c>
      <c r="P17" s="26">
        <f t="shared" si="8"/>
        <v>136.68</v>
      </c>
      <c r="Q17" s="92">
        <f t="shared" si="9"/>
        <v>-44.319999999999993</v>
      </c>
      <c r="R17" s="48">
        <f t="shared" si="10"/>
        <v>-0.24486187845303864</v>
      </c>
    </row>
    <row r="18" spans="1:18" x14ac:dyDescent="0.25">
      <c r="A18" s="13" t="s">
        <v>40</v>
      </c>
      <c r="B18" s="131" t="s">
        <v>485</v>
      </c>
      <c r="C18" s="14">
        <f>VLOOKUP(B18,'TB - Expense Data'!$H$3:$N$758,3,FALSE)</f>
        <v>249.48</v>
      </c>
      <c r="D18" s="14">
        <f t="shared" si="0"/>
        <v>124.74</v>
      </c>
      <c r="E18" s="26">
        <f>VLOOKUP(B18,'TB - Expense Data'!$H$3:$N$758,7,FALSE)</f>
        <v>10.49</v>
      </c>
      <c r="F18" s="92">
        <f t="shared" si="1"/>
        <v>-114.25</v>
      </c>
      <c r="G18" s="48">
        <f t="shared" si="2"/>
        <v>-0.9159050825717493</v>
      </c>
      <c r="H18" s="137" t="s">
        <v>513</v>
      </c>
      <c r="I18" s="14">
        <f>VLOOKUP(H18,'TB - Expense Data'!$H$3:$N$758,3,FALSE)</f>
        <v>443.52</v>
      </c>
      <c r="J18" s="14">
        <f t="shared" si="3"/>
        <v>221.76</v>
      </c>
      <c r="K18" s="26">
        <f>VLOOKUP(H18,'TB - Expense Data'!$H$3:$N$758,7,FALSE)</f>
        <v>18.649999999999999</v>
      </c>
      <c r="L18" s="92">
        <f t="shared" si="4"/>
        <v>-203.10999999999999</v>
      </c>
      <c r="M18" s="48">
        <f t="shared" si="5"/>
        <v>-0.91590007215007208</v>
      </c>
      <c r="N18" s="14">
        <f t="shared" si="6"/>
        <v>693</v>
      </c>
      <c r="O18" s="14">
        <f t="shared" si="7"/>
        <v>346.5</v>
      </c>
      <c r="P18" s="26">
        <f t="shared" si="8"/>
        <v>29.14</v>
      </c>
      <c r="Q18" s="92">
        <f t="shared" si="9"/>
        <v>-317.36</v>
      </c>
      <c r="R18" s="48">
        <f t="shared" si="10"/>
        <v>-0.91590187590187599</v>
      </c>
    </row>
    <row r="19" spans="1:18" x14ac:dyDescent="0.25">
      <c r="A19" s="13" t="s">
        <v>41</v>
      </c>
      <c r="B19" s="131" t="s">
        <v>472</v>
      </c>
      <c r="C19" s="14">
        <f>VLOOKUP(B19,'TB - Expense Data'!$H$3:$N$758,3,FALSE)</f>
        <v>5.4</v>
      </c>
      <c r="D19" s="14">
        <f t="shared" si="0"/>
        <v>2.7</v>
      </c>
      <c r="E19" s="26">
        <f>VLOOKUP(B19,'TB - Expense Data'!$H$3:$N$758,7,FALSE)</f>
        <v>0.25</v>
      </c>
      <c r="F19" s="92">
        <f t="shared" si="1"/>
        <v>-2.4500000000000002</v>
      </c>
      <c r="G19" s="48">
        <f t="shared" si="2"/>
        <v>-0.90740740740740744</v>
      </c>
      <c r="H19" s="137" t="s">
        <v>500</v>
      </c>
      <c r="I19" s="14">
        <f>VLOOKUP(H19,'TB - Expense Data'!$H$3:$N$758,3,FALSE)</f>
        <v>9.6</v>
      </c>
      <c r="J19" s="14">
        <f t="shared" si="3"/>
        <v>4.8</v>
      </c>
      <c r="K19" s="26">
        <f>VLOOKUP(H19,'TB - Expense Data'!$H$3:$N$758,7,FALSE)</f>
        <v>0.44</v>
      </c>
      <c r="L19" s="92">
        <f t="shared" si="4"/>
        <v>-4.3599999999999994</v>
      </c>
      <c r="M19" s="48">
        <f t="shared" si="5"/>
        <v>-0.90833333333333321</v>
      </c>
      <c r="N19" s="14">
        <f t="shared" si="6"/>
        <v>15</v>
      </c>
      <c r="O19" s="14">
        <f t="shared" si="7"/>
        <v>7.5</v>
      </c>
      <c r="P19" s="26">
        <f t="shared" si="8"/>
        <v>0.69</v>
      </c>
      <c r="Q19" s="92">
        <f t="shared" si="9"/>
        <v>-6.8100000000000005</v>
      </c>
      <c r="R19" s="48">
        <f t="shared" si="10"/>
        <v>-0.90800000000000003</v>
      </c>
    </row>
    <row r="20" spans="1:18" x14ac:dyDescent="0.25">
      <c r="A20" s="13" t="s">
        <v>42</v>
      </c>
      <c r="B20" s="131" t="s">
        <v>471</v>
      </c>
      <c r="C20" s="14">
        <f>VLOOKUP(B20,'TB - Expense Data'!$H$3:$N$758,3,FALSE)</f>
        <v>102.24</v>
      </c>
      <c r="D20" s="14">
        <f t="shared" si="0"/>
        <v>51.12</v>
      </c>
      <c r="E20" s="26">
        <f>VLOOKUP(B20,'TB - Expense Data'!$H$3:$N$758,7,FALSE)</f>
        <v>34.380000000000003</v>
      </c>
      <c r="F20" s="92">
        <f t="shared" si="1"/>
        <v>-16.739999999999995</v>
      </c>
      <c r="G20" s="48">
        <f t="shared" si="2"/>
        <v>-0.32746478873239426</v>
      </c>
      <c r="H20" s="137" t="s">
        <v>499</v>
      </c>
      <c r="I20" s="14">
        <f>VLOOKUP(H20,'TB - Expense Data'!$H$3:$N$758,3,FALSE)</f>
        <v>181.76</v>
      </c>
      <c r="J20" s="14">
        <f t="shared" si="3"/>
        <v>90.88</v>
      </c>
      <c r="K20" s="26">
        <f>VLOOKUP(H20,'TB - Expense Data'!$H$3:$N$758,7,FALSE)</f>
        <v>61.08</v>
      </c>
      <c r="L20" s="92">
        <f t="shared" si="4"/>
        <v>-29.799999999999997</v>
      </c>
      <c r="M20" s="48">
        <f t="shared" si="5"/>
        <v>-0.32790492957746475</v>
      </c>
      <c r="N20" s="14">
        <f t="shared" si="6"/>
        <v>284</v>
      </c>
      <c r="O20" s="14">
        <f t="shared" si="7"/>
        <v>142</v>
      </c>
      <c r="P20" s="26">
        <f t="shared" si="8"/>
        <v>95.460000000000008</v>
      </c>
      <c r="Q20" s="92">
        <f t="shared" si="9"/>
        <v>-46.539999999999992</v>
      </c>
      <c r="R20" s="48">
        <f t="shared" si="10"/>
        <v>-0.32774647887323938</v>
      </c>
    </row>
    <row r="21" spans="1:18" x14ac:dyDescent="0.25">
      <c r="A21" s="498" t="s">
        <v>3441</v>
      </c>
      <c r="B21" s="499" t="s">
        <v>465</v>
      </c>
      <c r="C21" s="14">
        <f>VLOOKUP(B21,'TB - Expense Data'!$H$3:$N$758,3,FALSE)</f>
        <v>2982.6</v>
      </c>
      <c r="D21" s="14">
        <f t="shared" si="0"/>
        <v>1491.3</v>
      </c>
      <c r="E21" s="26">
        <f>VLOOKUP(B21,'TB - Expense Data'!$H$3:$N$758,7,FALSE)</f>
        <v>1340.28</v>
      </c>
      <c r="F21" s="92">
        <f t="shared" si="1"/>
        <v>-151.01999999999998</v>
      </c>
      <c r="G21" s="48">
        <f t="shared" si="2"/>
        <v>-0.10126735063367531</v>
      </c>
      <c r="H21" s="503" t="s">
        <v>493</v>
      </c>
      <c r="I21" s="14">
        <f>VLOOKUP(H21,'TB - Expense Data'!$H$3:$N$758,3,FALSE)</f>
        <v>5302.4</v>
      </c>
      <c r="J21" s="14">
        <f t="shared" si="3"/>
        <v>2651.2</v>
      </c>
      <c r="K21" s="26">
        <f>VLOOKUP(H21,'TB - Expense Data'!$H$3:$N$758,7,FALSE)</f>
        <v>2409.58</v>
      </c>
      <c r="L21" s="92">
        <f t="shared" si="4"/>
        <v>-241.61999999999989</v>
      </c>
      <c r="M21" s="48">
        <f t="shared" si="5"/>
        <v>-9.1136089318044622E-2</v>
      </c>
      <c r="N21" s="14">
        <f t="shared" si="6"/>
        <v>8285</v>
      </c>
      <c r="O21" s="14">
        <f t="shared" si="7"/>
        <v>4142.5</v>
      </c>
      <c r="P21" s="26">
        <f t="shared" si="8"/>
        <v>3749.8599999999997</v>
      </c>
      <c r="Q21" s="92">
        <f t="shared" si="9"/>
        <v>-392.64000000000033</v>
      </c>
      <c r="R21" s="48">
        <f t="shared" si="10"/>
        <v>-9.478334339167177E-2</v>
      </c>
    </row>
    <row r="22" spans="1:18" x14ac:dyDescent="0.25">
      <c r="A22" s="498" t="s">
        <v>3442</v>
      </c>
      <c r="B22" s="499" t="s">
        <v>466</v>
      </c>
      <c r="C22" s="14">
        <f>VLOOKUP(B22,'TB - Expense Data'!$H$3:$N$758,3,FALSE)</f>
        <v>2463.84</v>
      </c>
      <c r="D22" s="14">
        <f t="shared" si="0"/>
        <v>1231.92</v>
      </c>
      <c r="E22" s="26">
        <f>VLOOKUP(B22,'TB - Expense Data'!$H$3:$N$758,7,FALSE)</f>
        <v>1112.1300000000001</v>
      </c>
      <c r="F22" s="92">
        <f t="shared" si="1"/>
        <v>-119.78999999999996</v>
      </c>
      <c r="G22" s="48">
        <f t="shared" si="2"/>
        <v>-9.7238457042665066E-2</v>
      </c>
      <c r="H22" s="503" t="s">
        <v>494</v>
      </c>
      <c r="I22" s="14">
        <f>VLOOKUP(H22,'TB - Expense Data'!$H$3:$N$758,3,FALSE)</f>
        <v>4380.16</v>
      </c>
      <c r="J22" s="14">
        <f t="shared" si="3"/>
        <v>2190.08</v>
      </c>
      <c r="K22" s="26">
        <f>VLOOKUP(H22,'TB - Expense Data'!$H$3:$N$758,7,FALSE)</f>
        <v>1999.83</v>
      </c>
      <c r="L22" s="92">
        <f t="shared" si="4"/>
        <v>-190.25</v>
      </c>
      <c r="M22" s="48">
        <f t="shared" si="5"/>
        <v>-8.6868972822910576E-2</v>
      </c>
      <c r="N22" s="14">
        <f t="shared" si="6"/>
        <v>6844</v>
      </c>
      <c r="O22" s="14">
        <f t="shared" si="7"/>
        <v>3422</v>
      </c>
      <c r="P22" s="26">
        <f t="shared" si="8"/>
        <v>3111.96</v>
      </c>
      <c r="Q22" s="92">
        <f t="shared" si="9"/>
        <v>-310.03999999999996</v>
      </c>
      <c r="R22" s="48">
        <f t="shared" si="10"/>
        <v>-9.0601987142022194E-2</v>
      </c>
    </row>
    <row r="23" spans="1:18" x14ac:dyDescent="0.25">
      <c r="A23" s="13" t="s">
        <v>183</v>
      </c>
      <c r="B23" s="131" t="s">
        <v>482</v>
      </c>
      <c r="C23" s="14">
        <f>VLOOKUP(B23,'TB - Expense Data'!$H$3:$N$758,3,FALSE)</f>
        <v>1422</v>
      </c>
      <c r="D23" s="14">
        <f t="shared" si="0"/>
        <v>711</v>
      </c>
      <c r="E23" s="26">
        <f>VLOOKUP(B23,'TB - Expense Data'!$H$3:$N$758,7,FALSE)</f>
        <v>0</v>
      </c>
      <c r="F23" s="92">
        <f t="shared" si="1"/>
        <v>-711</v>
      </c>
      <c r="G23" s="48">
        <f t="shared" si="2"/>
        <v>-1</v>
      </c>
      <c r="H23" s="137" t="s">
        <v>510</v>
      </c>
      <c r="I23" s="14">
        <f>VLOOKUP(H23,'TB - Expense Data'!$H$3:$N$758,3,FALSE)</f>
        <v>2528</v>
      </c>
      <c r="J23" s="14">
        <f t="shared" si="3"/>
        <v>1264</v>
      </c>
      <c r="K23" s="26">
        <f>VLOOKUP(H23,'TB - Expense Data'!$H$3:$N$758,7,FALSE)</f>
        <v>0</v>
      </c>
      <c r="L23" s="92">
        <f t="shared" si="4"/>
        <v>-1264</v>
      </c>
      <c r="M23" s="48">
        <f t="shared" si="5"/>
        <v>-1</v>
      </c>
      <c r="N23" s="14">
        <f t="shared" si="6"/>
        <v>3950</v>
      </c>
      <c r="O23" s="14">
        <f t="shared" si="7"/>
        <v>1975</v>
      </c>
      <c r="P23" s="26">
        <f t="shared" si="8"/>
        <v>0</v>
      </c>
      <c r="Q23" s="92">
        <f t="shared" si="9"/>
        <v>-1975</v>
      </c>
      <c r="R23" s="48">
        <f t="shared" si="10"/>
        <v>-1</v>
      </c>
    </row>
    <row r="24" spans="1:18" x14ac:dyDescent="0.25">
      <c r="A24" s="13"/>
      <c r="B24" s="132"/>
      <c r="C24" s="14"/>
      <c r="D24" s="14"/>
      <c r="E24" s="14"/>
      <c r="F24" s="14"/>
      <c r="G24" s="170"/>
      <c r="H24" s="138"/>
      <c r="I24" s="14"/>
      <c r="J24" s="14"/>
      <c r="K24" s="14"/>
      <c r="L24" s="14"/>
      <c r="M24" s="170"/>
      <c r="N24" s="14"/>
      <c r="O24" s="14"/>
      <c r="P24" s="14"/>
      <c r="Q24" s="14"/>
      <c r="R24" s="20"/>
    </row>
    <row r="25" spans="1:18" s="1" customFormat="1" x14ac:dyDescent="0.25">
      <c r="A25" s="30" t="s">
        <v>45</v>
      </c>
      <c r="B25" s="133"/>
      <c r="C25" s="23">
        <f>SUM(C9:C24)</f>
        <v>54707.64</v>
      </c>
      <c r="D25" s="23">
        <f>C25/2</f>
        <v>27353.82</v>
      </c>
      <c r="E25" s="23">
        <f>SUM(E9:E24)</f>
        <v>25552.46</v>
      </c>
      <c r="F25" s="90">
        <f>E25-D25</f>
        <v>-1801.3600000000006</v>
      </c>
      <c r="G25" s="50">
        <f>IF(AND(D25&lt;&gt;0,F25&lt;&gt;0,ISNUMBER(D25),ISNUMBER(F25)),F25/D25,"-    ")</f>
        <v>-6.5854056215914294E-2</v>
      </c>
      <c r="H25" s="139"/>
      <c r="I25" s="23">
        <f>SUM(I9:I24)</f>
        <v>97255.359999999986</v>
      </c>
      <c r="J25" s="23">
        <f>I25/2</f>
        <v>48627.679999999993</v>
      </c>
      <c r="K25" s="23">
        <f>SUM(K9:K24)</f>
        <v>45877.290000000008</v>
      </c>
      <c r="L25" s="90">
        <f>K25-J25</f>
        <v>-2750.3899999999849</v>
      </c>
      <c r="M25" s="50">
        <f>IF(AND(J25&lt;&gt;0,L25&lt;&gt;0,ISNUMBER(J25),ISNUMBER(L25)),L25/J25,"-    ")</f>
        <v>-5.6560173135958479E-2</v>
      </c>
      <c r="N25" s="23">
        <f>C25+I25</f>
        <v>151963</v>
      </c>
      <c r="O25" s="23">
        <f>D25+J25</f>
        <v>75981.5</v>
      </c>
      <c r="P25" s="27">
        <f>E25+K25</f>
        <v>71429.75</v>
      </c>
      <c r="Q25" s="90">
        <f>P25-O25</f>
        <v>-4551.75</v>
      </c>
      <c r="R25" s="50">
        <f>IF(AND(O25&lt;&gt;0,Q25&lt;&gt;0,ISNUMBER(O25),ISNUMBER(Q25)),Q25/O25,"-    ")</f>
        <v>-5.9906029757243538E-2</v>
      </c>
    </row>
    <row r="26" spans="1:18" x14ac:dyDescent="0.25">
      <c r="A26" s="13"/>
      <c r="B26" s="132"/>
      <c r="C26" s="14"/>
      <c r="D26" s="14"/>
      <c r="E26" s="14"/>
      <c r="F26" s="14"/>
      <c r="G26" s="170"/>
      <c r="H26" s="138"/>
      <c r="I26" s="14"/>
      <c r="J26" s="14"/>
      <c r="K26" s="14"/>
      <c r="L26" s="14"/>
      <c r="M26" s="170"/>
      <c r="N26" s="14"/>
      <c r="O26" s="14"/>
      <c r="P26" s="14"/>
      <c r="Q26" s="14"/>
      <c r="R26" s="20"/>
    </row>
    <row r="27" spans="1:18" x14ac:dyDescent="0.25">
      <c r="A27" s="13" t="s">
        <v>46</v>
      </c>
      <c r="B27" s="131" t="s">
        <v>464</v>
      </c>
      <c r="C27" s="14">
        <f>VLOOKUP(B27,'TB - Expense Data'!$H$3:$N$758,3,FALSE)</f>
        <v>72</v>
      </c>
      <c r="D27" s="14">
        <f>C27/2</f>
        <v>36</v>
      </c>
      <c r="E27" s="26">
        <f>VLOOKUP(B27,'TB - Expense Data'!$H$3:$N$758,7,FALSE)</f>
        <v>0</v>
      </c>
      <c r="F27" s="92">
        <f>E27-D27</f>
        <v>-36</v>
      </c>
      <c r="G27" s="48">
        <f>IF(AND(D27&lt;&gt;0,F27&lt;&gt;0,ISNUMBER(D27),ISNUMBER(F27)),F27/D27,"-    ")</f>
        <v>-1</v>
      </c>
      <c r="H27" s="137" t="s">
        <v>492</v>
      </c>
      <c r="I27" s="14">
        <f>VLOOKUP(H27,'TB - Expense Data'!$H$3:$N$758,3,FALSE)</f>
        <v>128</v>
      </c>
      <c r="J27" s="14">
        <f>I27/2</f>
        <v>64</v>
      </c>
      <c r="K27" s="26">
        <f>VLOOKUP(H27,'TB - Expense Data'!$H$3:$N$758,7,FALSE)</f>
        <v>0</v>
      </c>
      <c r="L27" s="92">
        <f>K27-J27</f>
        <v>-64</v>
      </c>
      <c r="M27" s="48">
        <f>IF(AND(J27&lt;&gt;0,L27&lt;&gt;0,ISNUMBER(J27),ISNUMBER(L27)),L27/J27,"-    ")</f>
        <v>-1</v>
      </c>
      <c r="N27" s="14">
        <f>C27+I27</f>
        <v>200</v>
      </c>
      <c r="O27" s="14">
        <f>D27+J27</f>
        <v>100</v>
      </c>
      <c r="P27" s="26">
        <f>E27+K27</f>
        <v>0</v>
      </c>
      <c r="Q27" s="92">
        <f>P27-O27</f>
        <v>-100</v>
      </c>
      <c r="R27" s="48">
        <f>IF(AND(O27&lt;&gt;0,Q27&lt;&gt;0,ISNUMBER(O27),ISNUMBER(Q27)),Q27/O27,"-    ")</f>
        <v>-1</v>
      </c>
    </row>
    <row r="28" spans="1:18" x14ac:dyDescent="0.25">
      <c r="A28" s="13" t="s">
        <v>47</v>
      </c>
      <c r="B28" s="131" t="s">
        <v>484</v>
      </c>
      <c r="C28" s="14">
        <f>VLOOKUP(B28,'TB - Expense Data'!$H$3:$N$758,3,FALSE)</f>
        <v>3600</v>
      </c>
      <c r="D28" s="14">
        <f t="shared" ref="D28:D39" si="11">C28/2</f>
        <v>1800</v>
      </c>
      <c r="E28" s="26">
        <f>VLOOKUP(B28,'TB - Expense Data'!$H$3:$N$758,7,FALSE)</f>
        <v>1570.19</v>
      </c>
      <c r="F28" s="92">
        <f t="shared" ref="F28:F39" si="12">E28-D28</f>
        <v>-229.80999999999995</v>
      </c>
      <c r="G28" s="48">
        <f t="shared" ref="G28:G39" si="13">IF(AND(D28&lt;&gt;0,F28&lt;&gt;0,ISNUMBER(D28),ISNUMBER(F28)),F28/D28,"-    ")</f>
        <v>-0.12767222222222219</v>
      </c>
      <c r="H28" s="137" t="s">
        <v>512</v>
      </c>
      <c r="I28" s="14">
        <f>VLOOKUP(H28,'TB - Expense Data'!$H$3:$N$758,3,FALSE)</f>
        <v>2685</v>
      </c>
      <c r="J28" s="14">
        <f t="shared" ref="J28:J39" si="14">I28/2</f>
        <v>1342.5</v>
      </c>
      <c r="K28" s="26">
        <f>VLOOKUP(H28,'TB - Expense Data'!$H$3:$N$758,7,FALSE)</f>
        <v>1754.3</v>
      </c>
      <c r="L28" s="92">
        <f t="shared" ref="L28:L39" si="15">K28-J28</f>
        <v>411.79999999999995</v>
      </c>
      <c r="M28" s="48">
        <f t="shared" ref="M28:M39" si="16">IF(AND(J28&lt;&gt;0,L28&lt;&gt;0,ISNUMBER(J28),ISNUMBER(L28)),L28/J28,"-    ")</f>
        <v>0.3067411545623836</v>
      </c>
      <c r="N28" s="14">
        <f t="shared" ref="N28:N39" si="17">C28+I28</f>
        <v>6285</v>
      </c>
      <c r="O28" s="14">
        <f t="shared" ref="O28:O39" si="18">D28+J28</f>
        <v>3142.5</v>
      </c>
      <c r="P28" s="26">
        <f t="shared" ref="P28:P39" si="19">E28+K28</f>
        <v>3324.49</v>
      </c>
      <c r="Q28" s="92">
        <f t="shared" ref="Q28:Q39" si="20">P28-O28</f>
        <v>181.98999999999978</v>
      </c>
      <c r="R28" s="48">
        <f t="shared" ref="R28:R39" si="21">IF(AND(O28&lt;&gt;0,Q28&lt;&gt;0,ISNUMBER(O28),ISNUMBER(Q28)),Q28/O28,"-    ")</f>
        <v>5.7912490055688076E-2</v>
      </c>
    </row>
    <row r="29" spans="1:18" x14ac:dyDescent="0.25">
      <c r="A29" s="13" t="s">
        <v>49</v>
      </c>
      <c r="B29" s="131" t="s">
        <v>475</v>
      </c>
      <c r="C29" s="14">
        <f>VLOOKUP(B29,'TB - Expense Data'!$H$3:$N$758,3,FALSE)</f>
        <v>360</v>
      </c>
      <c r="D29" s="14">
        <f t="shared" si="11"/>
        <v>180</v>
      </c>
      <c r="E29" s="26">
        <f>VLOOKUP(B29,'TB - Expense Data'!$H$3:$N$758,7,FALSE)</f>
        <v>0</v>
      </c>
      <c r="F29" s="92">
        <f t="shared" si="12"/>
        <v>-180</v>
      </c>
      <c r="G29" s="48">
        <f t="shared" si="13"/>
        <v>-1</v>
      </c>
      <c r="H29" s="137" t="s">
        <v>503</v>
      </c>
      <c r="I29" s="14">
        <f>VLOOKUP(H29,'TB - Expense Data'!$H$3:$N$758,3,FALSE)</f>
        <v>250</v>
      </c>
      <c r="J29" s="14">
        <f t="shared" si="14"/>
        <v>125</v>
      </c>
      <c r="K29" s="26">
        <f>VLOOKUP(H29,'TB - Expense Data'!$H$3:$N$758,7,FALSE)</f>
        <v>0</v>
      </c>
      <c r="L29" s="92">
        <f t="shared" si="15"/>
        <v>-125</v>
      </c>
      <c r="M29" s="48">
        <f t="shared" si="16"/>
        <v>-1</v>
      </c>
      <c r="N29" s="14">
        <f t="shared" si="17"/>
        <v>610</v>
      </c>
      <c r="O29" s="14">
        <f t="shared" si="18"/>
        <v>305</v>
      </c>
      <c r="P29" s="26">
        <f t="shared" si="19"/>
        <v>0</v>
      </c>
      <c r="Q29" s="92">
        <f t="shared" si="20"/>
        <v>-305</v>
      </c>
      <c r="R29" s="48">
        <f t="shared" si="21"/>
        <v>-1</v>
      </c>
    </row>
    <row r="30" spans="1:18" x14ac:dyDescent="0.25">
      <c r="A30" s="13" t="s">
        <v>50</v>
      </c>
      <c r="B30" s="131" t="s">
        <v>467</v>
      </c>
      <c r="C30" s="14">
        <f>VLOOKUP(B30,'TB - Expense Data'!$H$3:$N$758,3,FALSE)</f>
        <v>180</v>
      </c>
      <c r="D30" s="14">
        <f t="shared" si="11"/>
        <v>90</v>
      </c>
      <c r="E30" s="26">
        <f>VLOOKUP(B30,'TB - Expense Data'!$H$3:$N$758,7,FALSE)</f>
        <v>126</v>
      </c>
      <c r="F30" s="92">
        <f t="shared" si="12"/>
        <v>36</v>
      </c>
      <c r="G30" s="48">
        <f t="shared" si="13"/>
        <v>0.4</v>
      </c>
      <c r="H30" s="137" t="s">
        <v>495</v>
      </c>
      <c r="I30" s="14">
        <f>VLOOKUP(H30,'TB - Expense Data'!$H$3:$N$758,3,FALSE)</f>
        <v>320</v>
      </c>
      <c r="J30" s="14">
        <f t="shared" si="14"/>
        <v>160</v>
      </c>
      <c r="K30" s="26">
        <f>VLOOKUP(H30,'TB - Expense Data'!$H$3:$N$758,7,FALSE)</f>
        <v>224</v>
      </c>
      <c r="L30" s="92">
        <f t="shared" si="15"/>
        <v>64</v>
      </c>
      <c r="M30" s="48">
        <f t="shared" si="16"/>
        <v>0.4</v>
      </c>
      <c r="N30" s="14">
        <f t="shared" si="17"/>
        <v>500</v>
      </c>
      <c r="O30" s="14">
        <f t="shared" si="18"/>
        <v>250</v>
      </c>
      <c r="P30" s="26">
        <f t="shared" si="19"/>
        <v>350</v>
      </c>
      <c r="Q30" s="92">
        <f t="shared" si="20"/>
        <v>100</v>
      </c>
      <c r="R30" s="48">
        <f t="shared" si="21"/>
        <v>0.4</v>
      </c>
    </row>
    <row r="31" spans="1:18" x14ac:dyDescent="0.25">
      <c r="A31" s="13" t="s">
        <v>51</v>
      </c>
      <c r="B31" s="131" t="s">
        <v>463</v>
      </c>
      <c r="C31" s="14">
        <f>VLOOKUP(B31,'TB - Expense Data'!$H$3:$N$758,3,FALSE)</f>
        <v>1800</v>
      </c>
      <c r="D31" s="14">
        <f t="shared" si="11"/>
        <v>900</v>
      </c>
      <c r="E31" s="26">
        <f>VLOOKUP(B31,'TB - Expense Data'!$H$3:$N$758,7,FALSE)</f>
        <v>0</v>
      </c>
      <c r="F31" s="92">
        <f t="shared" si="12"/>
        <v>-900</v>
      </c>
      <c r="G31" s="48">
        <f t="shared" si="13"/>
        <v>-1</v>
      </c>
      <c r="H31" s="137" t="s">
        <v>491</v>
      </c>
      <c r="I31" s="14">
        <f>VLOOKUP(H31,'TB - Expense Data'!$H$3:$N$758,3,FALSE)</f>
        <v>500</v>
      </c>
      <c r="J31" s="14">
        <f t="shared" si="14"/>
        <v>250</v>
      </c>
      <c r="K31" s="26">
        <f>VLOOKUP(H31,'TB - Expense Data'!$H$3:$N$758,7,FALSE)</f>
        <v>0</v>
      </c>
      <c r="L31" s="92">
        <f t="shared" si="15"/>
        <v>-250</v>
      </c>
      <c r="M31" s="48">
        <f t="shared" si="16"/>
        <v>-1</v>
      </c>
      <c r="N31" s="14">
        <f t="shared" si="17"/>
        <v>2300</v>
      </c>
      <c r="O31" s="14">
        <f t="shared" si="18"/>
        <v>1150</v>
      </c>
      <c r="P31" s="26">
        <f t="shared" si="19"/>
        <v>0</v>
      </c>
      <c r="Q31" s="92">
        <f t="shared" si="20"/>
        <v>-1150</v>
      </c>
      <c r="R31" s="48">
        <f t="shared" si="21"/>
        <v>-1</v>
      </c>
    </row>
    <row r="32" spans="1:18" hidden="1" outlineLevel="1" x14ac:dyDescent="0.25">
      <c r="A32" s="13" t="s">
        <v>52</v>
      </c>
      <c r="B32" s="131" t="s">
        <v>469</v>
      </c>
      <c r="C32" s="14">
        <f>VLOOKUP(B32,'TB - Expense Data'!$H$3:$N$758,3,FALSE)</f>
        <v>0</v>
      </c>
      <c r="D32" s="14">
        <f t="shared" si="11"/>
        <v>0</v>
      </c>
      <c r="E32" s="26">
        <f>VLOOKUP(B32,'TB - Expense Data'!$H$3:$N$758,7,FALSE)</f>
        <v>0</v>
      </c>
      <c r="F32" s="92">
        <f t="shared" si="12"/>
        <v>0</v>
      </c>
      <c r="G32" s="48" t="str">
        <f t="shared" si="13"/>
        <v xml:space="preserve">-    </v>
      </c>
      <c r="H32" s="137" t="s">
        <v>497</v>
      </c>
      <c r="I32" s="14">
        <f>VLOOKUP(H32,'TB - Expense Data'!$H$3:$N$758,3,FALSE)</f>
        <v>0</v>
      </c>
      <c r="J32" s="14">
        <f t="shared" si="14"/>
        <v>0</v>
      </c>
      <c r="K32" s="26">
        <f>VLOOKUP(H32,'TB - Expense Data'!$H$3:$N$758,7,FALSE)</f>
        <v>0</v>
      </c>
      <c r="L32" s="92">
        <f t="shared" si="15"/>
        <v>0</v>
      </c>
      <c r="M32" s="48" t="str">
        <f t="shared" si="16"/>
        <v xml:space="preserve">-    </v>
      </c>
      <c r="N32" s="14">
        <f t="shared" si="17"/>
        <v>0</v>
      </c>
      <c r="O32" s="14">
        <f t="shared" si="18"/>
        <v>0</v>
      </c>
      <c r="P32" s="26">
        <f t="shared" si="19"/>
        <v>0</v>
      </c>
      <c r="Q32" s="92">
        <f t="shared" si="20"/>
        <v>0</v>
      </c>
      <c r="R32" s="48" t="str">
        <f t="shared" si="21"/>
        <v xml:space="preserve">-    </v>
      </c>
    </row>
    <row r="33" spans="1:18" collapsed="1" x14ac:dyDescent="0.25">
      <c r="A33" s="13" t="s">
        <v>54</v>
      </c>
      <c r="B33" s="131" t="s">
        <v>481</v>
      </c>
      <c r="C33" s="14">
        <f>VLOOKUP(B33,'TB - Expense Data'!$H$3:$N$758,3,FALSE)</f>
        <v>1800</v>
      </c>
      <c r="D33" s="14">
        <f t="shared" si="11"/>
        <v>900</v>
      </c>
      <c r="E33" s="26">
        <f>VLOOKUP(B33,'TB - Expense Data'!$H$3:$N$758,7,FALSE)</f>
        <v>180</v>
      </c>
      <c r="F33" s="92">
        <f t="shared" si="12"/>
        <v>-720</v>
      </c>
      <c r="G33" s="48">
        <f t="shared" si="13"/>
        <v>-0.8</v>
      </c>
      <c r="H33" s="137" t="s">
        <v>509</v>
      </c>
      <c r="I33" s="14">
        <f>VLOOKUP(H33,'TB - Expense Data'!$H$3:$N$758,3,FALSE)</f>
        <v>3200</v>
      </c>
      <c r="J33" s="14">
        <f t="shared" si="14"/>
        <v>1600</v>
      </c>
      <c r="K33" s="26">
        <f>VLOOKUP(H33,'TB - Expense Data'!$H$3:$N$758,7,FALSE)</f>
        <v>320</v>
      </c>
      <c r="L33" s="92">
        <f t="shared" si="15"/>
        <v>-1280</v>
      </c>
      <c r="M33" s="48">
        <f t="shared" si="16"/>
        <v>-0.8</v>
      </c>
      <c r="N33" s="14">
        <f t="shared" si="17"/>
        <v>5000</v>
      </c>
      <c r="O33" s="14">
        <f t="shared" si="18"/>
        <v>2500</v>
      </c>
      <c r="P33" s="26">
        <f t="shared" si="19"/>
        <v>500</v>
      </c>
      <c r="Q33" s="92">
        <f t="shared" si="20"/>
        <v>-2000</v>
      </c>
      <c r="R33" s="48">
        <f t="shared" si="21"/>
        <v>-0.8</v>
      </c>
    </row>
    <row r="34" spans="1:18" x14ac:dyDescent="0.25">
      <c r="A34" s="13" t="s">
        <v>56</v>
      </c>
      <c r="B34" s="131" t="s">
        <v>486</v>
      </c>
      <c r="C34" s="14">
        <f>VLOOKUP(B34,'TB - Expense Data'!$H$3:$N$758,3,FALSE)</f>
        <v>20000</v>
      </c>
      <c r="D34" s="14">
        <f t="shared" si="11"/>
        <v>10000</v>
      </c>
      <c r="E34" s="26">
        <f>VLOOKUP(B34,'TB - Expense Data'!$H$3:$N$758,7,FALSE)</f>
        <v>11472.53</v>
      </c>
      <c r="F34" s="92">
        <f t="shared" si="12"/>
        <v>1472.5300000000007</v>
      </c>
      <c r="G34" s="48">
        <f t="shared" si="13"/>
        <v>0.14725300000000008</v>
      </c>
      <c r="H34" s="137" t="s">
        <v>514</v>
      </c>
      <c r="I34" s="14">
        <f>VLOOKUP(H34,'TB - Expense Data'!$H$3:$N$758,3,FALSE)</f>
        <v>26380</v>
      </c>
      <c r="J34" s="14">
        <f t="shared" si="14"/>
        <v>13190</v>
      </c>
      <c r="K34" s="26">
        <f>VLOOKUP(H34,'TB - Expense Data'!$H$3:$N$758,7,FALSE)</f>
        <v>26377.56</v>
      </c>
      <c r="L34" s="92">
        <f t="shared" si="15"/>
        <v>13187.560000000001</v>
      </c>
      <c r="M34" s="48">
        <f t="shared" si="16"/>
        <v>0.99981501137225182</v>
      </c>
      <c r="N34" s="14">
        <f t="shared" si="17"/>
        <v>46380</v>
      </c>
      <c r="O34" s="14">
        <f t="shared" si="18"/>
        <v>23190</v>
      </c>
      <c r="P34" s="26">
        <f t="shared" si="19"/>
        <v>37850.090000000004</v>
      </c>
      <c r="Q34" s="92">
        <f t="shared" si="20"/>
        <v>14660.090000000004</v>
      </c>
      <c r="R34" s="48">
        <f t="shared" si="21"/>
        <v>0.63217291936179409</v>
      </c>
    </row>
    <row r="35" spans="1:18" x14ac:dyDescent="0.25">
      <c r="A35" s="13" t="s">
        <v>57</v>
      </c>
      <c r="B35" s="131" t="s">
        <v>489</v>
      </c>
      <c r="C35" s="14">
        <f>VLOOKUP(B35,'TB - Expense Data'!$H$3:$N$758,3,FALSE)</f>
        <v>25000</v>
      </c>
      <c r="D35" s="14">
        <f t="shared" si="11"/>
        <v>12500</v>
      </c>
      <c r="E35" s="26">
        <f>VLOOKUP(B35,'TB - Expense Data'!$H$3:$N$758,7,FALSE)</f>
        <v>6000</v>
      </c>
      <c r="F35" s="92">
        <f t="shared" si="12"/>
        <v>-6500</v>
      </c>
      <c r="G35" s="48">
        <f t="shared" si="13"/>
        <v>-0.52</v>
      </c>
      <c r="H35" s="137" t="s">
        <v>517</v>
      </c>
      <c r="I35" s="14">
        <f>VLOOKUP(H35,'TB - Expense Data'!$H$3:$N$758,3,FALSE)</f>
        <v>9375</v>
      </c>
      <c r="J35" s="14">
        <f t="shared" si="14"/>
        <v>4687.5</v>
      </c>
      <c r="K35" s="26">
        <f>VLOOKUP(H35,'TB - Expense Data'!$H$3:$N$758,7,FALSE)</f>
        <v>5375</v>
      </c>
      <c r="L35" s="92">
        <f t="shared" si="15"/>
        <v>687.5</v>
      </c>
      <c r="M35" s="48">
        <f t="shared" si="16"/>
        <v>0.14666666666666667</v>
      </c>
      <c r="N35" s="14">
        <f t="shared" si="17"/>
        <v>34375</v>
      </c>
      <c r="O35" s="14">
        <f t="shared" si="18"/>
        <v>17187.5</v>
      </c>
      <c r="P35" s="26">
        <f t="shared" si="19"/>
        <v>11375</v>
      </c>
      <c r="Q35" s="92">
        <f t="shared" si="20"/>
        <v>-5812.5</v>
      </c>
      <c r="R35" s="48">
        <f t="shared" si="21"/>
        <v>-0.33818181818181819</v>
      </c>
    </row>
    <row r="36" spans="1:18" x14ac:dyDescent="0.25">
      <c r="A36" s="13" t="s">
        <v>58</v>
      </c>
      <c r="B36" s="131" t="s">
        <v>468</v>
      </c>
      <c r="C36" s="14">
        <f>VLOOKUP(B36,'TB - Expense Data'!$H$3:$N$758,3,FALSE)</f>
        <v>15250</v>
      </c>
      <c r="D36" s="14">
        <f t="shared" si="11"/>
        <v>7625</v>
      </c>
      <c r="E36" s="26">
        <f>VLOOKUP(B36,'TB - Expense Data'!$H$3:$N$758,7,FALSE)</f>
        <v>4509.7700000000004</v>
      </c>
      <c r="F36" s="92">
        <f t="shared" si="12"/>
        <v>-3115.2299999999996</v>
      </c>
      <c r="G36" s="48">
        <f t="shared" si="13"/>
        <v>-0.40855475409836062</v>
      </c>
      <c r="H36" s="137" t="s">
        <v>496</v>
      </c>
      <c r="I36" s="14">
        <f>VLOOKUP(H36,'TB - Expense Data'!$H$3:$N$758,3,FALSE)</f>
        <v>15250</v>
      </c>
      <c r="J36" s="14">
        <f t="shared" si="14"/>
        <v>7625</v>
      </c>
      <c r="K36" s="26">
        <f>VLOOKUP(H36,'TB - Expense Data'!$H$3:$N$758,7,FALSE)</f>
        <v>4933.53</v>
      </c>
      <c r="L36" s="92">
        <f t="shared" si="15"/>
        <v>-2691.4700000000003</v>
      </c>
      <c r="M36" s="48">
        <f t="shared" si="16"/>
        <v>-0.35297967213114756</v>
      </c>
      <c r="N36" s="14">
        <f t="shared" si="17"/>
        <v>30500</v>
      </c>
      <c r="O36" s="14">
        <f t="shared" si="18"/>
        <v>15250</v>
      </c>
      <c r="P36" s="26">
        <f t="shared" si="19"/>
        <v>9443.2999999999993</v>
      </c>
      <c r="Q36" s="92">
        <f t="shared" si="20"/>
        <v>-5806.7000000000007</v>
      </c>
      <c r="R36" s="48">
        <f t="shared" si="21"/>
        <v>-0.38076721311475414</v>
      </c>
    </row>
    <row r="37" spans="1:18" x14ac:dyDescent="0.25">
      <c r="A37" s="13" t="s">
        <v>59</v>
      </c>
      <c r="B37" s="131" t="s">
        <v>478</v>
      </c>
      <c r="C37" s="14">
        <f>VLOOKUP(B37,'TB - Expense Data'!$H$3:$N$758,3,FALSE)</f>
        <v>20000</v>
      </c>
      <c r="D37" s="14">
        <f t="shared" si="11"/>
        <v>10000</v>
      </c>
      <c r="E37" s="26">
        <f>VLOOKUP(B37,'TB - Expense Data'!$H$3:$N$758,7,FALSE)</f>
        <v>5224.47</v>
      </c>
      <c r="F37" s="92">
        <f t="shared" si="12"/>
        <v>-4775.53</v>
      </c>
      <c r="G37" s="48">
        <f t="shared" si="13"/>
        <v>-0.47755299999999995</v>
      </c>
      <c r="H37" s="137" t="s">
        <v>506</v>
      </c>
      <c r="I37" s="14">
        <f>VLOOKUP(H37,'TB - Expense Data'!$H$3:$N$758,3,FALSE)</f>
        <v>3970</v>
      </c>
      <c r="J37" s="14">
        <f t="shared" si="14"/>
        <v>1985</v>
      </c>
      <c r="K37" s="26">
        <f>VLOOKUP(H37,'TB - Expense Data'!$H$3:$N$758,7,FALSE)</f>
        <v>0</v>
      </c>
      <c r="L37" s="92">
        <f t="shared" si="15"/>
        <v>-1985</v>
      </c>
      <c r="M37" s="48">
        <f t="shared" si="16"/>
        <v>-1</v>
      </c>
      <c r="N37" s="14">
        <f t="shared" si="17"/>
        <v>23970</v>
      </c>
      <c r="O37" s="14">
        <f t="shared" si="18"/>
        <v>11985</v>
      </c>
      <c r="P37" s="26">
        <f t="shared" si="19"/>
        <v>5224.47</v>
      </c>
      <c r="Q37" s="92">
        <f t="shared" si="20"/>
        <v>-6760.53</v>
      </c>
      <c r="R37" s="48">
        <f t="shared" si="21"/>
        <v>-0.56408260325406756</v>
      </c>
    </row>
    <row r="38" spans="1:18" x14ac:dyDescent="0.25">
      <c r="A38" s="13" t="s">
        <v>179</v>
      </c>
      <c r="B38" s="131" t="s">
        <v>476</v>
      </c>
      <c r="C38" s="14">
        <f>VLOOKUP(B38,'TB - Expense Data'!$H$3:$N$758,3,FALSE)</f>
        <v>2500</v>
      </c>
      <c r="D38" s="14">
        <f t="shared" si="11"/>
        <v>1250</v>
      </c>
      <c r="E38" s="26">
        <f>VLOOKUP(B38,'TB - Expense Data'!$H$3:$N$758,7,FALSE)</f>
        <v>670.1</v>
      </c>
      <c r="F38" s="92">
        <f t="shared" si="12"/>
        <v>-579.9</v>
      </c>
      <c r="G38" s="48">
        <f t="shared" si="13"/>
        <v>-0.46392</v>
      </c>
      <c r="H38" s="137" t="s">
        <v>504</v>
      </c>
      <c r="I38" s="14">
        <f>VLOOKUP(H38,'TB - Expense Data'!$H$3:$N$758,3,FALSE)</f>
        <v>1000</v>
      </c>
      <c r="J38" s="14">
        <f t="shared" si="14"/>
        <v>500</v>
      </c>
      <c r="K38" s="26">
        <f>VLOOKUP(H38,'TB - Expense Data'!$H$3:$N$758,7,FALSE)</f>
        <v>0</v>
      </c>
      <c r="L38" s="92">
        <f t="shared" si="15"/>
        <v>-500</v>
      </c>
      <c r="M38" s="48">
        <f t="shared" si="16"/>
        <v>-1</v>
      </c>
      <c r="N38" s="14">
        <f t="shared" si="17"/>
        <v>3500</v>
      </c>
      <c r="O38" s="14">
        <f t="shared" si="18"/>
        <v>1750</v>
      </c>
      <c r="P38" s="26">
        <f t="shared" si="19"/>
        <v>670.1</v>
      </c>
      <c r="Q38" s="92">
        <f t="shared" si="20"/>
        <v>-1079.9000000000001</v>
      </c>
      <c r="R38" s="48">
        <f t="shared" si="21"/>
        <v>-0.61708571428571435</v>
      </c>
    </row>
    <row r="39" spans="1:18" x14ac:dyDescent="0.25">
      <c r="A39" s="13" t="s">
        <v>60</v>
      </c>
      <c r="B39" s="131" t="s">
        <v>477</v>
      </c>
      <c r="C39" s="14">
        <f>VLOOKUP(B39,'TB - Expense Data'!$H$3:$N$758,3,FALSE)</f>
        <v>1080</v>
      </c>
      <c r="D39" s="14">
        <f t="shared" si="11"/>
        <v>540</v>
      </c>
      <c r="E39" s="26">
        <f>VLOOKUP(B39,'TB - Expense Data'!$H$3:$N$758,7,FALSE)</f>
        <v>0</v>
      </c>
      <c r="F39" s="92">
        <f t="shared" si="12"/>
        <v>-540</v>
      </c>
      <c r="G39" s="48">
        <f t="shared" si="13"/>
        <v>-1</v>
      </c>
      <c r="H39" s="137" t="s">
        <v>505</v>
      </c>
      <c r="I39" s="14">
        <f>VLOOKUP(H39,'TB - Expense Data'!$H$3:$N$758,3,FALSE)</f>
        <v>500</v>
      </c>
      <c r="J39" s="14">
        <f t="shared" si="14"/>
        <v>250</v>
      </c>
      <c r="K39" s="26">
        <f>VLOOKUP(H39,'TB - Expense Data'!$H$3:$N$758,7,FALSE)</f>
        <v>0</v>
      </c>
      <c r="L39" s="92">
        <f t="shared" si="15"/>
        <v>-250</v>
      </c>
      <c r="M39" s="48">
        <f t="shared" si="16"/>
        <v>-1</v>
      </c>
      <c r="N39" s="14">
        <f t="shared" si="17"/>
        <v>1580</v>
      </c>
      <c r="O39" s="14">
        <f t="shared" si="18"/>
        <v>790</v>
      </c>
      <c r="P39" s="26">
        <f t="shared" si="19"/>
        <v>0</v>
      </c>
      <c r="Q39" s="92">
        <f t="shared" si="20"/>
        <v>-790</v>
      </c>
      <c r="R39" s="48">
        <f t="shared" si="21"/>
        <v>-1</v>
      </c>
    </row>
    <row r="40" spans="1:18" x14ac:dyDescent="0.25">
      <c r="A40" s="17"/>
      <c r="B40" s="134"/>
      <c r="C40" s="18"/>
      <c r="D40" s="18"/>
      <c r="E40" s="18"/>
      <c r="F40" s="18"/>
      <c r="G40" s="19"/>
      <c r="H40" s="130"/>
      <c r="I40" s="18"/>
      <c r="J40" s="18"/>
      <c r="K40" s="18"/>
      <c r="L40" s="18"/>
      <c r="M40" s="168"/>
      <c r="N40" s="18"/>
      <c r="O40" s="18"/>
      <c r="P40" s="18"/>
      <c r="Q40" s="18"/>
      <c r="R40" s="20"/>
    </row>
    <row r="41" spans="1:18" s="1" customFormat="1" x14ac:dyDescent="0.25">
      <c r="A41" s="31" t="s">
        <v>61</v>
      </c>
      <c r="B41" s="135"/>
      <c r="C41" s="32">
        <f>SUM(C26:C40)</f>
        <v>91642</v>
      </c>
      <c r="D41" s="32">
        <f>C41/2</f>
        <v>45821</v>
      </c>
      <c r="E41" s="32">
        <f>SUM(E26:E40)</f>
        <v>29753.06</v>
      </c>
      <c r="F41" s="90">
        <f>E41-D41</f>
        <v>-16067.939999999999</v>
      </c>
      <c r="G41" s="50">
        <f>IF(AND(D41&lt;&gt;0,F41&lt;&gt;0,ISNUMBER(D41),ISNUMBER(F41)),F41/D41,"-    ")</f>
        <v>-0.35066759782632417</v>
      </c>
      <c r="H41" s="139"/>
      <c r="I41" s="32">
        <f>SUM(I26:I40)</f>
        <v>63558</v>
      </c>
      <c r="J41" s="32">
        <f>I41/2</f>
        <v>31779</v>
      </c>
      <c r="K41" s="32">
        <f>SUM(K26:K40)</f>
        <v>38984.39</v>
      </c>
      <c r="L41" s="90">
        <f>K41-J41</f>
        <v>7205.3899999999994</v>
      </c>
      <c r="M41" s="50">
        <f>IF(AND(J41&lt;&gt;0,L41&lt;&gt;0,ISNUMBER(J41),ISNUMBER(L41)),L41/J41,"-    ")</f>
        <v>0.22673432140721858</v>
      </c>
      <c r="N41" s="23">
        <f>C41+I41</f>
        <v>155200</v>
      </c>
      <c r="O41" s="23">
        <f>D41+J41</f>
        <v>77600</v>
      </c>
      <c r="P41" s="27">
        <f>E41+K41</f>
        <v>68737.45</v>
      </c>
      <c r="Q41" s="90">
        <f>P41-O41</f>
        <v>-8862.5500000000029</v>
      </c>
      <c r="R41" s="50">
        <f>IF(AND(O41&lt;&gt;0,Q41&lt;&gt;0,ISNUMBER(O41),ISNUMBER(Q41)),Q41/O41,"-    ")</f>
        <v>-0.11420811855670107</v>
      </c>
    </row>
    <row r="42" spans="1:18" s="1" customFormat="1" x14ac:dyDescent="0.25">
      <c r="A42" s="31"/>
      <c r="B42" s="135"/>
      <c r="C42" s="32"/>
      <c r="D42" s="32"/>
      <c r="E42" s="32"/>
      <c r="F42" s="96"/>
      <c r="G42" s="33"/>
      <c r="H42" s="140"/>
      <c r="I42" s="32"/>
      <c r="J42" s="32"/>
      <c r="K42" s="32"/>
      <c r="L42" s="96"/>
      <c r="M42" s="165"/>
      <c r="N42" s="32"/>
      <c r="O42" s="32"/>
      <c r="P42" s="32"/>
      <c r="Q42" s="96"/>
      <c r="R42" s="63"/>
    </row>
    <row r="43" spans="1:18" s="1" customFormat="1" x14ac:dyDescent="0.25">
      <c r="A43" s="21" t="s">
        <v>62</v>
      </c>
      <c r="B43" s="136"/>
      <c r="C43" s="22">
        <f>+C25+C41</f>
        <v>146349.64000000001</v>
      </c>
      <c r="D43" s="22">
        <f>C43/2</f>
        <v>73174.820000000007</v>
      </c>
      <c r="E43" s="22">
        <f>+E25+E41</f>
        <v>55305.520000000004</v>
      </c>
      <c r="F43" s="88">
        <f>E43-D43</f>
        <v>-17869.300000000003</v>
      </c>
      <c r="G43" s="55">
        <f>IF(AND(D43&lt;&gt;0,F43&lt;&gt;0,ISNUMBER(D43),ISNUMBER(F43)),F43/D43,"-    ")</f>
        <v>-0.24420012239182826</v>
      </c>
      <c r="H43" s="141"/>
      <c r="I43" s="22">
        <f>+I25+I41</f>
        <v>160813.35999999999</v>
      </c>
      <c r="J43" s="22">
        <f>I43/2</f>
        <v>80406.679999999993</v>
      </c>
      <c r="K43" s="22">
        <f>+K25+K41</f>
        <v>84861.680000000008</v>
      </c>
      <c r="L43" s="88">
        <f>K43-J43</f>
        <v>4455.0000000000146</v>
      </c>
      <c r="M43" s="55">
        <f>IF(AND(J43&lt;&gt;0,L43&lt;&gt;0,ISNUMBER(J43),ISNUMBER(L43)),L43/J43,"-    ")</f>
        <v>5.5405844390043403E-2</v>
      </c>
      <c r="N43" s="22">
        <f>+N25+N41</f>
        <v>307163</v>
      </c>
      <c r="O43" s="22">
        <f>+O25+O41</f>
        <v>153581.5</v>
      </c>
      <c r="P43" s="22">
        <f>+P25+P41</f>
        <v>140167.20000000001</v>
      </c>
      <c r="Q43" s="88">
        <f>P43-O43</f>
        <v>-13414.299999999988</v>
      </c>
      <c r="R43" s="55">
        <f>IF(AND(O43&lt;&gt;0,Q43&lt;&gt;0,ISNUMBER(O43),ISNUMBER(Q43)),Q43/O43,"-    ")</f>
        <v>-8.7343202143487259E-2</v>
      </c>
    </row>
    <row r="44" spans="1:18" x14ac:dyDescent="0.25">
      <c r="C44" s="153">
        <f>C43-'TB - Expense Data'!J782</f>
        <v>0</v>
      </c>
      <c r="E44" s="153">
        <f>E43-'TB - Expense Data'!N782</f>
        <v>0</v>
      </c>
      <c r="I44" s="153">
        <f>I43-'TB - Expense Data'!J783</f>
        <v>0</v>
      </c>
      <c r="K44" s="153">
        <f>K43-'TB - Expense Data'!N783</f>
        <v>0</v>
      </c>
      <c r="N44" s="153">
        <f>N43-'TB - Expense Data'!J784</f>
        <v>0</v>
      </c>
      <c r="P44" s="153">
        <f>P43-'TB - Expense Data'!N784</f>
        <v>0</v>
      </c>
    </row>
  </sheetData>
  <sheetProtection password="CFD3" sheet="1" objects="1" scenarios="1" selectLockedCells="1" selectUnlockedCells="1"/>
  <mergeCells count="3">
    <mergeCell ref="N5:R5"/>
    <mergeCell ref="C5:G5"/>
    <mergeCell ref="I5:M5"/>
  </mergeCells>
  <printOptions horizontalCentered="1"/>
  <pageMargins left="0.25" right="0.5" top="0.5" bottom="0.5" header="0.25" footer="0.25"/>
  <pageSetup scale="79" firstPageNumber="36" fitToWidth="3" orientation="portrait" useFirstPageNumber="1" r:id="rId1"/>
  <headerFooter scaleWithDoc="0">
    <oddFooter>&amp;L&amp;9&amp;F - &amp;A&amp;C&amp;9Marina Coast Water District&amp;R&amp;9&amp;P</oddFooter>
  </headerFooter>
  <colBreaks count="2" manualBreakCount="2">
    <brk id="8" max="1048575" man="1"/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AP43"/>
  <sheetViews>
    <sheetView zoomScaleNormal="100" workbookViewId="0">
      <pane xSplit="1" ySplit="7" topLeftCell="C8" activePane="bottomRight" state="frozenSplit"/>
      <selection activeCell="C4" sqref="C4:G4"/>
      <selection pane="topRight" activeCell="C4" sqref="C4:G4"/>
      <selection pane="bottomLeft" activeCell="C4" sqref="C4:G4"/>
      <selection pane="bottomRight" activeCell="G9" sqref="G9"/>
    </sheetView>
  </sheetViews>
  <sheetFormatPr defaultColWidth="9.140625" defaultRowHeight="15.75" outlineLevelRow="1" outlineLevelCol="2" x14ac:dyDescent="0.25"/>
  <cols>
    <col min="1" max="1" width="40.28515625" style="3" bestFit="1" customWidth="1"/>
    <col min="2" max="2" width="14.7109375" style="3" hidden="1" customWidth="1" outlineLevel="1"/>
    <col min="3" max="3" width="11.5703125" style="3" customWidth="1" collapsed="1"/>
    <col min="4" max="5" width="11.5703125" style="3" customWidth="1"/>
    <col min="6" max="7" width="17.28515625" style="3" bestFit="1" customWidth="1"/>
    <col min="8" max="8" width="14.7109375" style="3" hidden="1" customWidth="1" outlineLevel="1"/>
    <col min="9" max="9" width="11.5703125" style="3" customWidth="1" collapsed="1"/>
    <col min="10" max="11" width="11.5703125" style="3" customWidth="1"/>
    <col min="12" max="13" width="17.28515625" style="3" bestFit="1" customWidth="1"/>
    <col min="14" max="14" width="14.7109375" style="3" hidden="1" customWidth="1" outlineLevel="1"/>
    <col min="15" max="15" width="11.5703125" style="3" customWidth="1" collapsed="1"/>
    <col min="16" max="17" width="11.5703125" style="3" customWidth="1"/>
    <col min="18" max="19" width="17.28515625" style="3" bestFit="1" customWidth="1"/>
    <col min="20" max="20" width="14.7109375" style="3" hidden="1" customWidth="1" outlineLevel="1"/>
    <col min="21" max="21" width="11.5703125" style="3" customWidth="1" collapsed="1"/>
    <col min="22" max="23" width="11.5703125" style="3" customWidth="1"/>
    <col min="24" max="25" width="17.28515625" style="3" bestFit="1" customWidth="1"/>
    <col min="26" max="26" width="13.140625" style="3" hidden="1" customWidth="1" outlineLevel="1"/>
    <col min="27" max="27" width="11.5703125" style="3" hidden="1" customWidth="1" outlineLevel="1" collapsed="1"/>
    <col min="28" max="29" width="11.5703125" style="3" hidden="1" customWidth="1" outlineLevel="1"/>
    <col min="30" max="31" width="17.28515625" style="3" hidden="1" customWidth="1" outlineLevel="1"/>
    <col min="32" max="32" width="13.140625" style="3" hidden="1" customWidth="1" outlineLevel="2"/>
    <col min="33" max="33" width="11.5703125" style="3" hidden="1" customWidth="1" outlineLevel="1" collapsed="1"/>
    <col min="34" max="35" width="11.5703125" style="3" hidden="1" customWidth="1" outlineLevel="1"/>
    <col min="36" max="37" width="17.28515625" style="3" hidden="1" customWidth="1" outlineLevel="1"/>
    <col min="38" max="38" width="11.5703125" style="3" customWidth="1" collapsed="1"/>
    <col min="39" max="40" width="11.5703125" style="3" customWidth="1"/>
    <col min="41" max="42" width="17.28515625" style="3" bestFit="1" customWidth="1"/>
    <col min="43" max="16384" width="9.140625" style="3"/>
  </cols>
  <sheetData>
    <row r="1" spans="1:42" s="1" customFormat="1" x14ac:dyDescent="0.25">
      <c r="A1" s="1" t="s">
        <v>31</v>
      </c>
    </row>
    <row r="2" spans="1:42" s="1" customFormat="1" x14ac:dyDescent="0.25">
      <c r="A2" s="1" t="s">
        <v>1100</v>
      </c>
    </row>
    <row r="3" spans="1:42" s="1" customFormat="1" x14ac:dyDescent="0.25">
      <c r="A3" s="1" t="str">
        <f>'All Departments'!A3</f>
        <v>JULY - DECEMBER 2014</v>
      </c>
    </row>
    <row r="4" spans="1:42" s="1" customFormat="1" x14ac:dyDescent="0.25"/>
    <row r="5" spans="1:42" x14ac:dyDescent="0.25">
      <c r="A5" s="2" t="s">
        <v>0</v>
      </c>
      <c r="B5" s="70"/>
      <c r="C5" s="567" t="str">
        <f>'All Departments'!C5</f>
        <v>MARINA WATER</v>
      </c>
      <c r="D5" s="567"/>
      <c r="E5" s="567"/>
      <c r="F5" s="567"/>
      <c r="G5" s="568"/>
      <c r="H5" s="73"/>
      <c r="I5" s="567" t="str">
        <f>'All Departments'!I5</f>
        <v>MARINA SEWER</v>
      </c>
      <c r="J5" s="567"/>
      <c r="K5" s="567"/>
      <c r="L5" s="567"/>
      <c r="M5" s="568"/>
      <c r="N5" s="76"/>
      <c r="O5" s="567" t="str">
        <f>'All Departments'!O5</f>
        <v>ORD WATER</v>
      </c>
      <c r="P5" s="567"/>
      <c r="Q5" s="567"/>
      <c r="R5" s="567"/>
      <c r="S5" s="568"/>
      <c r="T5" s="76"/>
      <c r="U5" s="567" t="str">
        <f>'All Departments'!U5</f>
        <v>ORD SEWER</v>
      </c>
      <c r="V5" s="567"/>
      <c r="W5" s="567"/>
      <c r="X5" s="567"/>
      <c r="Y5" s="568"/>
      <c r="Z5" s="73"/>
      <c r="AA5" s="567" t="str">
        <f>'All Departments'!AA5</f>
        <v>RECYCLED WATER</v>
      </c>
      <c r="AB5" s="567"/>
      <c r="AC5" s="567"/>
      <c r="AD5" s="567"/>
      <c r="AE5" s="568"/>
      <c r="AF5" s="73"/>
      <c r="AG5" s="567" t="str">
        <f>'All Departments'!AG5</f>
        <v>REGIONAL PROJECT</v>
      </c>
      <c r="AH5" s="567"/>
      <c r="AI5" s="567"/>
      <c r="AJ5" s="567"/>
      <c r="AK5" s="568"/>
      <c r="AL5" s="567" t="str">
        <f>'All Departments'!AL5</f>
        <v>TOTAL</v>
      </c>
      <c r="AM5" s="567"/>
      <c r="AN5" s="567"/>
      <c r="AO5" s="567"/>
      <c r="AP5" s="568"/>
    </row>
    <row r="6" spans="1:42" s="29" customFormat="1" x14ac:dyDescent="0.25">
      <c r="A6" s="37" t="s">
        <v>23</v>
      </c>
      <c r="B6" s="24" t="s">
        <v>952</v>
      </c>
      <c r="C6" s="24" t="str">
        <f>'All Departments'!$C$6</f>
        <v>ANNUAL</v>
      </c>
      <c r="D6" s="24" t="str">
        <f>'All Departments'!$D$6</f>
        <v>JUL - DEC</v>
      </c>
      <c r="E6" s="24" t="str">
        <f>'All Departments'!$E$6</f>
        <v>JUL - DEC</v>
      </c>
      <c r="F6" s="24" t="str">
        <f>'All Departments'!$F$6</f>
        <v>BUD vs ACTUALS</v>
      </c>
      <c r="G6" s="36" t="str">
        <f>'All Departments'!$G$6</f>
        <v>BUD vs ACTUALS</v>
      </c>
      <c r="H6" s="24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24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24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24" t="s">
        <v>952</v>
      </c>
      <c r="AA6" s="24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24" t="s">
        <v>952</v>
      </c>
      <c r="AG6" s="24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24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x14ac:dyDescent="0.25">
      <c r="A7" s="5"/>
      <c r="B7" s="6" t="s">
        <v>953</v>
      </c>
      <c r="C7" s="6" t="str">
        <f>'All Departments'!$C$7</f>
        <v>BUDGET</v>
      </c>
      <c r="D7" s="6" t="str">
        <f>'All Departments'!$D$7</f>
        <v>BUDGET</v>
      </c>
      <c r="E7" s="6" t="str">
        <f>'All Departments'!$E$7</f>
        <v>ACTUALS</v>
      </c>
      <c r="F7" s="6" t="str">
        <f>'All Departments'!$F$7</f>
        <v>$ CHANGE</v>
      </c>
      <c r="G7" s="7" t="str">
        <f>'All Departments'!$G$7</f>
        <v>% CHANGE</v>
      </c>
      <c r="H7" s="6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6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6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6" t="s">
        <v>953</v>
      </c>
      <c r="AA7" s="6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6" t="s">
        <v>953</v>
      </c>
      <c r="AG7" s="6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6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x14ac:dyDescent="0.25">
      <c r="A8" s="8"/>
      <c r="B8" s="8"/>
      <c r="C8" s="9"/>
      <c r="D8" s="9"/>
      <c r="E8" s="9"/>
      <c r="F8" s="10"/>
      <c r="G8" s="41"/>
      <c r="H8" s="8"/>
      <c r="I8" s="9"/>
      <c r="J8" s="9"/>
      <c r="K8" s="9"/>
      <c r="L8" s="10"/>
      <c r="M8" s="41"/>
      <c r="N8" s="8"/>
      <c r="O8" s="9"/>
      <c r="P8" s="9"/>
      <c r="Q8" s="9"/>
      <c r="R8" s="10"/>
      <c r="S8" s="41"/>
      <c r="T8" s="8"/>
      <c r="U8" s="9"/>
      <c r="V8" s="9"/>
      <c r="W8" s="9"/>
      <c r="X8" s="10"/>
      <c r="Y8" s="41"/>
      <c r="Z8" s="8"/>
      <c r="AA8" s="9"/>
      <c r="AB8" s="9"/>
      <c r="AC8" s="9"/>
      <c r="AD8" s="10"/>
      <c r="AE8" s="41"/>
      <c r="AF8" s="8"/>
      <c r="AG8" s="9"/>
      <c r="AH8" s="9"/>
      <c r="AI8" s="9"/>
      <c r="AJ8" s="10"/>
      <c r="AK8" s="41"/>
      <c r="AL8" s="9"/>
      <c r="AM8" s="9"/>
      <c r="AN8" s="9"/>
      <c r="AO8" s="10"/>
      <c r="AP8" s="41"/>
    </row>
    <row r="9" spans="1:42" x14ac:dyDescent="0.25">
      <c r="A9" s="13" t="s">
        <v>1249</v>
      </c>
      <c r="B9" s="130" t="s">
        <v>539</v>
      </c>
      <c r="C9" s="14">
        <f>VLOOKUP(B9,'TB - Expense Data'!$H$3:$N$758,3,FALSE)</f>
        <v>180019</v>
      </c>
      <c r="D9" s="14">
        <f>C9/2</f>
        <v>90009.5</v>
      </c>
      <c r="E9" s="26">
        <f>VLOOKUP(B9,'TB - Expense Data'!$H$3:$N$758,7,FALSE)</f>
        <v>67901.88</v>
      </c>
      <c r="F9" s="92">
        <f>E9-D9</f>
        <v>-22107.619999999995</v>
      </c>
      <c r="G9" s="48">
        <f>IF(AND(D9&lt;&gt;0,F9&lt;&gt;0,ISNUMBER(D9),ISNUMBER(F9)),F9/D9,"-    ")</f>
        <v>-0.24561429626872713</v>
      </c>
      <c r="H9" s="130" t="s">
        <v>562</v>
      </c>
      <c r="I9" s="14">
        <f>VLOOKUP(H9,'TB - Expense Data'!$H$3:$N$758,3,FALSE)</f>
        <v>49660</v>
      </c>
      <c r="J9" s="14">
        <f>I9/2</f>
        <v>24830</v>
      </c>
      <c r="K9" s="26">
        <f>VLOOKUP(H9,'TB - Expense Data'!$H$3:$N$758,7,FALSE)</f>
        <v>18410.93</v>
      </c>
      <c r="L9" s="92">
        <f>K9-J9</f>
        <v>-6419.07</v>
      </c>
      <c r="M9" s="48">
        <f>IF(AND(J9&lt;&gt;0,L9&lt;&gt;0,ISNUMBER(J9),ISNUMBER(L9)),L9/J9,"-    ")</f>
        <v>-0.25852074103906564</v>
      </c>
      <c r="N9" s="130" t="s">
        <v>585</v>
      </c>
      <c r="O9" s="14">
        <f>VLOOKUP(N9,'TB - Expense Data'!$H$3:$N$758,3,FALSE)</f>
        <v>322793</v>
      </c>
      <c r="P9" s="14">
        <f>O9/2</f>
        <v>161396.5</v>
      </c>
      <c r="Q9" s="26">
        <f>VLOOKUP(N9,'TB - Expense Data'!$H$3:$N$758,7,FALSE)</f>
        <v>121221.09</v>
      </c>
      <c r="R9" s="92">
        <f>Q9-P9</f>
        <v>-40175.410000000003</v>
      </c>
      <c r="S9" s="48">
        <f>IF(AND(P9&lt;&gt;0,R9&lt;&gt;0,ISNUMBER(P9),ISNUMBER(R9)),R9/P9,"-    ")</f>
        <v>-0.24892367554438916</v>
      </c>
      <c r="T9" s="130" t="s">
        <v>608</v>
      </c>
      <c r="U9" s="14">
        <f>VLOOKUP(T9,'TB - Expense Data'!$H$3:$N$758,3,FALSE)</f>
        <v>68283</v>
      </c>
      <c r="V9" s="14">
        <f>U9/2</f>
        <v>34141.5</v>
      </c>
      <c r="W9" s="26">
        <f>VLOOKUP(T9,'TB - Expense Data'!$H$3:$N$758,7,FALSE)</f>
        <v>25187.32</v>
      </c>
      <c r="X9" s="92">
        <f>W9-V9</f>
        <v>-8954.18</v>
      </c>
      <c r="Y9" s="58">
        <f>IF(AND(V9&lt;&gt;0,X9&lt;&gt;0,ISNUMBER(V9),ISNUMBER(X9)),X9/V9,"-    ")</f>
        <v>-0.26226674282032131</v>
      </c>
      <c r="Z9" s="130" t="s">
        <v>979</v>
      </c>
      <c r="AA9" s="14">
        <f>VLOOKUP(Z9,'TB - Expense Data'!$H$3:$N$758,3,FALSE)</f>
        <v>0</v>
      </c>
      <c r="AB9" s="14">
        <f>AA9/2</f>
        <v>0</v>
      </c>
      <c r="AC9" s="26">
        <f>VLOOKUP(Z9,'TB - Expense Data'!$H$3:$N$758,7,FALSE)</f>
        <v>0</v>
      </c>
      <c r="AD9" s="92">
        <f>AC9-AB9</f>
        <v>0</v>
      </c>
      <c r="AE9" s="48" t="str">
        <f>IF(AND(AB9&lt;&gt;0,AD9&lt;&gt;0,ISNUMBER(AB9),ISNUMBER(AD9)),AD9/AB9,"-    ")</f>
        <v xml:space="preserve">-    </v>
      </c>
      <c r="AF9" s="130" t="s">
        <v>979</v>
      </c>
      <c r="AG9" s="14">
        <f>VLOOKUP(AF9,'TB - Expense Data'!$H$3:$N$758,3,FALSE)</f>
        <v>0</v>
      </c>
      <c r="AH9" s="14">
        <f>AG9/2</f>
        <v>0</v>
      </c>
      <c r="AI9" s="26">
        <f>VLOOKUP(AF9,'TB - Expense Data'!$H$3:$N$758,7,FALSE)</f>
        <v>0</v>
      </c>
      <c r="AJ9" s="92">
        <f>AI9-AH9</f>
        <v>0</v>
      </c>
      <c r="AK9" s="48" t="str">
        <f>IF(AND(AH9&lt;&gt;0,AJ9&lt;&gt;0,ISNUMBER(AH9),ISNUMBER(AJ9)),AJ9/AH9,"-    ")</f>
        <v xml:space="preserve">-    </v>
      </c>
      <c r="AL9" s="14">
        <f>C9+I9+O9+U9+AA9+AG9</f>
        <v>620755</v>
      </c>
      <c r="AM9" s="14">
        <f>D9+J9+P9+V9+AB9+AH9</f>
        <v>310377.5</v>
      </c>
      <c r="AN9" s="26">
        <f>E9+K9+Q9+W9+AC9+AI9</f>
        <v>232721.22</v>
      </c>
      <c r="AO9" s="92">
        <f>AN9-AM9</f>
        <v>-77656.28</v>
      </c>
      <c r="AP9" s="48">
        <f>IF(AND(AM9&lt;&gt;0,AO9&lt;&gt;0,ISNUMBER(AM9),ISNUMBER(AO9)),AO9/AM9,"-    ")</f>
        <v>-0.25019945066894345</v>
      </c>
    </row>
    <row r="10" spans="1:42" s="29" customFormat="1" x14ac:dyDescent="0.25">
      <c r="A10" s="13" t="s">
        <v>667</v>
      </c>
      <c r="B10" s="130" t="s">
        <v>540</v>
      </c>
      <c r="C10" s="14">
        <f>VLOOKUP(B10,'TB - Expense Data'!$H$3:$N$758,3,FALSE)</f>
        <v>-112635.4</v>
      </c>
      <c r="D10" s="14">
        <f t="shared" ref="D10:D28" si="0">C10/2</f>
        <v>-56317.7</v>
      </c>
      <c r="E10" s="26">
        <f>VLOOKUP(B10,'TB - Expense Data'!$H$3:$N$758,7,FALSE)</f>
        <v>-10546.75</v>
      </c>
      <c r="F10" s="92">
        <f t="shared" ref="F10:F28" si="1">E10-D10</f>
        <v>45770.95</v>
      </c>
      <c r="G10" s="48">
        <f t="shared" ref="G10:G28" si="2">IF(AND(D10&lt;&gt;0,F10&lt;&gt;0,ISNUMBER(D10),ISNUMBER(F10)),F10/D10,"-    ")</f>
        <v>-0.81272761494166135</v>
      </c>
      <c r="H10" s="130" t="s">
        <v>563</v>
      </c>
      <c r="I10" s="14">
        <f>VLOOKUP(H10,'TB - Expense Data'!$H$3:$N$758,3,FALSE)</f>
        <v>-25433.8</v>
      </c>
      <c r="J10" s="14">
        <f t="shared" ref="J10:J28" si="3">I10/2</f>
        <v>-12716.9</v>
      </c>
      <c r="K10" s="26">
        <f>VLOOKUP(H10,'TB - Expense Data'!$H$3:$N$758,7,FALSE)</f>
        <v>-3686.59</v>
      </c>
      <c r="L10" s="92">
        <f t="shared" ref="L10:L28" si="4">K10-J10</f>
        <v>9030.31</v>
      </c>
      <c r="M10" s="48">
        <f t="shared" ref="M10:M28" si="5">IF(AND(J10&lt;&gt;0,L10&lt;&gt;0,ISNUMBER(J10),ISNUMBER(L10)),L10/J10,"-    ")</f>
        <v>-0.71010309116215431</v>
      </c>
      <c r="N10" s="130" t="s">
        <v>586</v>
      </c>
      <c r="O10" s="14">
        <f>VLOOKUP(N10,'TB - Expense Data'!$H$3:$N$758,3,FALSE)</f>
        <v>-185303.4</v>
      </c>
      <c r="P10" s="14">
        <f t="shared" ref="P10:P28" si="6">O10/2</f>
        <v>-92651.7</v>
      </c>
      <c r="Q10" s="26">
        <f>VLOOKUP(N10,'TB - Expense Data'!$H$3:$N$758,7,FALSE)</f>
        <v>-18783.509999999998</v>
      </c>
      <c r="R10" s="92">
        <f t="shared" ref="R10:R28" si="7">Q10-P10</f>
        <v>73868.19</v>
      </c>
      <c r="S10" s="48">
        <f t="shared" ref="S10:S28" si="8">IF(AND(P10&lt;&gt;0,R10&lt;&gt;0,ISNUMBER(P10),ISNUMBER(R10)),R10/P10,"-    ")</f>
        <v>-0.7972675083133931</v>
      </c>
      <c r="T10" s="130" t="s">
        <v>609</v>
      </c>
      <c r="U10" s="14">
        <f>VLOOKUP(T10,'TB - Expense Data'!$H$3:$N$758,3,FALSE)</f>
        <v>-39967.4</v>
      </c>
      <c r="V10" s="14">
        <f t="shared" ref="V10:V28" si="9">U10/2</f>
        <v>-19983.7</v>
      </c>
      <c r="W10" s="26">
        <f>VLOOKUP(T10,'TB - Expense Data'!$H$3:$N$758,7,FALSE)</f>
        <v>-5322.85</v>
      </c>
      <c r="X10" s="92">
        <f t="shared" ref="X10:X28" si="10">W10-V10</f>
        <v>14660.85</v>
      </c>
      <c r="Y10" s="58">
        <f t="shared" ref="Y10:Y28" si="11">IF(AND(V10&lt;&gt;0,X10&lt;&gt;0,ISNUMBER(V10),ISNUMBER(X10)),X10/V10,"-    ")</f>
        <v>-0.73364041693980597</v>
      </c>
      <c r="Z10" s="130" t="s">
        <v>979</v>
      </c>
      <c r="AA10" s="14">
        <f>VLOOKUP(Z10,'TB - Expense Data'!$H$3:$N$758,3,FALSE)</f>
        <v>0</v>
      </c>
      <c r="AB10" s="14">
        <f t="shared" ref="AB10:AB28" si="12">AA10/2</f>
        <v>0</v>
      </c>
      <c r="AC10" s="26">
        <f>VLOOKUP(Z10,'TB - Expense Data'!$H$3:$N$758,7,FALSE)</f>
        <v>0</v>
      </c>
      <c r="AD10" s="92">
        <f t="shared" ref="AD10:AD28" si="13">AC10-AB10</f>
        <v>0</v>
      </c>
      <c r="AE10" s="48" t="str">
        <f t="shared" ref="AE10:AE28" si="14">IF(AND(AB10&lt;&gt;0,AD10&lt;&gt;0,ISNUMBER(AB10),ISNUMBER(AD10)),AD10/AB10,"-    ")</f>
        <v xml:space="preserve">-    </v>
      </c>
      <c r="AF10" s="130" t="s">
        <v>979</v>
      </c>
      <c r="AG10" s="14">
        <f>VLOOKUP(AF10,'TB - Expense Data'!$H$3:$N$758,3,FALSE)</f>
        <v>0</v>
      </c>
      <c r="AH10" s="14">
        <f t="shared" ref="AH10:AH28" si="15">AG10/2</f>
        <v>0</v>
      </c>
      <c r="AI10" s="26">
        <f>VLOOKUP(AF10,'TB - Expense Data'!$H$3:$N$758,7,FALSE)</f>
        <v>0</v>
      </c>
      <c r="AJ10" s="92">
        <f t="shared" ref="AJ10:AJ28" si="16">AI10-AH10</f>
        <v>0</v>
      </c>
      <c r="AK10" s="48" t="str">
        <f t="shared" ref="AK10:AK28" si="17">IF(AND(AH10&lt;&gt;0,AJ10&lt;&gt;0,ISNUMBER(AH10),ISNUMBER(AJ10)),AJ10/AH10,"-    ")</f>
        <v xml:space="preserve">-    </v>
      </c>
      <c r="AL10" s="14">
        <f t="shared" ref="AL10:AL28" si="18">C10+I10+O10+U10+AA10+AG10</f>
        <v>-363340</v>
      </c>
      <c r="AM10" s="14">
        <f t="shared" ref="AM10:AM28" si="19">D10+J10+P10+V10+AB10+AH10</f>
        <v>-181670</v>
      </c>
      <c r="AN10" s="26">
        <f t="shared" ref="AN10:AN28" si="20">E10+K10+Q10+W10+AC10+AI10</f>
        <v>-38339.699999999997</v>
      </c>
      <c r="AO10" s="92">
        <f t="shared" ref="AO10:AO28" si="21">AN10-AM10</f>
        <v>143330.29999999999</v>
      </c>
      <c r="AP10" s="48">
        <f t="shared" ref="AP10:AP28" si="22">IF(AND(AM10&lt;&gt;0,AO10&lt;&gt;0,ISNUMBER(AM10),ISNUMBER(AO10)),AO10/AM10,"-    ")</f>
        <v>-0.7889596521164749</v>
      </c>
    </row>
    <row r="11" spans="1:42" x14ac:dyDescent="0.25">
      <c r="A11" s="13" t="s">
        <v>37</v>
      </c>
      <c r="B11" s="130" t="s">
        <v>534</v>
      </c>
      <c r="C11" s="14">
        <f>VLOOKUP(B11,'TB - Expense Data'!$H$3:$N$758,3,FALSE)</f>
        <v>919</v>
      </c>
      <c r="D11" s="14">
        <f t="shared" si="0"/>
        <v>459.5</v>
      </c>
      <c r="E11" s="26">
        <f>VLOOKUP(B11,'TB - Expense Data'!$H$3:$N$758,7,FALSE)</f>
        <v>0</v>
      </c>
      <c r="F11" s="92">
        <f t="shared" si="1"/>
        <v>-459.5</v>
      </c>
      <c r="G11" s="48">
        <f t="shared" si="2"/>
        <v>-1</v>
      </c>
      <c r="H11" s="130" t="s">
        <v>557</v>
      </c>
      <c r="I11" s="14">
        <f>VLOOKUP(H11,'TB - Expense Data'!$H$3:$N$758,3,FALSE)</f>
        <v>254</v>
      </c>
      <c r="J11" s="14">
        <f t="shared" si="3"/>
        <v>127</v>
      </c>
      <c r="K11" s="26">
        <f>VLOOKUP(H11,'TB - Expense Data'!$H$3:$N$758,7,FALSE)</f>
        <v>0</v>
      </c>
      <c r="L11" s="92">
        <f t="shared" si="4"/>
        <v>-127</v>
      </c>
      <c r="M11" s="48">
        <f t="shared" si="5"/>
        <v>-1</v>
      </c>
      <c r="N11" s="130" t="s">
        <v>580</v>
      </c>
      <c r="O11" s="14">
        <f>VLOOKUP(N11,'TB - Expense Data'!$H$3:$N$758,3,FALSE)</f>
        <v>1648</v>
      </c>
      <c r="P11" s="14">
        <f t="shared" si="6"/>
        <v>824</v>
      </c>
      <c r="Q11" s="26">
        <f>VLOOKUP(N11,'TB - Expense Data'!$H$3:$N$758,7,FALSE)</f>
        <v>0</v>
      </c>
      <c r="R11" s="92">
        <f t="shared" si="7"/>
        <v>-824</v>
      </c>
      <c r="S11" s="48">
        <f t="shared" si="8"/>
        <v>-1</v>
      </c>
      <c r="T11" s="130" t="s">
        <v>603</v>
      </c>
      <c r="U11" s="14">
        <f>VLOOKUP(T11,'TB - Expense Data'!$H$3:$N$758,3,FALSE)</f>
        <v>349</v>
      </c>
      <c r="V11" s="14">
        <f t="shared" si="9"/>
        <v>174.5</v>
      </c>
      <c r="W11" s="26">
        <f>VLOOKUP(T11,'TB - Expense Data'!$H$3:$N$758,7,FALSE)</f>
        <v>0</v>
      </c>
      <c r="X11" s="92">
        <f t="shared" si="10"/>
        <v>-174.5</v>
      </c>
      <c r="Y11" s="58">
        <f t="shared" si="11"/>
        <v>-1</v>
      </c>
      <c r="Z11" s="130" t="s">
        <v>979</v>
      </c>
      <c r="AA11" s="14">
        <f>VLOOKUP(Z11,'TB - Expense Data'!$H$3:$N$758,3,FALSE)</f>
        <v>0</v>
      </c>
      <c r="AB11" s="14">
        <f t="shared" si="12"/>
        <v>0</v>
      </c>
      <c r="AC11" s="26">
        <f>VLOOKUP(Z11,'TB - Expense Data'!$H$3:$N$758,7,FALSE)</f>
        <v>0</v>
      </c>
      <c r="AD11" s="92">
        <f t="shared" si="13"/>
        <v>0</v>
      </c>
      <c r="AE11" s="48" t="str">
        <f t="shared" si="14"/>
        <v xml:space="preserve">-    </v>
      </c>
      <c r="AF11" s="130" t="s">
        <v>979</v>
      </c>
      <c r="AG11" s="14">
        <f>VLOOKUP(AF11,'TB - Expense Data'!$H$3:$N$758,3,FALSE)</f>
        <v>0</v>
      </c>
      <c r="AH11" s="14">
        <f t="shared" si="15"/>
        <v>0</v>
      </c>
      <c r="AI11" s="26">
        <f>VLOOKUP(AF11,'TB - Expense Data'!$H$3:$N$758,7,FALSE)</f>
        <v>0</v>
      </c>
      <c r="AJ11" s="92">
        <f t="shared" si="16"/>
        <v>0</v>
      </c>
      <c r="AK11" s="48" t="str">
        <f t="shared" si="17"/>
        <v xml:space="preserve">-    </v>
      </c>
      <c r="AL11" s="14">
        <f t="shared" si="18"/>
        <v>3170</v>
      </c>
      <c r="AM11" s="14">
        <f t="shared" si="19"/>
        <v>1585</v>
      </c>
      <c r="AN11" s="26">
        <f t="shared" si="20"/>
        <v>0</v>
      </c>
      <c r="AO11" s="92">
        <f t="shared" si="21"/>
        <v>-1585</v>
      </c>
      <c r="AP11" s="48">
        <f t="shared" si="22"/>
        <v>-1</v>
      </c>
    </row>
    <row r="12" spans="1:42" x14ac:dyDescent="0.25">
      <c r="A12" s="13" t="s">
        <v>153</v>
      </c>
      <c r="B12" s="130" t="s">
        <v>528</v>
      </c>
      <c r="C12" s="14">
        <f>VLOOKUP(B12,'TB - Expense Data'!$H$3:$N$758,3,FALSE)</f>
        <v>10232</v>
      </c>
      <c r="D12" s="14">
        <f t="shared" si="0"/>
        <v>5116</v>
      </c>
      <c r="E12" s="26">
        <f>VLOOKUP(B12,'TB - Expense Data'!$H$3:$N$758,7,FALSE)</f>
        <v>3464.62</v>
      </c>
      <c r="F12" s="92">
        <f t="shared" si="1"/>
        <v>-1651.38</v>
      </c>
      <c r="G12" s="48">
        <f t="shared" si="2"/>
        <v>-0.32278733385457392</v>
      </c>
      <c r="H12" s="130" t="s">
        <v>551</v>
      </c>
      <c r="I12" s="14">
        <f>VLOOKUP(H12,'TB - Expense Data'!$H$3:$N$758,3,FALSE)</f>
        <v>2823</v>
      </c>
      <c r="J12" s="14">
        <f t="shared" si="3"/>
        <v>1411.5</v>
      </c>
      <c r="K12" s="26">
        <f>VLOOKUP(H12,'TB - Expense Data'!$H$3:$N$758,7,FALSE)</f>
        <v>953.64</v>
      </c>
      <c r="L12" s="92">
        <f t="shared" si="4"/>
        <v>-457.86</v>
      </c>
      <c r="M12" s="48">
        <f t="shared" si="5"/>
        <v>-0.32437832093517538</v>
      </c>
      <c r="N12" s="130" t="s">
        <v>574</v>
      </c>
      <c r="O12" s="14">
        <f>VLOOKUP(N12,'TB - Expense Data'!$H$3:$N$758,3,FALSE)</f>
        <v>18348.27</v>
      </c>
      <c r="P12" s="14">
        <f t="shared" si="6"/>
        <v>9174.1350000000002</v>
      </c>
      <c r="Q12" s="26">
        <f>VLOOKUP(N12,'TB - Expense Data'!$H$3:$N$758,7,FALSE)</f>
        <v>6208.93</v>
      </c>
      <c r="R12" s="92">
        <f t="shared" si="7"/>
        <v>-2965.2049999999999</v>
      </c>
      <c r="S12" s="48">
        <f t="shared" si="8"/>
        <v>-0.32321357817385504</v>
      </c>
      <c r="T12" s="130" t="s">
        <v>597</v>
      </c>
      <c r="U12" s="14">
        <f>VLOOKUP(T12,'TB - Expense Data'!$H$3:$N$758,3,FALSE)</f>
        <v>3881</v>
      </c>
      <c r="V12" s="14">
        <f t="shared" si="9"/>
        <v>1940.5</v>
      </c>
      <c r="W12" s="26">
        <f>VLOOKUP(T12,'TB - Expense Data'!$H$3:$N$758,7,FALSE)</f>
        <v>1310.43</v>
      </c>
      <c r="X12" s="92">
        <f t="shared" si="10"/>
        <v>-630.06999999999994</v>
      </c>
      <c r="Y12" s="58">
        <f t="shared" si="11"/>
        <v>-0.32469466632311256</v>
      </c>
      <c r="Z12" s="130" t="s">
        <v>979</v>
      </c>
      <c r="AA12" s="14">
        <f>VLOOKUP(Z12,'TB - Expense Data'!$H$3:$N$758,3,FALSE)</f>
        <v>0</v>
      </c>
      <c r="AB12" s="14">
        <f t="shared" si="12"/>
        <v>0</v>
      </c>
      <c r="AC12" s="26">
        <f>VLOOKUP(Z12,'TB - Expense Data'!$H$3:$N$758,7,FALSE)</f>
        <v>0</v>
      </c>
      <c r="AD12" s="92">
        <f t="shared" si="13"/>
        <v>0</v>
      </c>
      <c r="AE12" s="48" t="str">
        <f t="shared" si="14"/>
        <v xml:space="preserve">-    </v>
      </c>
      <c r="AF12" s="130" t="s">
        <v>979</v>
      </c>
      <c r="AG12" s="14">
        <f>VLOOKUP(AF12,'TB - Expense Data'!$H$3:$N$758,3,FALSE)</f>
        <v>0</v>
      </c>
      <c r="AH12" s="14">
        <f t="shared" si="15"/>
        <v>0</v>
      </c>
      <c r="AI12" s="26">
        <f>VLOOKUP(AF12,'TB - Expense Data'!$H$3:$N$758,7,FALSE)</f>
        <v>0</v>
      </c>
      <c r="AJ12" s="92">
        <f t="shared" si="16"/>
        <v>0</v>
      </c>
      <c r="AK12" s="48" t="str">
        <f t="shared" si="17"/>
        <v xml:space="preserve">-    </v>
      </c>
      <c r="AL12" s="14">
        <f t="shared" si="18"/>
        <v>35284.270000000004</v>
      </c>
      <c r="AM12" s="14">
        <f t="shared" si="19"/>
        <v>17642.135000000002</v>
      </c>
      <c r="AN12" s="26">
        <f t="shared" si="20"/>
        <v>11937.62</v>
      </c>
      <c r="AO12" s="92">
        <f t="shared" si="21"/>
        <v>-5704.5150000000012</v>
      </c>
      <c r="AP12" s="48">
        <f t="shared" si="22"/>
        <v>-0.32334606894233608</v>
      </c>
    </row>
    <row r="13" spans="1:42" x14ac:dyDescent="0.25">
      <c r="A13" s="13" t="s">
        <v>154</v>
      </c>
      <c r="B13" s="130" t="s">
        <v>527</v>
      </c>
      <c r="C13" s="14">
        <f>VLOOKUP(B13,'TB - Expense Data'!$H$3:$N$758,3,FALSE)</f>
        <v>2624</v>
      </c>
      <c r="D13" s="14">
        <f t="shared" si="0"/>
        <v>1312</v>
      </c>
      <c r="E13" s="26">
        <f>VLOOKUP(B13,'TB - Expense Data'!$H$3:$N$758,7,FALSE)</f>
        <v>969.14</v>
      </c>
      <c r="F13" s="92">
        <f t="shared" si="1"/>
        <v>-342.86</v>
      </c>
      <c r="G13" s="48">
        <f t="shared" si="2"/>
        <v>-0.26132621951219515</v>
      </c>
      <c r="H13" s="130" t="s">
        <v>550</v>
      </c>
      <c r="I13" s="14">
        <f>VLOOKUP(H13,'TB - Expense Data'!$H$3:$N$758,3,FALSE)</f>
        <v>724</v>
      </c>
      <c r="J13" s="14">
        <f t="shared" si="3"/>
        <v>362</v>
      </c>
      <c r="K13" s="26">
        <f>VLOOKUP(H13,'TB - Expense Data'!$H$3:$N$758,7,FALSE)</f>
        <v>262.85000000000002</v>
      </c>
      <c r="L13" s="92">
        <f t="shared" si="4"/>
        <v>-99.149999999999977</v>
      </c>
      <c r="M13" s="48">
        <f t="shared" si="5"/>
        <v>-0.27389502762430934</v>
      </c>
      <c r="N13" s="130" t="s">
        <v>573</v>
      </c>
      <c r="O13" s="14">
        <f>VLOOKUP(N13,'TB - Expense Data'!$H$3:$N$758,3,FALSE)</f>
        <v>4704</v>
      </c>
      <c r="P13" s="14">
        <f t="shared" si="6"/>
        <v>2352</v>
      </c>
      <c r="Q13" s="26">
        <f>VLOOKUP(N13,'TB - Expense Data'!$H$3:$N$758,7,FALSE)</f>
        <v>1729.8</v>
      </c>
      <c r="R13" s="92">
        <f t="shared" si="7"/>
        <v>-622.20000000000005</v>
      </c>
      <c r="S13" s="48">
        <f t="shared" si="8"/>
        <v>-0.26454081632653065</v>
      </c>
      <c r="T13" s="130" t="s">
        <v>596</v>
      </c>
      <c r="U13" s="14">
        <f>VLOOKUP(T13,'TB - Expense Data'!$H$3:$N$758,3,FALSE)</f>
        <v>995</v>
      </c>
      <c r="V13" s="14">
        <f t="shared" si="9"/>
        <v>497.5</v>
      </c>
      <c r="W13" s="26">
        <f>VLOOKUP(T13,'TB - Expense Data'!$H$3:$N$758,7,FALSE)</f>
        <v>359.63</v>
      </c>
      <c r="X13" s="92">
        <f t="shared" si="10"/>
        <v>-137.87</v>
      </c>
      <c r="Y13" s="58">
        <f t="shared" si="11"/>
        <v>-0.27712562814070352</v>
      </c>
      <c r="Z13" s="130" t="s">
        <v>979</v>
      </c>
      <c r="AA13" s="14">
        <f>VLOOKUP(Z13,'TB - Expense Data'!$H$3:$N$758,3,FALSE)</f>
        <v>0</v>
      </c>
      <c r="AB13" s="14">
        <f t="shared" si="12"/>
        <v>0</v>
      </c>
      <c r="AC13" s="26">
        <f>VLOOKUP(Z13,'TB - Expense Data'!$H$3:$N$758,7,FALSE)</f>
        <v>0</v>
      </c>
      <c r="AD13" s="92">
        <f t="shared" si="13"/>
        <v>0</v>
      </c>
      <c r="AE13" s="48" t="str">
        <f t="shared" si="14"/>
        <v xml:space="preserve">-    </v>
      </c>
      <c r="AF13" s="130" t="s">
        <v>979</v>
      </c>
      <c r="AG13" s="14">
        <f>VLOOKUP(AF13,'TB - Expense Data'!$H$3:$N$758,3,FALSE)</f>
        <v>0</v>
      </c>
      <c r="AH13" s="14">
        <f t="shared" si="15"/>
        <v>0</v>
      </c>
      <c r="AI13" s="26">
        <f>VLOOKUP(AF13,'TB - Expense Data'!$H$3:$N$758,7,FALSE)</f>
        <v>0</v>
      </c>
      <c r="AJ13" s="92">
        <f t="shared" si="16"/>
        <v>0</v>
      </c>
      <c r="AK13" s="48" t="str">
        <f t="shared" si="17"/>
        <v xml:space="preserve">-    </v>
      </c>
      <c r="AL13" s="14">
        <f t="shared" si="18"/>
        <v>9047</v>
      </c>
      <c r="AM13" s="14">
        <f t="shared" si="19"/>
        <v>4523.5</v>
      </c>
      <c r="AN13" s="26">
        <f t="shared" si="20"/>
        <v>3321.42</v>
      </c>
      <c r="AO13" s="92">
        <f t="shared" si="21"/>
        <v>-1202.08</v>
      </c>
      <c r="AP13" s="48">
        <f t="shared" si="22"/>
        <v>-0.26574112965623964</v>
      </c>
    </row>
    <row r="14" spans="1:42" x14ac:dyDescent="0.25">
      <c r="A14" s="13" t="s">
        <v>38</v>
      </c>
      <c r="B14" s="130" t="s">
        <v>530</v>
      </c>
      <c r="C14" s="14">
        <f>VLOOKUP(B14,'TB - Expense Data'!$H$3:$N$758,3,FALSE)</f>
        <v>34915</v>
      </c>
      <c r="D14" s="14">
        <f t="shared" si="0"/>
        <v>17457.5</v>
      </c>
      <c r="E14" s="26">
        <f>VLOOKUP(B14,'TB - Expense Data'!$H$3:$N$758,7,FALSE)</f>
        <v>14086.78</v>
      </c>
      <c r="F14" s="92">
        <f t="shared" si="1"/>
        <v>-3370.7199999999993</v>
      </c>
      <c r="G14" s="48">
        <f t="shared" si="2"/>
        <v>-0.1930814836030359</v>
      </c>
      <c r="H14" s="130" t="s">
        <v>553</v>
      </c>
      <c r="I14" s="14">
        <f>VLOOKUP(H14,'TB - Expense Data'!$H$3:$N$758,3,FALSE)</f>
        <v>9632</v>
      </c>
      <c r="J14" s="14">
        <f t="shared" si="3"/>
        <v>4816</v>
      </c>
      <c r="K14" s="26">
        <f>VLOOKUP(H14,'TB - Expense Data'!$H$3:$N$758,7,FALSE)</f>
        <v>3917.9</v>
      </c>
      <c r="L14" s="92">
        <f t="shared" si="4"/>
        <v>-898.09999999999991</v>
      </c>
      <c r="M14" s="48">
        <f t="shared" si="5"/>
        <v>-0.18648255813953488</v>
      </c>
      <c r="N14" s="130" t="s">
        <v>576</v>
      </c>
      <c r="O14" s="14">
        <f>VLOOKUP(N14,'TB - Expense Data'!$H$3:$N$758,3,FALSE)</f>
        <v>62606</v>
      </c>
      <c r="P14" s="14">
        <f t="shared" si="6"/>
        <v>31303</v>
      </c>
      <c r="Q14" s="26">
        <f>VLOOKUP(N14,'TB - Expense Data'!$H$3:$N$758,7,FALSE)</f>
        <v>24929.61</v>
      </c>
      <c r="R14" s="92">
        <f t="shared" si="7"/>
        <v>-6373.3899999999994</v>
      </c>
      <c r="S14" s="48">
        <f t="shared" si="8"/>
        <v>-0.20360316902533301</v>
      </c>
      <c r="T14" s="130" t="s">
        <v>599</v>
      </c>
      <c r="U14" s="14">
        <f>VLOOKUP(T14,'TB - Expense Data'!$H$3:$N$758,3,FALSE)</f>
        <v>13244</v>
      </c>
      <c r="V14" s="14">
        <f t="shared" si="9"/>
        <v>6622</v>
      </c>
      <c r="W14" s="26">
        <f>VLOOKUP(T14,'TB - Expense Data'!$H$3:$N$758,7,FALSE)</f>
        <v>5256.23</v>
      </c>
      <c r="X14" s="92">
        <f t="shared" si="10"/>
        <v>-1365.7700000000004</v>
      </c>
      <c r="Y14" s="58">
        <f t="shared" si="11"/>
        <v>-0.20624735729386898</v>
      </c>
      <c r="Z14" s="130" t="s">
        <v>979</v>
      </c>
      <c r="AA14" s="14">
        <f>VLOOKUP(Z14,'TB - Expense Data'!$H$3:$N$758,3,FALSE)</f>
        <v>0</v>
      </c>
      <c r="AB14" s="14">
        <f t="shared" si="12"/>
        <v>0</v>
      </c>
      <c r="AC14" s="26">
        <f>VLOOKUP(Z14,'TB - Expense Data'!$H$3:$N$758,7,FALSE)</f>
        <v>0</v>
      </c>
      <c r="AD14" s="92">
        <f t="shared" si="13"/>
        <v>0</v>
      </c>
      <c r="AE14" s="48" t="str">
        <f t="shared" si="14"/>
        <v xml:space="preserve">-    </v>
      </c>
      <c r="AF14" s="130" t="s">
        <v>979</v>
      </c>
      <c r="AG14" s="14">
        <f>VLOOKUP(AF14,'TB - Expense Data'!$H$3:$N$758,3,FALSE)</f>
        <v>0</v>
      </c>
      <c r="AH14" s="14">
        <f t="shared" si="15"/>
        <v>0</v>
      </c>
      <c r="AI14" s="26">
        <f>VLOOKUP(AF14,'TB - Expense Data'!$H$3:$N$758,7,FALSE)</f>
        <v>0</v>
      </c>
      <c r="AJ14" s="92">
        <f t="shared" si="16"/>
        <v>0</v>
      </c>
      <c r="AK14" s="48" t="str">
        <f t="shared" si="17"/>
        <v xml:space="preserve">-    </v>
      </c>
      <c r="AL14" s="14">
        <f t="shared" si="18"/>
        <v>120397</v>
      </c>
      <c r="AM14" s="14">
        <f t="shared" si="19"/>
        <v>60198.5</v>
      </c>
      <c r="AN14" s="26">
        <f t="shared" si="20"/>
        <v>48190.520000000004</v>
      </c>
      <c r="AO14" s="92">
        <f t="shared" si="21"/>
        <v>-12007.979999999996</v>
      </c>
      <c r="AP14" s="48">
        <f t="shared" si="22"/>
        <v>-0.19947307657167532</v>
      </c>
    </row>
    <row r="15" spans="1:42" x14ac:dyDescent="0.25">
      <c r="A15" s="13" t="s">
        <v>77</v>
      </c>
      <c r="B15" s="130" t="s">
        <v>522</v>
      </c>
      <c r="C15" s="14">
        <f>VLOOKUP(B15,'TB - Expense Data'!$H$3:$N$758,3,FALSE)</f>
        <v>2110</v>
      </c>
      <c r="D15" s="14">
        <f t="shared" si="0"/>
        <v>1055</v>
      </c>
      <c r="E15" s="26">
        <f>VLOOKUP(B15,'TB - Expense Data'!$H$3:$N$758,7,FALSE)</f>
        <v>827.1</v>
      </c>
      <c r="F15" s="92">
        <f t="shared" si="1"/>
        <v>-227.89999999999998</v>
      </c>
      <c r="G15" s="48">
        <f t="shared" si="2"/>
        <v>-0.21601895734597154</v>
      </c>
      <c r="H15" s="130" t="s">
        <v>545</v>
      </c>
      <c r="I15" s="14">
        <f>VLOOKUP(H15,'TB - Expense Data'!$H$3:$N$758,3,FALSE)</f>
        <v>582</v>
      </c>
      <c r="J15" s="14">
        <f t="shared" si="3"/>
        <v>291</v>
      </c>
      <c r="K15" s="26">
        <f>VLOOKUP(H15,'TB - Expense Data'!$H$3:$N$758,7,FALSE)</f>
        <v>230.07</v>
      </c>
      <c r="L15" s="92">
        <f t="shared" si="4"/>
        <v>-60.930000000000007</v>
      </c>
      <c r="M15" s="48">
        <f t="shared" si="5"/>
        <v>-0.2093814432989691</v>
      </c>
      <c r="N15" s="130" t="s">
        <v>568</v>
      </c>
      <c r="O15" s="14">
        <f>VLOOKUP(N15,'TB - Expense Data'!$H$3:$N$758,3,FALSE)</f>
        <v>3783</v>
      </c>
      <c r="P15" s="14">
        <f t="shared" si="6"/>
        <v>1891.5</v>
      </c>
      <c r="Q15" s="26">
        <f>VLOOKUP(N15,'TB - Expense Data'!$H$3:$N$758,7,FALSE)</f>
        <v>1463.05</v>
      </c>
      <c r="R15" s="92">
        <f t="shared" si="7"/>
        <v>-428.45000000000005</v>
      </c>
      <c r="S15" s="48">
        <f t="shared" si="8"/>
        <v>-0.22651334919376159</v>
      </c>
      <c r="T15" s="130" t="s">
        <v>591</v>
      </c>
      <c r="U15" s="14">
        <f>VLOOKUP(T15,'TB - Expense Data'!$H$3:$N$758,3,FALSE)</f>
        <v>800.25</v>
      </c>
      <c r="V15" s="14">
        <f t="shared" si="9"/>
        <v>400.125</v>
      </c>
      <c r="W15" s="26">
        <f>VLOOKUP(T15,'TB - Expense Data'!$H$3:$N$758,7,FALSE)</f>
        <v>308.43</v>
      </c>
      <c r="X15" s="92">
        <f t="shared" si="10"/>
        <v>-91.694999999999993</v>
      </c>
      <c r="Y15" s="58">
        <f t="shared" si="11"/>
        <v>-0.22916588566073101</v>
      </c>
      <c r="Z15" s="130" t="s">
        <v>979</v>
      </c>
      <c r="AA15" s="14">
        <f>VLOOKUP(Z15,'TB - Expense Data'!$H$3:$N$758,3,FALSE)</f>
        <v>0</v>
      </c>
      <c r="AB15" s="14">
        <f t="shared" si="12"/>
        <v>0</v>
      </c>
      <c r="AC15" s="26">
        <f>VLOOKUP(Z15,'TB - Expense Data'!$H$3:$N$758,7,FALSE)</f>
        <v>0</v>
      </c>
      <c r="AD15" s="92">
        <f t="shared" si="13"/>
        <v>0</v>
      </c>
      <c r="AE15" s="48" t="str">
        <f t="shared" si="14"/>
        <v xml:space="preserve">-    </v>
      </c>
      <c r="AF15" s="130" t="s">
        <v>979</v>
      </c>
      <c r="AG15" s="14">
        <f>VLOOKUP(AF15,'TB - Expense Data'!$H$3:$N$758,3,FALSE)</f>
        <v>0</v>
      </c>
      <c r="AH15" s="14">
        <f t="shared" si="15"/>
        <v>0</v>
      </c>
      <c r="AI15" s="26">
        <f>VLOOKUP(AF15,'TB - Expense Data'!$H$3:$N$758,7,FALSE)</f>
        <v>0</v>
      </c>
      <c r="AJ15" s="92">
        <f t="shared" si="16"/>
        <v>0</v>
      </c>
      <c r="AK15" s="48" t="str">
        <f t="shared" si="17"/>
        <v xml:space="preserve">-    </v>
      </c>
      <c r="AL15" s="14">
        <f t="shared" si="18"/>
        <v>7275.25</v>
      </c>
      <c r="AM15" s="14">
        <f t="shared" si="19"/>
        <v>3637.625</v>
      </c>
      <c r="AN15" s="26">
        <f t="shared" si="20"/>
        <v>2828.65</v>
      </c>
      <c r="AO15" s="92">
        <f t="shared" si="21"/>
        <v>-808.97499999999991</v>
      </c>
      <c r="AP15" s="48">
        <f t="shared" si="22"/>
        <v>-0.22239098312772754</v>
      </c>
    </row>
    <row r="16" spans="1:42" x14ac:dyDescent="0.25">
      <c r="A16" s="13" t="s">
        <v>78</v>
      </c>
      <c r="B16" s="130" t="s">
        <v>538</v>
      </c>
      <c r="C16" s="14">
        <f>VLOOKUP(B16,'TB - Expense Data'!$H$3:$N$758,3,FALSE)</f>
        <v>344</v>
      </c>
      <c r="D16" s="14">
        <f t="shared" si="0"/>
        <v>172</v>
      </c>
      <c r="E16" s="26">
        <f>VLOOKUP(B16,'TB - Expense Data'!$H$3:$N$758,7,FALSE)</f>
        <v>157.09</v>
      </c>
      <c r="F16" s="92">
        <f t="shared" si="1"/>
        <v>-14.909999999999997</v>
      </c>
      <c r="G16" s="48">
        <f t="shared" si="2"/>
        <v>-8.6686046511627882E-2</v>
      </c>
      <c r="H16" s="130" t="s">
        <v>561</v>
      </c>
      <c r="I16" s="14">
        <f>VLOOKUP(H16,'TB - Expense Data'!$H$3:$N$758,3,FALSE)</f>
        <v>95</v>
      </c>
      <c r="J16" s="14">
        <f t="shared" si="3"/>
        <v>47.5</v>
      </c>
      <c r="K16" s="26">
        <f>VLOOKUP(H16,'TB - Expense Data'!$H$3:$N$758,7,FALSE)</f>
        <v>43.84</v>
      </c>
      <c r="L16" s="92">
        <f t="shared" si="4"/>
        <v>-3.6599999999999966</v>
      </c>
      <c r="M16" s="48">
        <f t="shared" si="5"/>
        <v>-7.7052631578947303E-2</v>
      </c>
      <c r="N16" s="130" t="s">
        <v>584</v>
      </c>
      <c r="O16" s="14">
        <f>VLOOKUP(N16,'TB - Expense Data'!$H$3:$N$758,3,FALSE)</f>
        <v>617</v>
      </c>
      <c r="P16" s="14">
        <f t="shared" si="6"/>
        <v>308.5</v>
      </c>
      <c r="Q16" s="26">
        <f>VLOOKUP(N16,'TB - Expense Data'!$H$3:$N$758,7,FALSE)</f>
        <v>278.42</v>
      </c>
      <c r="R16" s="92">
        <f t="shared" si="7"/>
        <v>-30.079999999999984</v>
      </c>
      <c r="S16" s="48">
        <f t="shared" si="8"/>
        <v>-9.7504051863857327E-2</v>
      </c>
      <c r="T16" s="130" t="s">
        <v>607</v>
      </c>
      <c r="U16" s="14">
        <f>VLOOKUP(T16,'TB - Expense Data'!$H$3:$N$758,3,FALSE)</f>
        <v>131</v>
      </c>
      <c r="V16" s="14">
        <f t="shared" si="9"/>
        <v>65.5</v>
      </c>
      <c r="W16" s="26">
        <f>VLOOKUP(T16,'TB - Expense Data'!$H$3:$N$758,7,FALSE)</f>
        <v>58.75</v>
      </c>
      <c r="X16" s="92">
        <f t="shared" si="10"/>
        <v>-6.75</v>
      </c>
      <c r="Y16" s="58">
        <f t="shared" si="11"/>
        <v>-0.10305343511450382</v>
      </c>
      <c r="Z16" s="130" t="s">
        <v>979</v>
      </c>
      <c r="AA16" s="14">
        <f>VLOOKUP(Z16,'TB - Expense Data'!$H$3:$N$758,3,FALSE)</f>
        <v>0</v>
      </c>
      <c r="AB16" s="14">
        <f t="shared" si="12"/>
        <v>0</v>
      </c>
      <c r="AC16" s="26">
        <f>VLOOKUP(Z16,'TB - Expense Data'!$H$3:$N$758,7,FALSE)</f>
        <v>0</v>
      </c>
      <c r="AD16" s="92">
        <f t="shared" si="13"/>
        <v>0</v>
      </c>
      <c r="AE16" s="48" t="str">
        <f t="shared" si="14"/>
        <v xml:space="preserve">-    </v>
      </c>
      <c r="AF16" s="130" t="s">
        <v>979</v>
      </c>
      <c r="AG16" s="14">
        <f>VLOOKUP(AF16,'TB - Expense Data'!$H$3:$N$758,3,FALSE)</f>
        <v>0</v>
      </c>
      <c r="AH16" s="14">
        <f t="shared" si="15"/>
        <v>0</v>
      </c>
      <c r="AI16" s="26">
        <f>VLOOKUP(AF16,'TB - Expense Data'!$H$3:$N$758,7,FALSE)</f>
        <v>0</v>
      </c>
      <c r="AJ16" s="92">
        <f t="shared" si="16"/>
        <v>0</v>
      </c>
      <c r="AK16" s="48" t="str">
        <f t="shared" si="17"/>
        <v xml:space="preserve">-    </v>
      </c>
      <c r="AL16" s="14">
        <f t="shared" si="18"/>
        <v>1187</v>
      </c>
      <c r="AM16" s="14">
        <f t="shared" si="19"/>
        <v>593.5</v>
      </c>
      <c r="AN16" s="26">
        <f t="shared" si="20"/>
        <v>538.1</v>
      </c>
      <c r="AO16" s="92">
        <f t="shared" si="21"/>
        <v>-55.399999999999977</v>
      </c>
      <c r="AP16" s="48">
        <f t="shared" si="22"/>
        <v>-9.3344566133108639E-2</v>
      </c>
    </row>
    <row r="17" spans="1:42" x14ac:dyDescent="0.25">
      <c r="A17" s="13" t="s">
        <v>79</v>
      </c>
      <c r="B17" s="130" t="s">
        <v>541</v>
      </c>
      <c r="C17" s="14">
        <f>VLOOKUP(B17,'TB - Expense Data'!$H$3:$N$758,3,FALSE)</f>
        <v>1803</v>
      </c>
      <c r="D17" s="14">
        <f t="shared" si="0"/>
        <v>901.5</v>
      </c>
      <c r="E17" s="26">
        <f>VLOOKUP(B17,'TB - Expense Data'!$H$3:$N$758,7,FALSE)</f>
        <v>675.53</v>
      </c>
      <c r="F17" s="92">
        <f t="shared" si="1"/>
        <v>-225.97000000000003</v>
      </c>
      <c r="G17" s="48">
        <f t="shared" si="2"/>
        <v>-0.25066001109262342</v>
      </c>
      <c r="H17" s="130" t="s">
        <v>564</v>
      </c>
      <c r="I17" s="14">
        <f>VLOOKUP(H17,'TB - Expense Data'!$H$3:$N$758,3,FALSE)</f>
        <v>497</v>
      </c>
      <c r="J17" s="14">
        <f t="shared" si="3"/>
        <v>248.5</v>
      </c>
      <c r="K17" s="26">
        <f>VLOOKUP(H17,'TB - Expense Data'!$H$3:$N$758,7,FALSE)</f>
        <v>184.97</v>
      </c>
      <c r="L17" s="92">
        <f t="shared" si="4"/>
        <v>-63.53</v>
      </c>
      <c r="M17" s="48">
        <f t="shared" si="5"/>
        <v>-0.2556539235412475</v>
      </c>
      <c r="N17" s="130" t="s">
        <v>587</v>
      </c>
      <c r="O17" s="14">
        <f>VLOOKUP(N17,'TB - Expense Data'!$H$3:$N$758,3,FALSE)</f>
        <v>3232</v>
      </c>
      <c r="P17" s="14">
        <f t="shared" si="6"/>
        <v>1616</v>
      </c>
      <c r="Q17" s="26">
        <f>VLOOKUP(N17,'TB - Expense Data'!$H$3:$N$758,7,FALSE)</f>
        <v>1198.32</v>
      </c>
      <c r="R17" s="92">
        <f t="shared" si="7"/>
        <v>-417.68000000000006</v>
      </c>
      <c r="S17" s="48">
        <f t="shared" si="8"/>
        <v>-0.25846534653465353</v>
      </c>
      <c r="T17" s="130" t="s">
        <v>610</v>
      </c>
      <c r="U17" s="14">
        <f>VLOOKUP(T17,'TB - Expense Data'!$H$3:$N$758,3,FALSE)</f>
        <v>647.79</v>
      </c>
      <c r="V17" s="14">
        <f t="shared" si="9"/>
        <v>323.89499999999998</v>
      </c>
      <c r="W17" s="26">
        <f>VLOOKUP(T17,'TB - Expense Data'!$H$3:$N$758,7,FALSE)</f>
        <v>250.47</v>
      </c>
      <c r="X17" s="92">
        <f t="shared" si="10"/>
        <v>-73.424999999999983</v>
      </c>
      <c r="Y17" s="58">
        <f t="shared" si="11"/>
        <v>-0.22669383596535911</v>
      </c>
      <c r="Z17" s="130" t="s">
        <v>979</v>
      </c>
      <c r="AA17" s="14">
        <f>VLOOKUP(Z17,'TB - Expense Data'!$H$3:$N$758,3,FALSE)</f>
        <v>0</v>
      </c>
      <c r="AB17" s="14">
        <f t="shared" si="12"/>
        <v>0</v>
      </c>
      <c r="AC17" s="26">
        <f>VLOOKUP(Z17,'TB - Expense Data'!$H$3:$N$758,7,FALSE)</f>
        <v>0</v>
      </c>
      <c r="AD17" s="92">
        <f t="shared" si="13"/>
        <v>0</v>
      </c>
      <c r="AE17" s="48" t="str">
        <f t="shared" si="14"/>
        <v xml:space="preserve">-    </v>
      </c>
      <c r="AF17" s="130" t="s">
        <v>979</v>
      </c>
      <c r="AG17" s="14">
        <f>VLOOKUP(AF17,'TB - Expense Data'!$H$3:$N$758,3,FALSE)</f>
        <v>0</v>
      </c>
      <c r="AH17" s="14">
        <f t="shared" si="15"/>
        <v>0</v>
      </c>
      <c r="AI17" s="26">
        <f>VLOOKUP(AF17,'TB - Expense Data'!$H$3:$N$758,7,FALSE)</f>
        <v>0</v>
      </c>
      <c r="AJ17" s="92">
        <f t="shared" si="16"/>
        <v>0</v>
      </c>
      <c r="AK17" s="48" t="str">
        <f t="shared" si="17"/>
        <v xml:space="preserve">-    </v>
      </c>
      <c r="AL17" s="14">
        <f t="shared" si="18"/>
        <v>6179.79</v>
      </c>
      <c r="AM17" s="14">
        <f t="shared" si="19"/>
        <v>3089.895</v>
      </c>
      <c r="AN17" s="26">
        <f t="shared" si="20"/>
        <v>2309.2899999999995</v>
      </c>
      <c r="AO17" s="92">
        <f t="shared" si="21"/>
        <v>-780.60500000000047</v>
      </c>
      <c r="AP17" s="48">
        <f t="shared" si="22"/>
        <v>-0.25263156191391634</v>
      </c>
    </row>
    <row r="18" spans="1:42" x14ac:dyDescent="0.25">
      <c r="A18" s="13" t="s">
        <v>1248</v>
      </c>
      <c r="B18" s="130" t="s">
        <v>529</v>
      </c>
      <c r="C18" s="14">
        <f>VLOOKUP(B18,'TB - Expense Data'!$H$3:$N$758,3,FALSE)</f>
        <v>673</v>
      </c>
      <c r="D18" s="14">
        <f t="shared" si="0"/>
        <v>336.5</v>
      </c>
      <c r="E18" s="26">
        <f>VLOOKUP(B18,'TB - Expense Data'!$H$3:$N$758,7,FALSE)</f>
        <v>341.47</v>
      </c>
      <c r="F18" s="92">
        <f t="shared" si="1"/>
        <v>4.9700000000000273</v>
      </c>
      <c r="G18" s="48">
        <f t="shared" si="2"/>
        <v>1.4769687964338862E-2</v>
      </c>
      <c r="H18" s="130" t="s">
        <v>552</v>
      </c>
      <c r="I18" s="14">
        <f>VLOOKUP(H18,'TB - Expense Data'!$H$3:$N$758,3,FALSE)</f>
        <v>186</v>
      </c>
      <c r="J18" s="14">
        <f t="shared" si="3"/>
        <v>93</v>
      </c>
      <c r="K18" s="26">
        <f>VLOOKUP(H18,'TB - Expense Data'!$H$3:$N$758,7,FALSE)</f>
        <v>94.21</v>
      </c>
      <c r="L18" s="92">
        <f t="shared" si="4"/>
        <v>1.2099999999999937</v>
      </c>
      <c r="M18" s="48">
        <f t="shared" si="5"/>
        <v>1.3010752688171976E-2</v>
      </c>
      <c r="N18" s="130" t="s">
        <v>575</v>
      </c>
      <c r="O18" s="14">
        <f>VLOOKUP(N18,'TB - Expense Data'!$H$3:$N$758,3,FALSE)</f>
        <v>1206</v>
      </c>
      <c r="P18" s="14">
        <f t="shared" si="6"/>
        <v>603</v>
      </c>
      <c r="Q18" s="26">
        <f>VLOOKUP(N18,'TB - Expense Data'!$H$3:$N$758,7,FALSE)</f>
        <v>612.29</v>
      </c>
      <c r="R18" s="92">
        <f t="shared" si="7"/>
        <v>9.2899999999999636</v>
      </c>
      <c r="S18" s="48">
        <f t="shared" si="8"/>
        <v>1.5406301824212211E-2</v>
      </c>
      <c r="T18" s="130" t="s">
        <v>598</v>
      </c>
      <c r="U18" s="14">
        <f>VLOOKUP(T18,'TB - Expense Data'!$H$3:$N$758,3,FALSE)</f>
        <v>255</v>
      </c>
      <c r="V18" s="14">
        <f t="shared" si="9"/>
        <v>127.5</v>
      </c>
      <c r="W18" s="26">
        <f>VLOOKUP(T18,'TB - Expense Data'!$H$3:$N$758,7,FALSE)</f>
        <v>129.52000000000001</v>
      </c>
      <c r="X18" s="92">
        <f t="shared" si="10"/>
        <v>2.0200000000000102</v>
      </c>
      <c r="Y18" s="58">
        <f t="shared" si="11"/>
        <v>1.5843137254902041E-2</v>
      </c>
      <c r="Z18" s="130" t="s">
        <v>979</v>
      </c>
      <c r="AA18" s="14">
        <f>VLOOKUP(Z18,'TB - Expense Data'!$H$3:$N$758,3,FALSE)</f>
        <v>0</v>
      </c>
      <c r="AB18" s="14">
        <f t="shared" si="12"/>
        <v>0</v>
      </c>
      <c r="AC18" s="26">
        <f>VLOOKUP(Z18,'TB - Expense Data'!$H$3:$N$758,7,FALSE)</f>
        <v>0</v>
      </c>
      <c r="AD18" s="92">
        <f t="shared" si="13"/>
        <v>0</v>
      </c>
      <c r="AE18" s="48" t="str">
        <f t="shared" si="14"/>
        <v xml:space="preserve">-    </v>
      </c>
      <c r="AF18" s="130" t="s">
        <v>979</v>
      </c>
      <c r="AG18" s="14">
        <f>VLOOKUP(AF18,'TB - Expense Data'!$H$3:$N$758,3,FALSE)</f>
        <v>0</v>
      </c>
      <c r="AH18" s="14">
        <f t="shared" si="15"/>
        <v>0</v>
      </c>
      <c r="AI18" s="26">
        <f>VLOOKUP(AF18,'TB - Expense Data'!$H$3:$N$758,7,FALSE)</f>
        <v>0</v>
      </c>
      <c r="AJ18" s="92">
        <f t="shared" si="16"/>
        <v>0</v>
      </c>
      <c r="AK18" s="48" t="str">
        <f t="shared" si="17"/>
        <v xml:space="preserve">-    </v>
      </c>
      <c r="AL18" s="14">
        <f t="shared" si="18"/>
        <v>2320</v>
      </c>
      <c r="AM18" s="14">
        <f t="shared" si="19"/>
        <v>1160</v>
      </c>
      <c r="AN18" s="26">
        <f t="shared" si="20"/>
        <v>1177.49</v>
      </c>
      <c r="AO18" s="92">
        <f t="shared" si="21"/>
        <v>17.490000000000009</v>
      </c>
      <c r="AP18" s="48">
        <f t="shared" si="22"/>
        <v>1.5077586206896559E-2</v>
      </c>
    </row>
    <row r="19" spans="1:42" hidden="1" outlineLevel="1" x14ac:dyDescent="0.25">
      <c r="A19" s="536" t="s">
        <v>64</v>
      </c>
      <c r="B19" s="558" t="s">
        <v>537</v>
      </c>
      <c r="C19" s="538">
        <f>VLOOKUP(B19,'TB - Expense Data'!$H$3:$N$758,3,FALSE)</f>
        <v>0</v>
      </c>
      <c r="D19" s="538">
        <f t="shared" si="0"/>
        <v>0</v>
      </c>
      <c r="E19" s="538">
        <f>VLOOKUP(B19,'TB - Expense Data'!$H$3:$N$758,7,FALSE)</f>
        <v>0</v>
      </c>
      <c r="F19" s="539">
        <f t="shared" si="1"/>
        <v>0</v>
      </c>
      <c r="G19" s="540" t="str">
        <f t="shared" si="2"/>
        <v xml:space="preserve">-    </v>
      </c>
      <c r="H19" s="558" t="s">
        <v>560</v>
      </c>
      <c r="I19" s="538">
        <f>VLOOKUP(H19,'TB - Expense Data'!$H$3:$N$758,3,FALSE)</f>
        <v>0</v>
      </c>
      <c r="J19" s="538">
        <f t="shared" si="3"/>
        <v>0</v>
      </c>
      <c r="K19" s="538">
        <f>VLOOKUP(H19,'TB - Expense Data'!$H$3:$N$758,7,FALSE)</f>
        <v>0</v>
      </c>
      <c r="L19" s="539">
        <f t="shared" si="4"/>
        <v>0</v>
      </c>
      <c r="M19" s="540" t="str">
        <f t="shared" si="5"/>
        <v xml:space="preserve">-    </v>
      </c>
      <c r="N19" s="558" t="s">
        <v>583</v>
      </c>
      <c r="O19" s="538">
        <f>VLOOKUP(N19,'TB - Expense Data'!$H$3:$N$758,3,FALSE)</f>
        <v>0</v>
      </c>
      <c r="P19" s="538">
        <f t="shared" si="6"/>
        <v>0</v>
      </c>
      <c r="Q19" s="538">
        <f>VLOOKUP(N19,'TB - Expense Data'!$H$3:$N$758,7,FALSE)</f>
        <v>0</v>
      </c>
      <c r="R19" s="539">
        <f t="shared" si="7"/>
        <v>0</v>
      </c>
      <c r="S19" s="540" t="str">
        <f t="shared" si="8"/>
        <v xml:space="preserve">-    </v>
      </c>
      <c r="T19" s="558" t="s">
        <v>606</v>
      </c>
      <c r="U19" s="538">
        <f>VLOOKUP(T19,'TB - Expense Data'!$H$3:$N$758,3,FALSE)</f>
        <v>0</v>
      </c>
      <c r="V19" s="538">
        <f t="shared" si="9"/>
        <v>0</v>
      </c>
      <c r="W19" s="538">
        <f>VLOOKUP(T19,'TB - Expense Data'!$H$3:$N$758,7,FALSE)</f>
        <v>0</v>
      </c>
      <c r="X19" s="539">
        <f t="shared" si="10"/>
        <v>0</v>
      </c>
      <c r="Y19" s="559" t="str">
        <f t="shared" si="11"/>
        <v xml:space="preserve">-    </v>
      </c>
      <c r="Z19" s="558" t="s">
        <v>979</v>
      </c>
      <c r="AA19" s="538">
        <f>VLOOKUP(Z19,'TB - Expense Data'!$H$3:$N$758,3,FALSE)</f>
        <v>0</v>
      </c>
      <c r="AB19" s="538">
        <f t="shared" si="12"/>
        <v>0</v>
      </c>
      <c r="AC19" s="538">
        <f>VLOOKUP(Z19,'TB - Expense Data'!$H$3:$N$758,7,FALSE)</f>
        <v>0</v>
      </c>
      <c r="AD19" s="539">
        <f t="shared" si="13"/>
        <v>0</v>
      </c>
      <c r="AE19" s="540" t="str">
        <f t="shared" si="14"/>
        <v xml:space="preserve">-    </v>
      </c>
      <c r="AF19" s="558" t="s">
        <v>979</v>
      </c>
      <c r="AG19" s="538">
        <f>VLOOKUP(AF19,'TB - Expense Data'!$H$3:$N$758,3,FALSE)</f>
        <v>0</v>
      </c>
      <c r="AH19" s="538">
        <f t="shared" si="15"/>
        <v>0</v>
      </c>
      <c r="AI19" s="538">
        <f>VLOOKUP(AF19,'TB - Expense Data'!$H$3:$N$758,7,FALSE)</f>
        <v>0</v>
      </c>
      <c r="AJ19" s="539">
        <f t="shared" si="16"/>
        <v>0</v>
      </c>
      <c r="AK19" s="540" t="str">
        <f t="shared" si="17"/>
        <v xml:space="preserve">-    </v>
      </c>
      <c r="AL19" s="538">
        <f t="shared" si="18"/>
        <v>0</v>
      </c>
      <c r="AM19" s="538">
        <f t="shared" si="19"/>
        <v>0</v>
      </c>
      <c r="AN19" s="538">
        <f t="shared" si="20"/>
        <v>0</v>
      </c>
      <c r="AO19" s="539">
        <f t="shared" si="21"/>
        <v>0</v>
      </c>
      <c r="AP19" s="540" t="str">
        <f t="shared" si="22"/>
        <v xml:space="preserve">-    </v>
      </c>
    </row>
    <row r="20" spans="1:42" collapsed="1" x14ac:dyDescent="0.25">
      <c r="A20" s="13" t="s">
        <v>151</v>
      </c>
      <c r="B20" s="130" t="s">
        <v>519</v>
      </c>
      <c r="C20" s="14">
        <f>VLOOKUP(B20,'TB - Expense Data'!$H$3:$N$758,3,FALSE)</f>
        <v>232</v>
      </c>
      <c r="D20" s="14">
        <f t="shared" si="0"/>
        <v>116</v>
      </c>
      <c r="E20" s="26">
        <f>VLOOKUP(B20,'TB - Expense Data'!$H$3:$N$758,7,FALSE)</f>
        <v>39.74</v>
      </c>
      <c r="F20" s="92">
        <f t="shared" si="1"/>
        <v>-76.259999999999991</v>
      </c>
      <c r="G20" s="48">
        <f t="shared" si="2"/>
        <v>-0.65741379310344816</v>
      </c>
      <c r="H20" s="130" t="s">
        <v>542</v>
      </c>
      <c r="I20" s="14">
        <f>VLOOKUP(H20,'TB - Expense Data'!$H$3:$N$758,3,FALSE)</f>
        <v>64</v>
      </c>
      <c r="J20" s="14">
        <f t="shared" si="3"/>
        <v>32</v>
      </c>
      <c r="K20" s="26">
        <f>VLOOKUP(H20,'TB - Expense Data'!$H$3:$N$758,7,FALSE)</f>
        <v>10.96</v>
      </c>
      <c r="L20" s="92">
        <f t="shared" si="4"/>
        <v>-21.04</v>
      </c>
      <c r="M20" s="48">
        <f t="shared" si="5"/>
        <v>-0.65749999999999997</v>
      </c>
      <c r="N20" s="130" t="s">
        <v>565</v>
      </c>
      <c r="O20" s="14">
        <f>VLOOKUP(N20,'TB - Expense Data'!$H$3:$N$758,3,FALSE)</f>
        <v>416</v>
      </c>
      <c r="P20" s="14">
        <f t="shared" si="6"/>
        <v>208</v>
      </c>
      <c r="Q20" s="26">
        <f>VLOOKUP(N20,'TB - Expense Data'!$H$3:$N$758,7,FALSE)</f>
        <v>71.27</v>
      </c>
      <c r="R20" s="92">
        <f t="shared" si="7"/>
        <v>-136.73000000000002</v>
      </c>
      <c r="S20" s="48">
        <f t="shared" si="8"/>
        <v>-0.65735576923076933</v>
      </c>
      <c r="T20" s="130" t="s">
        <v>588</v>
      </c>
      <c r="U20" s="14">
        <f>VLOOKUP(T20,'TB - Expense Data'!$H$3:$N$758,3,FALSE)</f>
        <v>88</v>
      </c>
      <c r="V20" s="14">
        <f t="shared" si="9"/>
        <v>44</v>
      </c>
      <c r="W20" s="26">
        <f>VLOOKUP(T20,'TB - Expense Data'!$H$3:$N$758,7,FALSE)</f>
        <v>15.08</v>
      </c>
      <c r="X20" s="92">
        <f t="shared" si="10"/>
        <v>-28.92</v>
      </c>
      <c r="Y20" s="58">
        <f t="shared" si="11"/>
        <v>-0.65727272727272734</v>
      </c>
      <c r="Z20" s="130" t="s">
        <v>979</v>
      </c>
      <c r="AA20" s="14">
        <f>VLOOKUP(Z20,'TB - Expense Data'!$H$3:$N$758,3,FALSE)</f>
        <v>0</v>
      </c>
      <c r="AB20" s="14">
        <f t="shared" si="12"/>
        <v>0</v>
      </c>
      <c r="AC20" s="26">
        <f>VLOOKUP(Z20,'TB - Expense Data'!$H$3:$N$758,7,FALSE)</f>
        <v>0</v>
      </c>
      <c r="AD20" s="92">
        <f t="shared" si="13"/>
        <v>0</v>
      </c>
      <c r="AE20" s="48" t="str">
        <f t="shared" si="14"/>
        <v xml:space="preserve">-    </v>
      </c>
      <c r="AF20" s="130" t="s">
        <v>979</v>
      </c>
      <c r="AG20" s="14">
        <f>VLOOKUP(AF20,'TB - Expense Data'!$H$3:$N$758,3,FALSE)</f>
        <v>0</v>
      </c>
      <c r="AH20" s="14">
        <f t="shared" si="15"/>
        <v>0</v>
      </c>
      <c r="AI20" s="26">
        <f>VLOOKUP(AF20,'TB - Expense Data'!$H$3:$N$758,7,FALSE)</f>
        <v>0</v>
      </c>
      <c r="AJ20" s="92">
        <f t="shared" si="16"/>
        <v>0</v>
      </c>
      <c r="AK20" s="48" t="str">
        <f t="shared" si="17"/>
        <v xml:space="preserve">-    </v>
      </c>
      <c r="AL20" s="14">
        <f t="shared" si="18"/>
        <v>800</v>
      </c>
      <c r="AM20" s="14">
        <f t="shared" si="19"/>
        <v>400</v>
      </c>
      <c r="AN20" s="26">
        <f t="shared" si="20"/>
        <v>137.05000000000001</v>
      </c>
      <c r="AO20" s="92">
        <f t="shared" si="21"/>
        <v>-262.95</v>
      </c>
      <c r="AP20" s="48">
        <f t="shared" si="22"/>
        <v>-0.65737499999999993</v>
      </c>
    </row>
    <row r="21" spans="1:42" x14ac:dyDescent="0.25">
      <c r="A21" s="13" t="s">
        <v>40</v>
      </c>
      <c r="B21" s="130" t="s">
        <v>536</v>
      </c>
      <c r="C21" s="14">
        <f>VLOOKUP(B21,'TB - Expense Data'!$H$3:$N$758,3,FALSE)</f>
        <v>639</v>
      </c>
      <c r="D21" s="14">
        <f t="shared" si="0"/>
        <v>319.5</v>
      </c>
      <c r="E21" s="26">
        <f>VLOOKUP(B21,'TB - Expense Data'!$H$3:$N$758,7,FALSE)</f>
        <v>99.29</v>
      </c>
      <c r="F21" s="92">
        <f t="shared" si="1"/>
        <v>-220.20999999999998</v>
      </c>
      <c r="G21" s="48">
        <f t="shared" si="2"/>
        <v>-0.68923317683881058</v>
      </c>
      <c r="H21" s="130" t="s">
        <v>559</v>
      </c>
      <c r="I21" s="14">
        <f>VLOOKUP(H21,'TB - Expense Data'!$H$3:$N$758,3,FALSE)</f>
        <v>176</v>
      </c>
      <c r="J21" s="14">
        <f t="shared" si="3"/>
        <v>88</v>
      </c>
      <c r="K21" s="26">
        <f>VLOOKUP(H21,'TB - Expense Data'!$H$3:$N$758,7,FALSE)</f>
        <v>27.36</v>
      </c>
      <c r="L21" s="92">
        <f t="shared" si="4"/>
        <v>-60.64</v>
      </c>
      <c r="M21" s="48">
        <f t="shared" si="5"/>
        <v>-0.68909090909090909</v>
      </c>
      <c r="N21" s="130" t="s">
        <v>582</v>
      </c>
      <c r="O21" s="14">
        <f>VLOOKUP(N21,'TB - Expense Data'!$H$3:$N$758,3,FALSE)</f>
        <v>1147</v>
      </c>
      <c r="P21" s="14">
        <f t="shared" si="6"/>
        <v>573.5</v>
      </c>
      <c r="Q21" s="26">
        <f>VLOOKUP(N21,'TB - Expense Data'!$H$3:$N$758,7,FALSE)</f>
        <v>177.86</v>
      </c>
      <c r="R21" s="92">
        <f t="shared" si="7"/>
        <v>-395.64</v>
      </c>
      <c r="S21" s="48">
        <f t="shared" si="8"/>
        <v>-0.6898692240627724</v>
      </c>
      <c r="T21" s="130" t="s">
        <v>605</v>
      </c>
      <c r="U21" s="14">
        <f>VLOOKUP(T21,'TB - Expense Data'!$H$3:$N$758,3,FALSE)</f>
        <v>243</v>
      </c>
      <c r="V21" s="14">
        <f t="shared" si="9"/>
        <v>121.5</v>
      </c>
      <c r="W21" s="26">
        <f>VLOOKUP(T21,'TB - Expense Data'!$H$3:$N$758,7,FALSE)</f>
        <v>37.659999999999997</v>
      </c>
      <c r="X21" s="92">
        <f t="shared" si="10"/>
        <v>-83.84</v>
      </c>
      <c r="Y21" s="58">
        <f t="shared" si="11"/>
        <v>-0.69004115226337448</v>
      </c>
      <c r="Z21" s="130" t="s">
        <v>979</v>
      </c>
      <c r="AA21" s="14">
        <f>VLOOKUP(Z21,'TB - Expense Data'!$H$3:$N$758,3,FALSE)</f>
        <v>0</v>
      </c>
      <c r="AB21" s="14">
        <f t="shared" si="12"/>
        <v>0</v>
      </c>
      <c r="AC21" s="26">
        <f>VLOOKUP(Z21,'TB - Expense Data'!$H$3:$N$758,7,FALSE)</f>
        <v>0</v>
      </c>
      <c r="AD21" s="92">
        <f t="shared" si="13"/>
        <v>0</v>
      </c>
      <c r="AE21" s="48" t="str">
        <f t="shared" si="14"/>
        <v xml:space="preserve">-    </v>
      </c>
      <c r="AF21" s="130" t="s">
        <v>979</v>
      </c>
      <c r="AG21" s="14">
        <f>VLOOKUP(AF21,'TB - Expense Data'!$H$3:$N$758,3,FALSE)</f>
        <v>0</v>
      </c>
      <c r="AH21" s="14">
        <f t="shared" si="15"/>
        <v>0</v>
      </c>
      <c r="AI21" s="26">
        <f>VLOOKUP(AF21,'TB - Expense Data'!$H$3:$N$758,7,FALSE)</f>
        <v>0</v>
      </c>
      <c r="AJ21" s="92">
        <f t="shared" si="16"/>
        <v>0</v>
      </c>
      <c r="AK21" s="48" t="str">
        <f t="shared" si="17"/>
        <v xml:space="preserve">-    </v>
      </c>
      <c r="AL21" s="14">
        <f t="shared" si="18"/>
        <v>2205</v>
      </c>
      <c r="AM21" s="14">
        <f t="shared" si="19"/>
        <v>1102.5</v>
      </c>
      <c r="AN21" s="26">
        <f t="shared" si="20"/>
        <v>342.16999999999996</v>
      </c>
      <c r="AO21" s="92">
        <f t="shared" si="21"/>
        <v>-760.33</v>
      </c>
      <c r="AP21" s="48">
        <f t="shared" si="22"/>
        <v>-0.68964172335600915</v>
      </c>
    </row>
    <row r="22" spans="1:42" x14ac:dyDescent="0.25">
      <c r="A22" s="13" t="s">
        <v>41</v>
      </c>
      <c r="B22" s="130" t="s">
        <v>526</v>
      </c>
      <c r="C22" s="14">
        <f>VLOOKUP(B22,'TB - Expense Data'!$H$3:$N$758,3,FALSE)</f>
        <v>14</v>
      </c>
      <c r="D22" s="14">
        <f t="shared" si="0"/>
        <v>7</v>
      </c>
      <c r="E22" s="26">
        <f>VLOOKUP(B22,'TB - Expense Data'!$H$3:$N$758,7,FALSE)</f>
        <v>2.52</v>
      </c>
      <c r="F22" s="92">
        <f t="shared" si="1"/>
        <v>-4.4800000000000004</v>
      </c>
      <c r="G22" s="48">
        <f t="shared" si="2"/>
        <v>-0.64</v>
      </c>
      <c r="H22" s="130" t="s">
        <v>549</v>
      </c>
      <c r="I22" s="14">
        <f>VLOOKUP(H22,'TB - Expense Data'!$H$3:$N$758,3,FALSE)</f>
        <v>4</v>
      </c>
      <c r="J22" s="14">
        <f t="shared" si="3"/>
        <v>2</v>
      </c>
      <c r="K22" s="26">
        <f>VLOOKUP(H22,'TB - Expense Data'!$H$3:$N$758,7,FALSE)</f>
        <v>0.56000000000000005</v>
      </c>
      <c r="L22" s="92">
        <f t="shared" si="4"/>
        <v>-1.44</v>
      </c>
      <c r="M22" s="48">
        <f t="shared" si="5"/>
        <v>-0.72</v>
      </c>
      <c r="N22" s="130" t="s">
        <v>572</v>
      </c>
      <c r="O22" s="14">
        <f>VLOOKUP(N22,'TB - Expense Data'!$H$3:$N$758,3,FALSE)</f>
        <v>25</v>
      </c>
      <c r="P22" s="14">
        <f t="shared" si="6"/>
        <v>12.5</v>
      </c>
      <c r="Q22" s="26">
        <f>VLOOKUP(N22,'TB - Expense Data'!$H$3:$N$758,7,FALSE)</f>
        <v>4.4800000000000004</v>
      </c>
      <c r="R22" s="92">
        <f t="shared" si="7"/>
        <v>-8.02</v>
      </c>
      <c r="S22" s="48">
        <f t="shared" si="8"/>
        <v>-0.64159999999999995</v>
      </c>
      <c r="T22" s="130" t="s">
        <v>595</v>
      </c>
      <c r="U22" s="14">
        <f>VLOOKUP(T22,'TB - Expense Data'!$H$3:$N$758,3,FALSE)</f>
        <v>5.39</v>
      </c>
      <c r="V22" s="14">
        <f t="shared" si="9"/>
        <v>2.6949999999999998</v>
      </c>
      <c r="W22" s="26">
        <f>VLOOKUP(T22,'TB - Expense Data'!$H$3:$N$758,7,FALSE)</f>
        <v>0.88</v>
      </c>
      <c r="X22" s="92">
        <f t="shared" si="10"/>
        <v>-1.8149999999999999</v>
      </c>
      <c r="Y22" s="58">
        <f t="shared" si="11"/>
        <v>-0.67346938775510201</v>
      </c>
      <c r="Z22" s="130" t="s">
        <v>979</v>
      </c>
      <c r="AA22" s="14">
        <f>VLOOKUP(Z22,'TB - Expense Data'!$H$3:$N$758,3,FALSE)</f>
        <v>0</v>
      </c>
      <c r="AB22" s="14">
        <f t="shared" si="12"/>
        <v>0</v>
      </c>
      <c r="AC22" s="26">
        <f>VLOOKUP(Z22,'TB - Expense Data'!$H$3:$N$758,7,FALSE)</f>
        <v>0</v>
      </c>
      <c r="AD22" s="92">
        <f t="shared" si="13"/>
        <v>0</v>
      </c>
      <c r="AE22" s="48" t="str">
        <f t="shared" si="14"/>
        <v xml:space="preserve">-    </v>
      </c>
      <c r="AF22" s="130" t="s">
        <v>979</v>
      </c>
      <c r="AG22" s="14">
        <f>VLOOKUP(AF22,'TB - Expense Data'!$H$3:$N$758,3,FALSE)</f>
        <v>0</v>
      </c>
      <c r="AH22" s="14">
        <f t="shared" si="15"/>
        <v>0</v>
      </c>
      <c r="AI22" s="26">
        <f>VLOOKUP(AF22,'TB - Expense Data'!$H$3:$N$758,7,FALSE)</f>
        <v>0</v>
      </c>
      <c r="AJ22" s="92">
        <f t="shared" si="16"/>
        <v>0</v>
      </c>
      <c r="AK22" s="48" t="str">
        <f t="shared" si="17"/>
        <v xml:space="preserve">-    </v>
      </c>
      <c r="AL22" s="14">
        <f t="shared" si="18"/>
        <v>48.39</v>
      </c>
      <c r="AM22" s="14">
        <f t="shared" si="19"/>
        <v>24.195</v>
      </c>
      <c r="AN22" s="26">
        <f t="shared" si="20"/>
        <v>8.4400000000000013</v>
      </c>
      <c r="AO22" s="92">
        <f t="shared" si="21"/>
        <v>-15.754999999999999</v>
      </c>
      <c r="AP22" s="48">
        <f t="shared" si="22"/>
        <v>-0.65116759661086998</v>
      </c>
    </row>
    <row r="23" spans="1:42" x14ac:dyDescent="0.25">
      <c r="A23" s="13" t="s">
        <v>42</v>
      </c>
      <c r="B23" s="130" t="s">
        <v>523</v>
      </c>
      <c r="C23" s="14">
        <f>VLOOKUP(B23,'TB - Expense Data'!$H$3:$N$758,3,FALSE)</f>
        <v>548</v>
      </c>
      <c r="D23" s="14">
        <f t="shared" si="0"/>
        <v>274</v>
      </c>
      <c r="E23" s="26">
        <f>VLOOKUP(B23,'TB - Expense Data'!$H$3:$N$758,7,FALSE)</f>
        <v>251.9</v>
      </c>
      <c r="F23" s="92">
        <f t="shared" si="1"/>
        <v>-22.099999999999994</v>
      </c>
      <c r="G23" s="48">
        <f t="shared" si="2"/>
        <v>-8.0656934306569325E-2</v>
      </c>
      <c r="H23" s="130" t="s">
        <v>546</v>
      </c>
      <c r="I23" s="14">
        <f>VLOOKUP(H23,'TB - Expense Data'!$H$3:$N$758,3,FALSE)</f>
        <v>151</v>
      </c>
      <c r="J23" s="14">
        <f t="shared" si="3"/>
        <v>75.5</v>
      </c>
      <c r="K23" s="26">
        <f>VLOOKUP(H23,'TB - Expense Data'!$H$3:$N$758,7,FALSE)</f>
        <v>69.489999999999995</v>
      </c>
      <c r="L23" s="92">
        <f t="shared" si="4"/>
        <v>-6.0100000000000051</v>
      </c>
      <c r="M23" s="48">
        <f t="shared" si="5"/>
        <v>-7.9602649006622589E-2</v>
      </c>
      <c r="N23" s="130" t="s">
        <v>569</v>
      </c>
      <c r="O23" s="14">
        <f>VLOOKUP(N23,'TB - Expense Data'!$H$3:$N$758,3,FALSE)</f>
        <v>983</v>
      </c>
      <c r="P23" s="14">
        <f t="shared" si="6"/>
        <v>491.5</v>
      </c>
      <c r="Q23" s="26">
        <f>VLOOKUP(N23,'TB - Expense Data'!$H$3:$N$758,7,FALSE)</f>
        <v>451.7</v>
      </c>
      <c r="R23" s="92">
        <f t="shared" si="7"/>
        <v>-39.800000000000011</v>
      </c>
      <c r="S23" s="48">
        <f t="shared" si="8"/>
        <v>-8.0976602238046813E-2</v>
      </c>
      <c r="T23" s="130" t="s">
        <v>592</v>
      </c>
      <c r="U23" s="14">
        <f>VLOOKUP(T23,'TB - Expense Data'!$H$3:$N$758,3,FALSE)</f>
        <v>208</v>
      </c>
      <c r="V23" s="14">
        <f t="shared" si="9"/>
        <v>104</v>
      </c>
      <c r="W23" s="26">
        <f>VLOOKUP(T23,'TB - Expense Data'!$H$3:$N$758,7,FALSE)</f>
        <v>95.56</v>
      </c>
      <c r="X23" s="92">
        <f t="shared" si="10"/>
        <v>-8.4399999999999977</v>
      </c>
      <c r="Y23" s="58">
        <f t="shared" si="11"/>
        <v>-8.1153846153846132E-2</v>
      </c>
      <c r="Z23" s="130" t="s">
        <v>979</v>
      </c>
      <c r="AA23" s="14">
        <f>VLOOKUP(Z23,'TB - Expense Data'!$H$3:$N$758,3,FALSE)</f>
        <v>0</v>
      </c>
      <c r="AB23" s="14">
        <f t="shared" si="12"/>
        <v>0</v>
      </c>
      <c r="AC23" s="26">
        <f>VLOOKUP(Z23,'TB - Expense Data'!$H$3:$N$758,7,FALSE)</f>
        <v>0</v>
      </c>
      <c r="AD23" s="92">
        <f t="shared" si="13"/>
        <v>0</v>
      </c>
      <c r="AE23" s="48" t="str">
        <f t="shared" si="14"/>
        <v xml:space="preserve">-    </v>
      </c>
      <c r="AF23" s="130" t="s">
        <v>979</v>
      </c>
      <c r="AG23" s="14">
        <f>VLOOKUP(AF23,'TB - Expense Data'!$H$3:$N$758,3,FALSE)</f>
        <v>0</v>
      </c>
      <c r="AH23" s="14">
        <f t="shared" si="15"/>
        <v>0</v>
      </c>
      <c r="AI23" s="26">
        <f>VLOOKUP(AF23,'TB - Expense Data'!$H$3:$N$758,7,FALSE)</f>
        <v>0</v>
      </c>
      <c r="AJ23" s="92">
        <f t="shared" si="16"/>
        <v>0</v>
      </c>
      <c r="AK23" s="48" t="str">
        <f t="shared" si="17"/>
        <v xml:space="preserve">-    </v>
      </c>
      <c r="AL23" s="14">
        <f t="shared" si="18"/>
        <v>1890</v>
      </c>
      <c r="AM23" s="14">
        <f t="shared" si="19"/>
        <v>945</v>
      </c>
      <c r="AN23" s="26">
        <f t="shared" si="20"/>
        <v>868.64999999999986</v>
      </c>
      <c r="AO23" s="92">
        <f t="shared" si="21"/>
        <v>-76.350000000000136</v>
      </c>
      <c r="AP23" s="48">
        <f t="shared" si="22"/>
        <v>-8.0793650793650931E-2</v>
      </c>
    </row>
    <row r="24" spans="1:42" x14ac:dyDescent="0.25">
      <c r="A24" s="498" t="s">
        <v>3441</v>
      </c>
      <c r="B24" s="504" t="s">
        <v>520</v>
      </c>
      <c r="C24" s="14">
        <f>VLOOKUP(B24,'TB - Expense Data'!$H$3:$N$758,3,FALSE)</f>
        <v>15969</v>
      </c>
      <c r="D24" s="14">
        <f t="shared" si="0"/>
        <v>7984.5</v>
      </c>
      <c r="E24" s="26">
        <f>VLOOKUP(B24,'TB - Expense Data'!$H$3:$N$758,7,FALSE)</f>
        <v>5327.09</v>
      </c>
      <c r="F24" s="92">
        <f t="shared" si="1"/>
        <v>-2657.41</v>
      </c>
      <c r="G24" s="48">
        <f t="shared" si="2"/>
        <v>-0.33282109086354811</v>
      </c>
      <c r="H24" s="504" t="s">
        <v>543</v>
      </c>
      <c r="I24" s="14">
        <f>VLOOKUP(H24,'TB - Expense Data'!$H$3:$N$758,3,FALSE)</f>
        <v>4405</v>
      </c>
      <c r="J24" s="14">
        <f t="shared" si="3"/>
        <v>2202.5</v>
      </c>
      <c r="K24" s="26">
        <f>VLOOKUP(H24,'TB - Expense Data'!$H$3:$N$758,7,FALSE)</f>
        <v>1444.82</v>
      </c>
      <c r="L24" s="92">
        <f t="shared" si="4"/>
        <v>-757.68000000000006</v>
      </c>
      <c r="M24" s="48">
        <f t="shared" si="5"/>
        <v>-0.34400908059023838</v>
      </c>
      <c r="N24" s="504" t="s">
        <v>566</v>
      </c>
      <c r="O24" s="14">
        <f>VLOOKUP(N24,'TB - Expense Data'!$H$3:$N$758,3,FALSE)</f>
        <v>28633</v>
      </c>
      <c r="P24" s="14">
        <f t="shared" si="6"/>
        <v>14316.5</v>
      </c>
      <c r="Q24" s="26">
        <f>VLOOKUP(N24,'TB - Expense Data'!$H$3:$N$758,7,FALSE)</f>
        <v>9511.26</v>
      </c>
      <c r="R24" s="92">
        <f t="shared" si="7"/>
        <v>-4805.24</v>
      </c>
      <c r="S24" s="48">
        <f t="shared" si="8"/>
        <v>-0.33564348828275065</v>
      </c>
      <c r="T24" s="504" t="s">
        <v>589</v>
      </c>
      <c r="U24" s="14">
        <f>VLOOKUP(T24,'TB - Expense Data'!$H$3:$N$758,3,FALSE)</f>
        <v>6057</v>
      </c>
      <c r="V24" s="14">
        <f t="shared" si="9"/>
        <v>3028.5</v>
      </c>
      <c r="W24" s="26">
        <f>VLOOKUP(T24,'TB - Expense Data'!$H$3:$N$758,7,FALSE)</f>
        <v>1976.77</v>
      </c>
      <c r="X24" s="92">
        <f t="shared" si="10"/>
        <v>-1051.73</v>
      </c>
      <c r="Y24" s="58">
        <f t="shared" si="11"/>
        <v>-0.34727753013042761</v>
      </c>
      <c r="Z24" s="130" t="s">
        <v>979</v>
      </c>
      <c r="AA24" s="14">
        <f>VLOOKUP(Z24,'TB - Expense Data'!$H$3:$N$758,3,FALSE)</f>
        <v>0</v>
      </c>
      <c r="AB24" s="14">
        <f t="shared" si="12"/>
        <v>0</v>
      </c>
      <c r="AC24" s="26">
        <f>VLOOKUP(Z24,'TB - Expense Data'!$H$3:$N$758,7,FALSE)</f>
        <v>0</v>
      </c>
      <c r="AD24" s="92">
        <f t="shared" si="13"/>
        <v>0</v>
      </c>
      <c r="AE24" s="48" t="str">
        <f t="shared" si="14"/>
        <v xml:space="preserve">-    </v>
      </c>
      <c r="AF24" s="130" t="s">
        <v>979</v>
      </c>
      <c r="AG24" s="14">
        <f>VLOOKUP(AF24,'TB - Expense Data'!$H$3:$N$758,3,FALSE)</f>
        <v>0</v>
      </c>
      <c r="AH24" s="14">
        <f t="shared" si="15"/>
        <v>0</v>
      </c>
      <c r="AI24" s="26">
        <f>VLOOKUP(AF24,'TB - Expense Data'!$H$3:$N$758,7,FALSE)</f>
        <v>0</v>
      </c>
      <c r="AJ24" s="92">
        <f t="shared" si="16"/>
        <v>0</v>
      </c>
      <c r="AK24" s="48" t="str">
        <f t="shared" si="17"/>
        <v xml:space="preserve">-    </v>
      </c>
      <c r="AL24" s="14">
        <f t="shared" si="18"/>
        <v>55064</v>
      </c>
      <c r="AM24" s="14">
        <f t="shared" si="19"/>
        <v>27532</v>
      </c>
      <c r="AN24" s="26">
        <f t="shared" si="20"/>
        <v>18259.939999999999</v>
      </c>
      <c r="AO24" s="92">
        <f t="shared" si="21"/>
        <v>-9272.0600000000013</v>
      </c>
      <c r="AP24" s="48">
        <f t="shared" si="22"/>
        <v>-0.33677393578381526</v>
      </c>
    </row>
    <row r="25" spans="1:42" x14ac:dyDescent="0.25">
      <c r="A25" s="498" t="s">
        <v>3442</v>
      </c>
      <c r="B25" s="504" t="s">
        <v>521</v>
      </c>
      <c r="C25" s="14">
        <f>VLOOKUP(B25,'TB - Expense Data'!$H$3:$N$758,3,FALSE)</f>
        <v>13192</v>
      </c>
      <c r="D25" s="14">
        <f t="shared" si="0"/>
        <v>6596</v>
      </c>
      <c r="E25" s="26">
        <f>VLOOKUP(B25,'TB - Expense Data'!$H$3:$N$758,7,FALSE)</f>
        <v>4419.8</v>
      </c>
      <c r="F25" s="92">
        <f t="shared" si="1"/>
        <v>-2176.1999999999998</v>
      </c>
      <c r="G25" s="48">
        <f t="shared" si="2"/>
        <v>-0.32992722862340812</v>
      </c>
      <c r="H25" s="504" t="s">
        <v>544</v>
      </c>
      <c r="I25" s="14">
        <f>VLOOKUP(H25,'TB - Expense Data'!$H$3:$N$758,3,FALSE)</f>
        <v>3639</v>
      </c>
      <c r="J25" s="14">
        <f t="shared" si="3"/>
        <v>1819.5</v>
      </c>
      <c r="K25" s="26">
        <f>VLOOKUP(H25,'TB - Expense Data'!$H$3:$N$758,7,FALSE)</f>
        <v>1198.6400000000001</v>
      </c>
      <c r="L25" s="92">
        <f t="shared" si="4"/>
        <v>-620.8599999999999</v>
      </c>
      <c r="M25" s="48">
        <f t="shared" si="5"/>
        <v>-0.34122561143171193</v>
      </c>
      <c r="N25" s="504" t="s">
        <v>567</v>
      </c>
      <c r="O25" s="14">
        <f>VLOOKUP(N25,'TB - Expense Data'!$H$3:$N$758,3,FALSE)</f>
        <v>23654</v>
      </c>
      <c r="P25" s="14">
        <f t="shared" si="6"/>
        <v>11827</v>
      </c>
      <c r="Q25" s="26">
        <f>VLOOKUP(N25,'TB - Expense Data'!$H$3:$N$758,7,FALSE)</f>
        <v>7890.99</v>
      </c>
      <c r="R25" s="92">
        <f t="shared" si="7"/>
        <v>-3936.01</v>
      </c>
      <c r="S25" s="48">
        <f t="shared" si="8"/>
        <v>-0.33279868098418874</v>
      </c>
      <c r="T25" s="504" t="s">
        <v>590</v>
      </c>
      <c r="U25" s="14">
        <f>VLOOKUP(T25,'TB - Expense Data'!$H$3:$N$758,3,FALSE)</f>
        <v>5004</v>
      </c>
      <c r="V25" s="14">
        <f t="shared" si="9"/>
        <v>2502</v>
      </c>
      <c r="W25" s="26">
        <f>VLOOKUP(T25,'TB - Expense Data'!$H$3:$N$758,7,FALSE)</f>
        <v>1640.12</v>
      </c>
      <c r="X25" s="92">
        <f t="shared" si="10"/>
        <v>-861.88000000000011</v>
      </c>
      <c r="Y25" s="58">
        <f t="shared" si="11"/>
        <v>-0.3444764188649081</v>
      </c>
      <c r="Z25" s="130" t="s">
        <v>979</v>
      </c>
      <c r="AA25" s="14">
        <f>VLOOKUP(Z25,'TB - Expense Data'!$H$3:$N$758,3,FALSE)</f>
        <v>0</v>
      </c>
      <c r="AB25" s="14">
        <f t="shared" si="12"/>
        <v>0</v>
      </c>
      <c r="AC25" s="26">
        <f>VLOOKUP(Z25,'TB - Expense Data'!$H$3:$N$758,7,FALSE)</f>
        <v>0</v>
      </c>
      <c r="AD25" s="92">
        <f t="shared" si="13"/>
        <v>0</v>
      </c>
      <c r="AE25" s="48" t="str">
        <f t="shared" si="14"/>
        <v xml:space="preserve">-    </v>
      </c>
      <c r="AF25" s="130" t="s">
        <v>979</v>
      </c>
      <c r="AG25" s="14">
        <f>VLOOKUP(AF25,'TB - Expense Data'!$H$3:$N$758,3,FALSE)</f>
        <v>0</v>
      </c>
      <c r="AH25" s="14">
        <f t="shared" si="15"/>
        <v>0</v>
      </c>
      <c r="AI25" s="26">
        <f>VLOOKUP(AF25,'TB - Expense Data'!$H$3:$N$758,7,FALSE)</f>
        <v>0</v>
      </c>
      <c r="AJ25" s="92">
        <f t="shared" si="16"/>
        <v>0</v>
      </c>
      <c r="AK25" s="48" t="str">
        <f t="shared" si="17"/>
        <v xml:space="preserve">-    </v>
      </c>
      <c r="AL25" s="14">
        <f t="shared" si="18"/>
        <v>45489</v>
      </c>
      <c r="AM25" s="14">
        <f t="shared" si="19"/>
        <v>22744.5</v>
      </c>
      <c r="AN25" s="26">
        <f t="shared" si="20"/>
        <v>15149.55</v>
      </c>
      <c r="AO25" s="92">
        <f t="shared" si="21"/>
        <v>-7594.9500000000007</v>
      </c>
      <c r="AP25" s="48">
        <f t="shared" si="22"/>
        <v>-0.33392468508870282</v>
      </c>
    </row>
    <row r="26" spans="1:42" s="505" customFormat="1" x14ac:dyDescent="0.25">
      <c r="A26" s="498" t="s">
        <v>2254</v>
      </c>
      <c r="B26" s="499" t="s">
        <v>2323</v>
      </c>
      <c r="C26" s="14">
        <f>VLOOKUP(B26,'TB - Expense Data'!$H$3:$N$758,3,FALSE)</f>
        <v>0</v>
      </c>
      <c r="D26" s="14">
        <f t="shared" si="0"/>
        <v>0</v>
      </c>
      <c r="E26" s="26">
        <f>VLOOKUP(B26,'TB - Expense Data'!$H$3:$N$758,7,FALSE)</f>
        <v>344.08</v>
      </c>
      <c r="F26" s="92">
        <f t="shared" si="1"/>
        <v>344.08</v>
      </c>
      <c r="G26" s="48">
        <v>1</v>
      </c>
      <c r="H26" s="499" t="s">
        <v>2514</v>
      </c>
      <c r="I26" s="14">
        <f>VLOOKUP(H26,'TB - Expense Data'!$H$3:$N$758,3,FALSE)</f>
        <v>0</v>
      </c>
      <c r="J26" s="14">
        <f t="shared" si="3"/>
        <v>0</v>
      </c>
      <c r="K26" s="26">
        <f>VLOOKUP(H26,'TB - Expense Data'!$H$3:$N$758,7,FALSE)</f>
        <v>94.97</v>
      </c>
      <c r="L26" s="92">
        <f t="shared" si="4"/>
        <v>94.97</v>
      </c>
      <c r="M26" s="48">
        <v>1</v>
      </c>
      <c r="N26" s="499" t="s">
        <v>2773</v>
      </c>
      <c r="O26" s="14">
        <f>VLOOKUP(N26,'TB - Expense Data'!$H$3:$N$758,3,FALSE)</f>
        <v>0</v>
      </c>
      <c r="P26" s="14">
        <f t="shared" si="6"/>
        <v>0</v>
      </c>
      <c r="Q26" s="26">
        <f>VLOOKUP(N26,'TB - Expense Data'!$H$3:$N$758,7,FALSE)</f>
        <v>617</v>
      </c>
      <c r="R26" s="92">
        <f t="shared" si="7"/>
        <v>617</v>
      </c>
      <c r="S26" s="48">
        <v>1</v>
      </c>
      <c r="T26" s="499" t="s">
        <v>2980</v>
      </c>
      <c r="U26" s="14">
        <f>VLOOKUP(T26,'TB - Expense Data'!$H$3:$N$758,3,FALSE)</f>
        <v>0</v>
      </c>
      <c r="V26" s="14">
        <f t="shared" si="9"/>
        <v>0</v>
      </c>
      <c r="W26" s="26">
        <f>VLOOKUP(T26,'TB - Expense Data'!$H$3:$N$758,7,FALSE)</f>
        <v>130.49</v>
      </c>
      <c r="X26" s="92">
        <f t="shared" si="10"/>
        <v>130.49</v>
      </c>
      <c r="Y26" s="58">
        <v>1</v>
      </c>
      <c r="Z26" s="131" t="s">
        <v>979</v>
      </c>
      <c r="AA26" s="14">
        <f>VLOOKUP(Z26,'TB - Expense Data'!$H$3:$N$758,3,FALSE)</f>
        <v>0</v>
      </c>
      <c r="AB26" s="14">
        <f t="shared" si="12"/>
        <v>0</v>
      </c>
      <c r="AC26" s="26">
        <f>VLOOKUP(Z26,'TB - Expense Data'!$H$3:$N$758,7,FALSE)</f>
        <v>0</v>
      </c>
      <c r="AD26" s="92">
        <f t="shared" si="13"/>
        <v>0</v>
      </c>
      <c r="AE26" s="48" t="str">
        <f t="shared" si="14"/>
        <v xml:space="preserve">-    </v>
      </c>
      <c r="AF26" s="131" t="s">
        <v>979</v>
      </c>
      <c r="AG26" s="14">
        <f>VLOOKUP(AF26,'TB - Expense Data'!$H$3:$N$758,3,FALSE)</f>
        <v>0</v>
      </c>
      <c r="AH26" s="14">
        <f t="shared" si="15"/>
        <v>0</v>
      </c>
      <c r="AI26" s="26">
        <f>VLOOKUP(AF26,'TB - Expense Data'!$H$3:$N$758,7,FALSE)</f>
        <v>0</v>
      </c>
      <c r="AJ26" s="92">
        <f t="shared" si="16"/>
        <v>0</v>
      </c>
      <c r="AK26" s="48" t="str">
        <f t="shared" si="17"/>
        <v xml:space="preserve">-    </v>
      </c>
      <c r="AL26" s="14">
        <f t="shared" si="18"/>
        <v>0</v>
      </c>
      <c r="AM26" s="14">
        <f t="shared" si="19"/>
        <v>0</v>
      </c>
      <c r="AN26" s="26">
        <f t="shared" si="20"/>
        <v>1186.54</v>
      </c>
      <c r="AO26" s="92">
        <f t="shared" si="21"/>
        <v>1186.54</v>
      </c>
      <c r="AP26" s="48">
        <v>1</v>
      </c>
    </row>
    <row r="27" spans="1:42" s="505" customFormat="1" x14ac:dyDescent="0.25">
      <c r="A27" s="498" t="s">
        <v>2256</v>
      </c>
      <c r="B27" s="499" t="s">
        <v>2324</v>
      </c>
      <c r="C27" s="14">
        <f>VLOOKUP(B27,'TB - Expense Data'!$H$3:$N$758,3,FALSE)</f>
        <v>0</v>
      </c>
      <c r="D27" s="14">
        <f t="shared" si="0"/>
        <v>0</v>
      </c>
      <c r="E27" s="26">
        <f>VLOOKUP(B27,'TB - Expense Data'!$H$3:$N$758,7,FALSE)</f>
        <v>438.08</v>
      </c>
      <c r="F27" s="92">
        <f t="shared" si="1"/>
        <v>438.08</v>
      </c>
      <c r="G27" s="48">
        <v>1</v>
      </c>
      <c r="H27" s="499" t="s">
        <v>2515</v>
      </c>
      <c r="I27" s="14">
        <f>VLOOKUP(H27,'TB - Expense Data'!$H$3:$N$758,3,FALSE)</f>
        <v>0</v>
      </c>
      <c r="J27" s="14">
        <f t="shared" si="3"/>
        <v>0</v>
      </c>
      <c r="K27" s="26">
        <f>VLOOKUP(H27,'TB - Expense Data'!$H$3:$N$758,7,FALSE)</f>
        <v>120.8</v>
      </c>
      <c r="L27" s="92">
        <f t="shared" si="4"/>
        <v>120.8</v>
      </c>
      <c r="M27" s="48">
        <v>1</v>
      </c>
      <c r="N27" s="499" t="s">
        <v>2774</v>
      </c>
      <c r="O27" s="14">
        <f>VLOOKUP(N27,'TB - Expense Data'!$H$3:$N$758,3,FALSE)</f>
        <v>0</v>
      </c>
      <c r="P27" s="14">
        <f t="shared" si="6"/>
        <v>0</v>
      </c>
      <c r="Q27" s="26">
        <f>VLOOKUP(N27,'TB - Expense Data'!$H$3:$N$758,7,FALSE)</f>
        <v>785.25</v>
      </c>
      <c r="R27" s="92">
        <f t="shared" si="7"/>
        <v>785.25</v>
      </c>
      <c r="S27" s="48">
        <v>1</v>
      </c>
      <c r="T27" s="499" t="s">
        <v>2981</v>
      </c>
      <c r="U27" s="14">
        <f>VLOOKUP(T27,'TB - Expense Data'!$H$3:$N$758,3,FALSE)</f>
        <v>0</v>
      </c>
      <c r="V27" s="14">
        <f t="shared" si="9"/>
        <v>0</v>
      </c>
      <c r="W27" s="26">
        <f>VLOOKUP(T27,'TB - Expense Data'!$H$3:$N$758,7,FALSE)</f>
        <v>166.08</v>
      </c>
      <c r="X27" s="92">
        <f t="shared" si="10"/>
        <v>166.08</v>
      </c>
      <c r="Y27" s="58">
        <v>1</v>
      </c>
      <c r="Z27" s="131" t="s">
        <v>979</v>
      </c>
      <c r="AA27" s="14">
        <f>VLOOKUP(Z27,'TB - Expense Data'!$H$3:$N$758,3,FALSE)</f>
        <v>0</v>
      </c>
      <c r="AB27" s="14">
        <f t="shared" si="12"/>
        <v>0</v>
      </c>
      <c r="AC27" s="26">
        <f>VLOOKUP(Z27,'TB - Expense Data'!$H$3:$N$758,7,FALSE)</f>
        <v>0</v>
      </c>
      <c r="AD27" s="92">
        <f t="shared" si="13"/>
        <v>0</v>
      </c>
      <c r="AE27" s="48" t="str">
        <f t="shared" si="14"/>
        <v xml:space="preserve">-    </v>
      </c>
      <c r="AF27" s="131" t="s">
        <v>979</v>
      </c>
      <c r="AG27" s="14">
        <f>VLOOKUP(AF27,'TB - Expense Data'!$H$3:$N$758,3,FALSE)</f>
        <v>0</v>
      </c>
      <c r="AH27" s="14">
        <f t="shared" si="15"/>
        <v>0</v>
      </c>
      <c r="AI27" s="26">
        <f>VLOOKUP(AF27,'TB - Expense Data'!$H$3:$N$758,7,FALSE)</f>
        <v>0</v>
      </c>
      <c r="AJ27" s="92">
        <f t="shared" si="16"/>
        <v>0</v>
      </c>
      <c r="AK27" s="48" t="str">
        <f t="shared" si="17"/>
        <v xml:space="preserve">-    </v>
      </c>
      <c r="AL27" s="14">
        <f t="shared" si="18"/>
        <v>0</v>
      </c>
      <c r="AM27" s="14">
        <f t="shared" si="19"/>
        <v>0</v>
      </c>
      <c r="AN27" s="26">
        <f t="shared" si="20"/>
        <v>1510.21</v>
      </c>
      <c r="AO27" s="92">
        <f t="shared" si="21"/>
        <v>1510.21</v>
      </c>
      <c r="AP27" s="48">
        <v>1</v>
      </c>
    </row>
    <row r="28" spans="1:42" x14ac:dyDescent="0.25">
      <c r="A28" s="13" t="s">
        <v>183</v>
      </c>
      <c r="B28" s="130" t="s">
        <v>533</v>
      </c>
      <c r="C28" s="14">
        <f>VLOOKUP(B28,'TB - Expense Data'!$H$3:$N$758,3,FALSE)</f>
        <v>7859</v>
      </c>
      <c r="D28" s="14">
        <f t="shared" si="0"/>
        <v>3929.5</v>
      </c>
      <c r="E28" s="26">
        <f>VLOOKUP(B28,'TB - Expense Data'!$H$3:$N$758,7,FALSE)</f>
        <v>0</v>
      </c>
      <c r="F28" s="92">
        <f t="shared" si="1"/>
        <v>-3929.5</v>
      </c>
      <c r="G28" s="48">
        <f t="shared" si="2"/>
        <v>-1</v>
      </c>
      <c r="H28" s="130" t="s">
        <v>556</v>
      </c>
      <c r="I28" s="14">
        <f>VLOOKUP(H28,'TB - Expense Data'!$H$3:$N$758,3,FALSE)</f>
        <v>2168</v>
      </c>
      <c r="J28" s="14">
        <f t="shared" si="3"/>
        <v>1084</v>
      </c>
      <c r="K28" s="26">
        <f>VLOOKUP(H28,'TB - Expense Data'!$H$3:$N$758,7,FALSE)</f>
        <v>0</v>
      </c>
      <c r="L28" s="92">
        <f t="shared" si="4"/>
        <v>-1084</v>
      </c>
      <c r="M28" s="48">
        <f t="shared" si="5"/>
        <v>-1</v>
      </c>
      <c r="N28" s="130" t="s">
        <v>579</v>
      </c>
      <c r="O28" s="14">
        <f>VLOOKUP(N28,'TB - Expense Data'!$H$3:$N$758,3,FALSE)</f>
        <v>14092</v>
      </c>
      <c r="P28" s="14">
        <f t="shared" si="6"/>
        <v>7046</v>
      </c>
      <c r="Q28" s="26">
        <f>VLOOKUP(N28,'TB - Expense Data'!$H$3:$N$758,7,FALSE)</f>
        <v>0</v>
      </c>
      <c r="R28" s="92">
        <f t="shared" si="7"/>
        <v>-7046</v>
      </c>
      <c r="S28" s="48">
        <f t="shared" si="8"/>
        <v>-1</v>
      </c>
      <c r="T28" s="130" t="s">
        <v>602</v>
      </c>
      <c r="U28" s="14">
        <f>VLOOKUP(T28,'TB - Expense Data'!$H$3:$N$758,3,FALSE)</f>
        <v>2981</v>
      </c>
      <c r="V28" s="14">
        <f t="shared" si="9"/>
        <v>1490.5</v>
      </c>
      <c r="W28" s="26">
        <f>VLOOKUP(T28,'TB - Expense Data'!$H$3:$N$758,7,FALSE)</f>
        <v>0</v>
      </c>
      <c r="X28" s="92">
        <f t="shared" si="10"/>
        <v>-1490.5</v>
      </c>
      <c r="Y28" s="58">
        <f t="shared" si="11"/>
        <v>-1</v>
      </c>
      <c r="Z28" s="130" t="s">
        <v>979</v>
      </c>
      <c r="AA28" s="14">
        <f>VLOOKUP(Z28,'TB - Expense Data'!$H$3:$N$758,3,FALSE)</f>
        <v>0</v>
      </c>
      <c r="AB28" s="14">
        <f t="shared" si="12"/>
        <v>0</v>
      </c>
      <c r="AC28" s="26">
        <f>VLOOKUP(Z28,'TB - Expense Data'!$H$3:$N$758,7,FALSE)</f>
        <v>0</v>
      </c>
      <c r="AD28" s="92">
        <f t="shared" si="13"/>
        <v>0</v>
      </c>
      <c r="AE28" s="48" t="str">
        <f t="shared" si="14"/>
        <v xml:space="preserve">-    </v>
      </c>
      <c r="AF28" s="130" t="s">
        <v>979</v>
      </c>
      <c r="AG28" s="14">
        <f>VLOOKUP(AF28,'TB - Expense Data'!$H$3:$N$758,3,FALSE)</f>
        <v>0</v>
      </c>
      <c r="AH28" s="14">
        <f t="shared" si="15"/>
        <v>0</v>
      </c>
      <c r="AI28" s="26">
        <f>VLOOKUP(AF28,'TB - Expense Data'!$H$3:$N$758,7,FALSE)</f>
        <v>0</v>
      </c>
      <c r="AJ28" s="92">
        <f t="shared" si="16"/>
        <v>0</v>
      </c>
      <c r="AK28" s="48" t="str">
        <f t="shared" si="17"/>
        <v xml:space="preserve">-    </v>
      </c>
      <c r="AL28" s="14">
        <f t="shared" si="18"/>
        <v>27100</v>
      </c>
      <c r="AM28" s="14">
        <f t="shared" si="19"/>
        <v>13550</v>
      </c>
      <c r="AN28" s="26">
        <f t="shared" si="20"/>
        <v>0</v>
      </c>
      <c r="AO28" s="92">
        <f t="shared" si="21"/>
        <v>-13550</v>
      </c>
      <c r="AP28" s="48">
        <f t="shared" si="22"/>
        <v>-1</v>
      </c>
    </row>
    <row r="29" spans="1:42" x14ac:dyDescent="0.25">
      <c r="A29" s="13"/>
      <c r="B29" s="13"/>
      <c r="C29" s="14"/>
      <c r="D29" s="14"/>
      <c r="E29" s="14"/>
      <c r="F29" s="14"/>
      <c r="G29" s="170"/>
      <c r="H29" s="13"/>
      <c r="I29" s="14"/>
      <c r="J29" s="14"/>
      <c r="K29" s="14"/>
      <c r="L29" s="14"/>
      <c r="M29" s="170"/>
      <c r="N29" s="13"/>
      <c r="O29" s="14"/>
      <c r="P29" s="14"/>
      <c r="Q29" s="14"/>
      <c r="R29" s="14"/>
      <c r="S29" s="170"/>
      <c r="T29" s="13"/>
      <c r="U29" s="14"/>
      <c r="V29" s="14"/>
      <c r="W29" s="14"/>
      <c r="X29" s="14"/>
      <c r="Y29" s="15"/>
      <c r="Z29" s="13"/>
      <c r="AA29" s="14"/>
      <c r="AB29" s="14"/>
      <c r="AC29" s="14"/>
      <c r="AD29" s="14"/>
      <c r="AE29" s="170"/>
      <c r="AF29" s="13"/>
      <c r="AG29" s="14"/>
      <c r="AH29" s="14"/>
      <c r="AI29" s="14"/>
      <c r="AJ29" s="14"/>
      <c r="AK29" s="170"/>
      <c r="AL29" s="14"/>
      <c r="AM29" s="14"/>
      <c r="AN29" s="14"/>
      <c r="AO29" s="14"/>
      <c r="AP29" s="15"/>
    </row>
    <row r="30" spans="1:42" s="1" customFormat="1" x14ac:dyDescent="0.25">
      <c r="A30" s="30" t="s">
        <v>45</v>
      </c>
      <c r="B30" s="30"/>
      <c r="C30" s="23">
        <f>SUM(C8:C29)</f>
        <v>159456.6</v>
      </c>
      <c r="D30" s="23">
        <f>C30/2</f>
        <v>79728.3</v>
      </c>
      <c r="E30" s="23">
        <f>SUM(E8:E29)</f>
        <v>88799.360000000015</v>
      </c>
      <c r="F30" s="94">
        <f>E30-D30</f>
        <v>9071.0600000000122</v>
      </c>
      <c r="G30" s="50">
        <f>IF(AND(D30&lt;&gt;0,F30&lt;&gt;0,ISNUMBER(D30),ISNUMBER(F30)),F30/D30,"-    ")</f>
        <v>0.11377465717944585</v>
      </c>
      <c r="H30" s="30"/>
      <c r="I30" s="23">
        <f>SUM(I8:I29)</f>
        <v>49626.2</v>
      </c>
      <c r="J30" s="23">
        <f>I30/2</f>
        <v>24813.1</v>
      </c>
      <c r="K30" s="23">
        <f>SUM(K8:K29)</f>
        <v>23379.420000000002</v>
      </c>
      <c r="L30" s="94">
        <f>K30-J30</f>
        <v>-1433.6799999999967</v>
      </c>
      <c r="M30" s="50">
        <f>IF(AND(J30&lt;&gt;0,L30&lt;&gt;0,ISNUMBER(J30),ISNUMBER(L30)),L30/J30,"-    ")</f>
        <v>-5.7779156977564139E-2</v>
      </c>
      <c r="N30" s="30"/>
      <c r="O30" s="23">
        <f>SUM(O8:O29)</f>
        <v>302583.87</v>
      </c>
      <c r="P30" s="23">
        <f>O30/2</f>
        <v>151291.935</v>
      </c>
      <c r="Q30" s="23">
        <f>SUM(Q8:Q29)</f>
        <v>158367.81000000003</v>
      </c>
      <c r="R30" s="94">
        <f>Q30-P30</f>
        <v>7075.8750000000291</v>
      </c>
      <c r="S30" s="50">
        <f>IF(AND(P30&lt;&gt;0,R30&lt;&gt;0,ISNUMBER(P30),ISNUMBER(R30)),R30/P30,"-    ")</f>
        <v>4.6769677445133009E-2</v>
      </c>
      <c r="T30" s="30"/>
      <c r="U30" s="23">
        <f>SUM(U8:U29)</f>
        <v>63205.03</v>
      </c>
      <c r="V30" s="23">
        <f>U30/2</f>
        <v>31602.514999999999</v>
      </c>
      <c r="W30" s="23">
        <f>SUM(W8:W29)</f>
        <v>31600.570000000011</v>
      </c>
      <c r="X30" s="94">
        <f>W30-V30</f>
        <v>-1.944999999988795</v>
      </c>
      <c r="Y30" s="59">
        <f>IF(AND(V30&lt;&gt;0,X30&lt;&gt;0,ISNUMBER(V30),ISNUMBER(X30)),X30/V30,"-    ")</f>
        <v>-6.1545734571719852E-5</v>
      </c>
      <c r="Z30" s="30"/>
      <c r="AA30" s="23">
        <f>SUM(AA8:AA29)</f>
        <v>0</v>
      </c>
      <c r="AB30" s="23">
        <f>AA30/2</f>
        <v>0</v>
      </c>
      <c r="AC30" s="23">
        <f>SUM(AC8:AC29)</f>
        <v>0</v>
      </c>
      <c r="AD30" s="94">
        <f>AC30-AB30</f>
        <v>0</v>
      </c>
      <c r="AE30" s="50" t="str">
        <f>IF(AND(AB30&lt;&gt;0,AD30&lt;&gt;0,ISNUMBER(AB30),ISNUMBER(AD30)),AD30/AB30,"-    ")</f>
        <v xml:space="preserve">-    </v>
      </c>
      <c r="AF30" s="30"/>
      <c r="AG30" s="23">
        <f>SUM(AG8:AG29)</f>
        <v>0</v>
      </c>
      <c r="AH30" s="23">
        <f>AG30/2</f>
        <v>0</v>
      </c>
      <c r="AI30" s="23">
        <f>SUM(AI8:AI29)</f>
        <v>0</v>
      </c>
      <c r="AJ30" s="94">
        <f>AI30-AH30</f>
        <v>0</v>
      </c>
      <c r="AK30" s="50" t="str">
        <f>IF(AND(AH30&lt;&gt;0,AJ30&lt;&gt;0,ISNUMBER(AH30),ISNUMBER(AJ30)),AJ30/AH30,"-    ")</f>
        <v xml:space="preserve">-    </v>
      </c>
      <c r="AL30" s="23">
        <f>C30+I30+O30+U30+AA30+AG30</f>
        <v>574871.69999999995</v>
      </c>
      <c r="AM30" s="23">
        <f>D30+J30+P30+V30+AB30+AH30</f>
        <v>287435.84999999998</v>
      </c>
      <c r="AN30" s="23">
        <f>E30+K30+Q30+W30+AC30+AI30</f>
        <v>302147.16000000003</v>
      </c>
      <c r="AO30" s="94">
        <f>AN30-AM30</f>
        <v>14711.310000000056</v>
      </c>
      <c r="AP30" s="59">
        <f>IF(AND(AM30&lt;&gt;0,AO30&lt;&gt;0,ISNUMBER(AM30),ISNUMBER(AO30)),AO30/AM30,"-    ")</f>
        <v>5.1181193995112499E-2</v>
      </c>
    </row>
    <row r="31" spans="1:42" x14ac:dyDescent="0.25">
      <c r="A31" s="13"/>
      <c r="B31" s="13"/>
      <c r="C31" s="14"/>
      <c r="D31" s="14"/>
      <c r="E31" s="14"/>
      <c r="F31" s="14"/>
      <c r="G31" s="170"/>
      <c r="H31" s="13"/>
      <c r="I31" s="14"/>
      <c r="J31" s="14"/>
      <c r="K31" s="14"/>
      <c r="L31" s="14"/>
      <c r="M31" s="170"/>
      <c r="N31" s="13"/>
      <c r="O31" s="14"/>
      <c r="P31" s="14"/>
      <c r="Q31" s="14"/>
      <c r="R31" s="14"/>
      <c r="S31" s="170"/>
      <c r="T31" s="13"/>
      <c r="U31" s="14"/>
      <c r="V31" s="14"/>
      <c r="W31" s="14"/>
      <c r="X31" s="14"/>
      <c r="Y31" s="15"/>
      <c r="Z31" s="13"/>
      <c r="AA31" s="14"/>
      <c r="AB31" s="14"/>
      <c r="AC31" s="14"/>
      <c r="AD31" s="14"/>
      <c r="AE31" s="170"/>
      <c r="AF31" s="13"/>
      <c r="AG31" s="14"/>
      <c r="AH31" s="14"/>
      <c r="AI31" s="14"/>
      <c r="AJ31" s="14"/>
      <c r="AK31" s="170"/>
      <c r="AL31" s="14"/>
      <c r="AM31" s="14"/>
      <c r="AN31" s="14"/>
      <c r="AO31" s="14"/>
      <c r="AP31" s="15"/>
    </row>
    <row r="32" spans="1:42" x14ac:dyDescent="0.25">
      <c r="A32" s="13" t="s">
        <v>1161</v>
      </c>
      <c r="B32" s="130" t="s">
        <v>2325</v>
      </c>
      <c r="C32" s="14">
        <f>VLOOKUP(B32,'TB - Expense Data'!$H$3:$N$758,3,FALSE)</f>
        <v>124</v>
      </c>
      <c r="D32" s="14">
        <f t="shared" ref="D32:D37" si="23">C32/2</f>
        <v>62</v>
      </c>
      <c r="E32" s="26">
        <f>VLOOKUP(B32,'TB - Expense Data'!$H$3:$N$758,7,FALSE)</f>
        <v>0</v>
      </c>
      <c r="F32" s="92">
        <f t="shared" ref="F32:F37" si="24">E32-D32</f>
        <v>-62</v>
      </c>
      <c r="G32" s="48">
        <f t="shared" ref="G32:G37" si="25">IF(AND(D32&lt;&gt;0,F32&lt;&gt;0,ISNUMBER(D32),ISNUMBER(F32)),F32/D32,"-    ")</f>
        <v>-1</v>
      </c>
      <c r="H32" s="500" t="s">
        <v>2516</v>
      </c>
      <c r="I32" s="14">
        <f>VLOOKUP(H32,'TB - Expense Data'!$H$3:$N$758,3,FALSE)</f>
        <v>28</v>
      </c>
      <c r="J32" s="14">
        <f t="shared" ref="J32:J37" si="26">I32/2</f>
        <v>14</v>
      </c>
      <c r="K32" s="26">
        <f>VLOOKUP(H32,'TB - Expense Data'!$H$3:$N$758,7,FALSE)</f>
        <v>0</v>
      </c>
      <c r="L32" s="92">
        <f t="shared" ref="L32:L37" si="27">K32-J32</f>
        <v>-14</v>
      </c>
      <c r="M32" s="48">
        <f t="shared" ref="M32:M37" si="28">IF(AND(J32&lt;&gt;0,L32&lt;&gt;0,ISNUMBER(J32),ISNUMBER(L32)),L32/J32,"-    ")</f>
        <v>-1</v>
      </c>
      <c r="N32" s="500" t="s">
        <v>2775</v>
      </c>
      <c r="O32" s="14">
        <f>VLOOKUP(N32,'TB - Expense Data'!$H$3:$N$758,3,FALSE)</f>
        <v>204</v>
      </c>
      <c r="P32" s="14">
        <f t="shared" ref="P32:P37" si="29">O32/2</f>
        <v>102</v>
      </c>
      <c r="Q32" s="26">
        <f>VLOOKUP(N32,'TB - Expense Data'!$H$3:$N$758,7,FALSE)</f>
        <v>0</v>
      </c>
      <c r="R32" s="92">
        <f t="shared" ref="R32:R37" si="30">Q32-P32</f>
        <v>-102</v>
      </c>
      <c r="S32" s="48">
        <f t="shared" ref="S32:S37" si="31">IF(AND(P32&lt;&gt;0,R32&lt;&gt;0,ISNUMBER(P32),ISNUMBER(R32)),R32/P32,"-    ")</f>
        <v>-1</v>
      </c>
      <c r="T32" s="500" t="s">
        <v>2982</v>
      </c>
      <c r="U32" s="14">
        <f>VLOOKUP(T32,'TB - Expense Data'!$H$3:$N$758,3,FALSE)</f>
        <v>44</v>
      </c>
      <c r="V32" s="14">
        <f t="shared" ref="V32:V37" si="32">U32/2</f>
        <v>22</v>
      </c>
      <c r="W32" s="26">
        <f>VLOOKUP(T32,'TB - Expense Data'!$H$3:$N$758,7,FALSE)</f>
        <v>0</v>
      </c>
      <c r="X32" s="92">
        <f t="shared" ref="X32:X37" si="33">W32-V32</f>
        <v>-22</v>
      </c>
      <c r="Y32" s="58">
        <f t="shared" ref="Y32:Y37" si="34">IF(AND(V32&lt;&gt;0,X32&lt;&gt;0,ISNUMBER(V32),ISNUMBER(X32)),X32/V32,"-    ")</f>
        <v>-1</v>
      </c>
      <c r="Z32" s="130" t="s">
        <v>979</v>
      </c>
      <c r="AA32" s="14">
        <f>VLOOKUP(Z32,'TB - Expense Data'!$H$3:$N$758,3,FALSE)</f>
        <v>0</v>
      </c>
      <c r="AB32" s="14">
        <f t="shared" ref="AB32:AB37" si="35">AA32/2</f>
        <v>0</v>
      </c>
      <c r="AC32" s="26">
        <f>VLOOKUP(Z32,'TB - Expense Data'!$H$3:$N$758,7,FALSE)</f>
        <v>0</v>
      </c>
      <c r="AD32" s="92">
        <f t="shared" ref="AD32:AD37" si="36">AC32-AB32</f>
        <v>0</v>
      </c>
      <c r="AE32" s="48" t="str">
        <f t="shared" ref="AE32:AE37" si="37">IF(AND(AB32&lt;&gt;0,AD32&lt;&gt;0,ISNUMBER(AB32),ISNUMBER(AD32)),AD32/AB32,"-    ")</f>
        <v xml:space="preserve">-    </v>
      </c>
      <c r="AF32" s="130" t="s">
        <v>979</v>
      </c>
      <c r="AG32" s="14">
        <f>VLOOKUP(AF32,'TB - Expense Data'!$H$3:$N$758,3,FALSE)</f>
        <v>0</v>
      </c>
      <c r="AH32" s="14">
        <f t="shared" ref="AH32:AH37" si="38">AG32/2</f>
        <v>0</v>
      </c>
      <c r="AI32" s="26">
        <f>VLOOKUP(AF32,'TB - Expense Data'!$H$3:$N$758,7,FALSE)</f>
        <v>0</v>
      </c>
      <c r="AJ32" s="92">
        <f t="shared" ref="AJ32:AJ37" si="39">AI32-AH32</f>
        <v>0</v>
      </c>
      <c r="AK32" s="48" t="str">
        <f t="shared" ref="AK32:AK37" si="40">IF(AND(AH32&lt;&gt;0,AJ32&lt;&gt;0,ISNUMBER(AH32),ISNUMBER(AJ32)),AJ32/AH32,"-    ")</f>
        <v xml:space="preserve">-    </v>
      </c>
      <c r="AL32" s="14">
        <f t="shared" ref="AL32:AN37" si="41">C32+I32+O32+U32+AA32+AG32</f>
        <v>400</v>
      </c>
      <c r="AM32" s="14">
        <f t="shared" si="41"/>
        <v>200</v>
      </c>
      <c r="AN32" s="26">
        <f t="shared" si="41"/>
        <v>0</v>
      </c>
      <c r="AO32" s="92">
        <f t="shared" ref="AO32:AO37" si="42">AN32-AM32</f>
        <v>-200</v>
      </c>
      <c r="AP32" s="48">
        <f t="shared" ref="AP32:AP37" si="43">IF(AND(AM32&lt;&gt;0,AO32&lt;&gt;0,ISNUMBER(AM32),ISNUMBER(AO32)),AO32/AM32,"-    ")</f>
        <v>-1</v>
      </c>
    </row>
    <row r="33" spans="1:42" hidden="1" outlineLevel="1" x14ac:dyDescent="0.25">
      <c r="A33" s="536" t="s">
        <v>70</v>
      </c>
      <c r="B33" s="558" t="s">
        <v>535</v>
      </c>
      <c r="C33" s="538">
        <f>VLOOKUP(B33,'TB - Expense Data'!$H$3:$N$758,3,FALSE)</f>
        <v>0</v>
      </c>
      <c r="D33" s="538">
        <f t="shared" si="23"/>
        <v>0</v>
      </c>
      <c r="E33" s="538">
        <f>VLOOKUP(B33,'TB - Expense Data'!$H$3:$N$758,7,FALSE)</f>
        <v>0</v>
      </c>
      <c r="F33" s="539">
        <f t="shared" si="24"/>
        <v>0</v>
      </c>
      <c r="G33" s="540" t="str">
        <f t="shared" si="25"/>
        <v xml:space="preserve">-    </v>
      </c>
      <c r="H33" s="558" t="s">
        <v>558</v>
      </c>
      <c r="I33" s="538">
        <f>VLOOKUP(H33,'TB - Expense Data'!$H$3:$N$758,3,FALSE)</f>
        <v>0</v>
      </c>
      <c r="J33" s="538">
        <f t="shared" si="26"/>
        <v>0</v>
      </c>
      <c r="K33" s="538">
        <f>VLOOKUP(H33,'TB - Expense Data'!$H$3:$N$758,7,FALSE)</f>
        <v>0</v>
      </c>
      <c r="L33" s="539">
        <f t="shared" si="27"/>
        <v>0</v>
      </c>
      <c r="M33" s="540" t="str">
        <f t="shared" si="28"/>
        <v xml:space="preserve">-    </v>
      </c>
      <c r="N33" s="558" t="s">
        <v>581</v>
      </c>
      <c r="O33" s="538">
        <f>VLOOKUP(N33,'TB - Expense Data'!$H$3:$N$758,3,FALSE)</f>
        <v>0</v>
      </c>
      <c r="P33" s="538">
        <f t="shared" si="29"/>
        <v>0</v>
      </c>
      <c r="Q33" s="538">
        <f>VLOOKUP(N33,'TB - Expense Data'!$H$3:$N$758,7,FALSE)</f>
        <v>0</v>
      </c>
      <c r="R33" s="539">
        <f t="shared" si="30"/>
        <v>0</v>
      </c>
      <c r="S33" s="540" t="str">
        <f t="shared" si="31"/>
        <v xml:space="preserve">-    </v>
      </c>
      <c r="T33" s="558" t="s">
        <v>604</v>
      </c>
      <c r="U33" s="538">
        <f>VLOOKUP(T33,'TB - Expense Data'!$H$3:$N$758,3,FALSE)</f>
        <v>0</v>
      </c>
      <c r="V33" s="538">
        <f t="shared" si="32"/>
        <v>0</v>
      </c>
      <c r="W33" s="538">
        <f>VLOOKUP(T33,'TB - Expense Data'!$H$3:$N$758,7,FALSE)</f>
        <v>0</v>
      </c>
      <c r="X33" s="539">
        <f t="shared" si="33"/>
        <v>0</v>
      </c>
      <c r="Y33" s="559" t="str">
        <f t="shared" si="34"/>
        <v xml:space="preserve">-    </v>
      </c>
      <c r="Z33" s="558" t="s">
        <v>979</v>
      </c>
      <c r="AA33" s="538">
        <f>VLOOKUP(Z33,'TB - Expense Data'!$H$3:$N$758,3,FALSE)</f>
        <v>0</v>
      </c>
      <c r="AB33" s="538">
        <f t="shared" si="35"/>
        <v>0</v>
      </c>
      <c r="AC33" s="538">
        <f>VLOOKUP(Z33,'TB - Expense Data'!$H$3:$N$758,7,FALSE)</f>
        <v>0</v>
      </c>
      <c r="AD33" s="539">
        <f t="shared" si="36"/>
        <v>0</v>
      </c>
      <c r="AE33" s="540" t="str">
        <f t="shared" si="37"/>
        <v xml:space="preserve">-    </v>
      </c>
      <c r="AF33" s="558" t="s">
        <v>979</v>
      </c>
      <c r="AG33" s="538">
        <f>VLOOKUP(AF33,'TB - Expense Data'!$H$3:$N$758,3,FALSE)</f>
        <v>0</v>
      </c>
      <c r="AH33" s="538">
        <f t="shared" si="38"/>
        <v>0</v>
      </c>
      <c r="AI33" s="538">
        <f>VLOOKUP(AF33,'TB - Expense Data'!$H$3:$N$758,7,FALSE)</f>
        <v>0</v>
      </c>
      <c r="AJ33" s="539">
        <f t="shared" si="39"/>
        <v>0</v>
      </c>
      <c r="AK33" s="540" t="str">
        <f t="shared" si="40"/>
        <v xml:space="preserve">-    </v>
      </c>
      <c r="AL33" s="538">
        <f t="shared" si="41"/>
        <v>0</v>
      </c>
      <c r="AM33" s="538">
        <f t="shared" si="41"/>
        <v>0</v>
      </c>
      <c r="AN33" s="538">
        <f t="shared" si="41"/>
        <v>0</v>
      </c>
      <c r="AO33" s="539">
        <f t="shared" si="42"/>
        <v>0</v>
      </c>
      <c r="AP33" s="540" t="str">
        <f t="shared" si="43"/>
        <v xml:space="preserve">-    </v>
      </c>
    </row>
    <row r="34" spans="1:42" hidden="1" outlineLevel="1" x14ac:dyDescent="0.25">
      <c r="A34" s="536" t="s">
        <v>48</v>
      </c>
      <c r="B34" s="558" t="s">
        <v>532</v>
      </c>
      <c r="C34" s="538">
        <f>VLOOKUP(B34,'TB - Expense Data'!$H$3:$N$758,3,FALSE)</f>
        <v>0</v>
      </c>
      <c r="D34" s="538">
        <f t="shared" si="23"/>
        <v>0</v>
      </c>
      <c r="E34" s="538">
        <f>VLOOKUP(B34,'TB - Expense Data'!$H$3:$N$758,7,FALSE)</f>
        <v>0</v>
      </c>
      <c r="F34" s="539">
        <f t="shared" si="24"/>
        <v>0</v>
      </c>
      <c r="G34" s="540" t="str">
        <f t="shared" si="25"/>
        <v xml:space="preserve">-    </v>
      </c>
      <c r="H34" s="558" t="s">
        <v>555</v>
      </c>
      <c r="I34" s="538">
        <f>VLOOKUP(H34,'TB - Expense Data'!$H$3:$N$758,3,FALSE)</f>
        <v>0</v>
      </c>
      <c r="J34" s="538">
        <f t="shared" si="26"/>
        <v>0</v>
      </c>
      <c r="K34" s="538">
        <f>VLOOKUP(H34,'TB - Expense Data'!$H$3:$N$758,7,FALSE)</f>
        <v>0</v>
      </c>
      <c r="L34" s="539">
        <f t="shared" si="27"/>
        <v>0</v>
      </c>
      <c r="M34" s="540" t="str">
        <f t="shared" si="28"/>
        <v xml:space="preserve">-    </v>
      </c>
      <c r="N34" s="558" t="s">
        <v>578</v>
      </c>
      <c r="O34" s="538">
        <f>VLOOKUP(N34,'TB - Expense Data'!$H$3:$N$758,3,FALSE)</f>
        <v>0</v>
      </c>
      <c r="P34" s="538">
        <f t="shared" si="29"/>
        <v>0</v>
      </c>
      <c r="Q34" s="538">
        <f>VLOOKUP(N34,'TB - Expense Data'!$H$3:$N$758,7,FALSE)</f>
        <v>0</v>
      </c>
      <c r="R34" s="539">
        <f t="shared" si="30"/>
        <v>0</v>
      </c>
      <c r="S34" s="540" t="str">
        <f t="shared" si="31"/>
        <v xml:space="preserve">-    </v>
      </c>
      <c r="T34" s="558" t="s">
        <v>601</v>
      </c>
      <c r="U34" s="538">
        <f>VLOOKUP(T34,'TB - Expense Data'!$H$3:$N$758,3,FALSE)</f>
        <v>0</v>
      </c>
      <c r="V34" s="538">
        <f t="shared" si="32"/>
        <v>0</v>
      </c>
      <c r="W34" s="538">
        <f>VLOOKUP(T34,'TB - Expense Data'!$H$3:$N$758,7,FALSE)</f>
        <v>0</v>
      </c>
      <c r="X34" s="539">
        <f t="shared" si="33"/>
        <v>0</v>
      </c>
      <c r="Y34" s="559" t="str">
        <f t="shared" si="34"/>
        <v xml:space="preserve">-    </v>
      </c>
      <c r="Z34" s="558" t="s">
        <v>979</v>
      </c>
      <c r="AA34" s="538">
        <f>VLOOKUP(Z34,'TB - Expense Data'!$H$3:$N$758,3,FALSE)</f>
        <v>0</v>
      </c>
      <c r="AB34" s="538">
        <f t="shared" si="35"/>
        <v>0</v>
      </c>
      <c r="AC34" s="538">
        <f>VLOOKUP(Z34,'TB - Expense Data'!$H$3:$N$758,7,FALSE)</f>
        <v>0</v>
      </c>
      <c r="AD34" s="539">
        <f t="shared" si="36"/>
        <v>0</v>
      </c>
      <c r="AE34" s="540" t="str">
        <f t="shared" si="37"/>
        <v xml:space="preserve">-    </v>
      </c>
      <c r="AF34" s="558" t="s">
        <v>979</v>
      </c>
      <c r="AG34" s="538">
        <f>VLOOKUP(AF34,'TB - Expense Data'!$H$3:$N$758,3,FALSE)</f>
        <v>0</v>
      </c>
      <c r="AH34" s="538">
        <f t="shared" si="38"/>
        <v>0</v>
      </c>
      <c r="AI34" s="538">
        <f>VLOOKUP(AF34,'TB - Expense Data'!$H$3:$N$758,7,FALSE)</f>
        <v>0</v>
      </c>
      <c r="AJ34" s="539">
        <f t="shared" si="39"/>
        <v>0</v>
      </c>
      <c r="AK34" s="540" t="str">
        <f t="shared" si="40"/>
        <v xml:space="preserve">-    </v>
      </c>
      <c r="AL34" s="538">
        <f t="shared" si="41"/>
        <v>0</v>
      </c>
      <c r="AM34" s="538">
        <f t="shared" si="41"/>
        <v>0</v>
      </c>
      <c r="AN34" s="538">
        <f t="shared" si="41"/>
        <v>0</v>
      </c>
      <c r="AO34" s="539">
        <f t="shared" si="42"/>
        <v>0</v>
      </c>
      <c r="AP34" s="540" t="str">
        <f t="shared" si="43"/>
        <v xml:space="preserve">-    </v>
      </c>
    </row>
    <row r="35" spans="1:42" collapsed="1" x14ac:dyDescent="0.25">
      <c r="A35" s="13" t="s">
        <v>54</v>
      </c>
      <c r="B35" s="130" t="s">
        <v>531</v>
      </c>
      <c r="C35" s="14">
        <f>VLOOKUP(B35,'TB - Expense Data'!$H$3:$N$758,3,FALSE)</f>
        <v>232.5</v>
      </c>
      <c r="D35" s="14">
        <f t="shared" si="23"/>
        <v>116.25</v>
      </c>
      <c r="E35" s="26">
        <f>VLOOKUP(B35,'TB - Expense Data'!$H$3:$N$758,7,FALSE)</f>
        <v>0</v>
      </c>
      <c r="F35" s="92">
        <f t="shared" si="24"/>
        <v>-116.25</v>
      </c>
      <c r="G35" s="48">
        <f t="shared" si="25"/>
        <v>-1</v>
      </c>
      <c r="H35" s="130" t="s">
        <v>554</v>
      </c>
      <c r="I35" s="14">
        <f>VLOOKUP(H35,'TB - Expense Data'!$H$3:$N$758,3,FALSE)</f>
        <v>52.5</v>
      </c>
      <c r="J35" s="14">
        <f t="shared" si="26"/>
        <v>26.25</v>
      </c>
      <c r="K35" s="26">
        <f>VLOOKUP(H35,'TB - Expense Data'!$H$3:$N$758,7,FALSE)</f>
        <v>0</v>
      </c>
      <c r="L35" s="92">
        <f t="shared" si="27"/>
        <v>-26.25</v>
      </c>
      <c r="M35" s="48">
        <f t="shared" si="28"/>
        <v>-1</v>
      </c>
      <c r="N35" s="130" t="s">
        <v>577</v>
      </c>
      <c r="O35" s="14">
        <f>VLOOKUP(N35,'TB - Expense Data'!$H$3:$N$758,3,FALSE)</f>
        <v>382.5</v>
      </c>
      <c r="P35" s="14">
        <f t="shared" si="29"/>
        <v>191.25</v>
      </c>
      <c r="Q35" s="26">
        <f>VLOOKUP(N35,'TB - Expense Data'!$H$3:$N$758,7,FALSE)</f>
        <v>0</v>
      </c>
      <c r="R35" s="92">
        <f t="shared" si="30"/>
        <v>-191.25</v>
      </c>
      <c r="S35" s="48">
        <f t="shared" si="31"/>
        <v>-1</v>
      </c>
      <c r="T35" s="130" t="s">
        <v>600</v>
      </c>
      <c r="U35" s="14">
        <f>VLOOKUP(T35,'TB - Expense Data'!$H$3:$N$758,3,FALSE)</f>
        <v>82.5</v>
      </c>
      <c r="V35" s="14">
        <f t="shared" si="32"/>
        <v>41.25</v>
      </c>
      <c r="W35" s="26">
        <f>VLOOKUP(T35,'TB - Expense Data'!$H$3:$N$758,7,FALSE)</f>
        <v>0</v>
      </c>
      <c r="X35" s="92">
        <f t="shared" si="33"/>
        <v>-41.25</v>
      </c>
      <c r="Y35" s="58">
        <f t="shared" si="34"/>
        <v>-1</v>
      </c>
      <c r="Z35" s="130" t="s">
        <v>979</v>
      </c>
      <c r="AA35" s="14">
        <f>VLOOKUP(Z35,'TB - Expense Data'!$H$3:$N$758,3,FALSE)</f>
        <v>0</v>
      </c>
      <c r="AB35" s="14">
        <f t="shared" si="35"/>
        <v>0</v>
      </c>
      <c r="AC35" s="26">
        <f>VLOOKUP(Z35,'TB - Expense Data'!$H$3:$N$758,7,FALSE)</f>
        <v>0</v>
      </c>
      <c r="AD35" s="92">
        <f t="shared" si="36"/>
        <v>0</v>
      </c>
      <c r="AE35" s="48" t="str">
        <f t="shared" si="37"/>
        <v xml:space="preserve">-    </v>
      </c>
      <c r="AF35" s="130" t="s">
        <v>979</v>
      </c>
      <c r="AG35" s="14">
        <f>VLOOKUP(AF35,'TB - Expense Data'!$H$3:$N$758,3,FALSE)</f>
        <v>0</v>
      </c>
      <c r="AH35" s="14">
        <f t="shared" si="38"/>
        <v>0</v>
      </c>
      <c r="AI35" s="26">
        <f>VLOOKUP(AF35,'TB - Expense Data'!$H$3:$N$758,7,FALSE)</f>
        <v>0</v>
      </c>
      <c r="AJ35" s="92">
        <f t="shared" si="39"/>
        <v>0</v>
      </c>
      <c r="AK35" s="48" t="str">
        <f t="shared" si="40"/>
        <v xml:space="preserve">-    </v>
      </c>
      <c r="AL35" s="14">
        <f t="shared" si="41"/>
        <v>750</v>
      </c>
      <c r="AM35" s="14">
        <f t="shared" si="41"/>
        <v>375</v>
      </c>
      <c r="AN35" s="26">
        <f t="shared" si="41"/>
        <v>0</v>
      </c>
      <c r="AO35" s="92">
        <f t="shared" si="42"/>
        <v>-375</v>
      </c>
      <c r="AP35" s="48">
        <f t="shared" si="43"/>
        <v>-1</v>
      </c>
    </row>
    <row r="36" spans="1:42" x14ac:dyDescent="0.25">
      <c r="A36" s="13" t="s">
        <v>152</v>
      </c>
      <c r="B36" s="130" t="s">
        <v>524</v>
      </c>
      <c r="C36" s="14">
        <f>VLOOKUP(B36,'TB - Expense Data'!$H$3:$N$758,3,FALSE)</f>
        <v>62000</v>
      </c>
      <c r="D36" s="14">
        <f t="shared" si="23"/>
        <v>31000</v>
      </c>
      <c r="E36" s="26">
        <f>VLOOKUP(B36,'TB - Expense Data'!$H$3:$N$758,7,FALSE)</f>
        <v>6357.22</v>
      </c>
      <c r="F36" s="92">
        <f t="shared" si="24"/>
        <v>-24642.78</v>
      </c>
      <c r="G36" s="48">
        <f t="shared" si="25"/>
        <v>-0.79492838709677416</v>
      </c>
      <c r="H36" s="130" t="s">
        <v>547</v>
      </c>
      <c r="I36" s="14">
        <f>VLOOKUP(H36,'TB - Expense Data'!$H$3:$N$758,3,FALSE)</f>
        <v>14000</v>
      </c>
      <c r="J36" s="14">
        <f t="shared" si="26"/>
        <v>7000</v>
      </c>
      <c r="K36" s="26">
        <f>VLOOKUP(H36,'TB - Expense Data'!$H$3:$N$758,7,FALSE)</f>
        <v>711.67</v>
      </c>
      <c r="L36" s="92">
        <f t="shared" si="27"/>
        <v>-6288.33</v>
      </c>
      <c r="M36" s="48">
        <f t="shared" si="28"/>
        <v>-0.89833285714285716</v>
      </c>
      <c r="N36" s="130" t="s">
        <v>570</v>
      </c>
      <c r="O36" s="14">
        <f>VLOOKUP(N36,'TB - Expense Data'!$H$3:$N$758,3,FALSE)</f>
        <v>102000</v>
      </c>
      <c r="P36" s="14">
        <f t="shared" si="29"/>
        <v>51000</v>
      </c>
      <c r="Q36" s="26">
        <f>VLOOKUP(N36,'TB - Expense Data'!$H$3:$N$758,7,FALSE)</f>
        <v>5981.97</v>
      </c>
      <c r="R36" s="92">
        <f t="shared" si="30"/>
        <v>-45018.03</v>
      </c>
      <c r="S36" s="48">
        <f t="shared" si="31"/>
        <v>-0.88270647058823526</v>
      </c>
      <c r="T36" s="130" t="s">
        <v>593</v>
      </c>
      <c r="U36" s="14">
        <f>VLOOKUP(T36,'TB - Expense Data'!$H$3:$N$758,3,FALSE)</f>
        <v>22000</v>
      </c>
      <c r="V36" s="14">
        <f t="shared" si="32"/>
        <v>11000</v>
      </c>
      <c r="W36" s="26">
        <f>VLOOKUP(T36,'TB - Expense Data'!$H$3:$N$758,7,FALSE)</f>
        <v>931.64</v>
      </c>
      <c r="X36" s="92">
        <f t="shared" si="33"/>
        <v>-10068.36</v>
      </c>
      <c r="Y36" s="58">
        <f t="shared" si="34"/>
        <v>-0.91530545454545464</v>
      </c>
      <c r="Z36" s="130" t="s">
        <v>979</v>
      </c>
      <c r="AA36" s="14">
        <f>VLOOKUP(Z36,'TB - Expense Data'!$H$3:$N$758,3,FALSE)</f>
        <v>0</v>
      </c>
      <c r="AB36" s="14">
        <f t="shared" si="35"/>
        <v>0</v>
      </c>
      <c r="AC36" s="26">
        <f>VLOOKUP(Z36,'TB - Expense Data'!$H$3:$N$758,7,FALSE)</f>
        <v>0</v>
      </c>
      <c r="AD36" s="92">
        <f t="shared" si="36"/>
        <v>0</v>
      </c>
      <c r="AE36" s="48" t="str">
        <f t="shared" si="37"/>
        <v xml:space="preserve">-    </v>
      </c>
      <c r="AF36" s="130" t="s">
        <v>979</v>
      </c>
      <c r="AG36" s="14">
        <f>VLOOKUP(AF36,'TB - Expense Data'!$H$3:$N$758,3,FALSE)</f>
        <v>0</v>
      </c>
      <c r="AH36" s="14">
        <f t="shared" si="38"/>
        <v>0</v>
      </c>
      <c r="AI36" s="26">
        <f>VLOOKUP(AF36,'TB - Expense Data'!$H$3:$N$758,7,FALSE)</f>
        <v>0</v>
      </c>
      <c r="AJ36" s="92">
        <f t="shared" si="39"/>
        <v>0</v>
      </c>
      <c r="AK36" s="48" t="str">
        <f t="shared" si="40"/>
        <v xml:space="preserve">-    </v>
      </c>
      <c r="AL36" s="14">
        <f t="shared" si="41"/>
        <v>200000</v>
      </c>
      <c r="AM36" s="14">
        <f t="shared" si="41"/>
        <v>100000</v>
      </c>
      <c r="AN36" s="26">
        <f t="shared" si="41"/>
        <v>13982.5</v>
      </c>
      <c r="AO36" s="92">
        <f t="shared" si="42"/>
        <v>-86017.5</v>
      </c>
      <c r="AP36" s="48">
        <f t="shared" si="43"/>
        <v>-0.86017500000000002</v>
      </c>
    </row>
    <row r="37" spans="1:42" x14ac:dyDescent="0.25">
      <c r="A37" s="498" t="s">
        <v>3432</v>
      </c>
      <c r="B37" s="130" t="s">
        <v>525</v>
      </c>
      <c r="C37" s="14">
        <f>VLOOKUP(B37,'TB - Expense Data'!$H$3:$N$758,3,FALSE)</f>
        <v>31000</v>
      </c>
      <c r="D37" s="14">
        <f t="shared" si="23"/>
        <v>15500</v>
      </c>
      <c r="E37" s="26">
        <f>VLOOKUP(B37,'TB - Expense Data'!$H$3:$N$758,7,FALSE)</f>
        <v>0</v>
      </c>
      <c r="F37" s="92">
        <f t="shared" si="24"/>
        <v>-15500</v>
      </c>
      <c r="G37" s="48">
        <f t="shared" si="25"/>
        <v>-1</v>
      </c>
      <c r="H37" s="130" t="s">
        <v>548</v>
      </c>
      <c r="I37" s="14">
        <f>VLOOKUP(H37,'TB - Expense Data'!$H$3:$N$758,3,FALSE)</f>
        <v>7000</v>
      </c>
      <c r="J37" s="14">
        <f t="shared" si="26"/>
        <v>3500</v>
      </c>
      <c r="K37" s="26">
        <f>VLOOKUP(H37,'TB - Expense Data'!$H$3:$N$758,7,FALSE)</f>
        <v>0</v>
      </c>
      <c r="L37" s="92">
        <f t="shared" si="27"/>
        <v>-3500</v>
      </c>
      <c r="M37" s="48">
        <f t="shared" si="28"/>
        <v>-1</v>
      </c>
      <c r="N37" s="130" t="s">
        <v>571</v>
      </c>
      <c r="O37" s="14">
        <f>VLOOKUP(N37,'TB - Expense Data'!$H$3:$N$758,3,FALSE)</f>
        <v>51000</v>
      </c>
      <c r="P37" s="14">
        <f t="shared" si="29"/>
        <v>25500</v>
      </c>
      <c r="Q37" s="26">
        <f>VLOOKUP(N37,'TB - Expense Data'!$H$3:$N$758,7,FALSE)</f>
        <v>163629.85999999999</v>
      </c>
      <c r="R37" s="92">
        <f t="shared" si="30"/>
        <v>138129.85999999999</v>
      </c>
      <c r="S37" s="48">
        <f t="shared" si="31"/>
        <v>5.4168572549019602</v>
      </c>
      <c r="T37" s="130" t="s">
        <v>594</v>
      </c>
      <c r="U37" s="14">
        <f>VLOOKUP(T37,'TB - Expense Data'!$H$3:$N$758,3,FALSE)</f>
        <v>11000</v>
      </c>
      <c r="V37" s="14">
        <f t="shared" si="32"/>
        <v>5500</v>
      </c>
      <c r="W37" s="26">
        <f>VLOOKUP(T37,'TB - Expense Data'!$H$3:$N$758,7,FALSE)</f>
        <v>41007.339999999997</v>
      </c>
      <c r="X37" s="92">
        <f t="shared" si="33"/>
        <v>35507.339999999997</v>
      </c>
      <c r="Y37" s="58">
        <f t="shared" si="34"/>
        <v>6.4558799999999996</v>
      </c>
      <c r="Z37" s="130" t="s">
        <v>979</v>
      </c>
      <c r="AA37" s="14">
        <f>VLOOKUP(Z37,'TB - Expense Data'!$H$3:$N$758,3,FALSE)</f>
        <v>0</v>
      </c>
      <c r="AB37" s="14">
        <f t="shared" si="35"/>
        <v>0</v>
      </c>
      <c r="AC37" s="26">
        <f>VLOOKUP(Z37,'TB - Expense Data'!$H$3:$N$758,7,FALSE)</f>
        <v>0</v>
      </c>
      <c r="AD37" s="92">
        <f t="shared" si="36"/>
        <v>0</v>
      </c>
      <c r="AE37" s="48" t="str">
        <f t="shared" si="37"/>
        <v xml:space="preserve">-    </v>
      </c>
      <c r="AF37" s="130" t="s">
        <v>979</v>
      </c>
      <c r="AG37" s="14">
        <f>VLOOKUP(AF37,'TB - Expense Data'!$H$3:$N$758,3,FALSE)</f>
        <v>0</v>
      </c>
      <c r="AH37" s="14">
        <f t="shared" si="38"/>
        <v>0</v>
      </c>
      <c r="AI37" s="26">
        <f>VLOOKUP(AF37,'TB - Expense Data'!$H$3:$N$758,7,FALSE)</f>
        <v>0</v>
      </c>
      <c r="AJ37" s="92">
        <f t="shared" si="39"/>
        <v>0</v>
      </c>
      <c r="AK37" s="48" t="str">
        <f t="shared" si="40"/>
        <v xml:space="preserve">-    </v>
      </c>
      <c r="AL37" s="14">
        <f t="shared" si="41"/>
        <v>100000</v>
      </c>
      <c r="AM37" s="14">
        <f t="shared" si="41"/>
        <v>50000</v>
      </c>
      <c r="AN37" s="26">
        <f t="shared" si="41"/>
        <v>204637.19999999998</v>
      </c>
      <c r="AO37" s="92">
        <f t="shared" si="42"/>
        <v>154637.19999999998</v>
      </c>
      <c r="AP37" s="48">
        <f t="shared" si="43"/>
        <v>3.0927439999999997</v>
      </c>
    </row>
    <row r="38" spans="1:42" x14ac:dyDescent="0.25">
      <c r="A38" s="17"/>
      <c r="B38" s="17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68"/>
      <c r="N38" s="17"/>
      <c r="O38" s="18"/>
      <c r="P38" s="18"/>
      <c r="Q38" s="18"/>
      <c r="R38" s="18"/>
      <c r="S38" s="168"/>
      <c r="T38" s="17"/>
      <c r="U38" s="18"/>
      <c r="V38" s="18"/>
      <c r="W38" s="18"/>
      <c r="X38" s="18"/>
      <c r="Y38" s="19"/>
      <c r="Z38" s="17"/>
      <c r="AA38" s="18"/>
      <c r="AB38" s="18"/>
      <c r="AC38" s="18"/>
      <c r="AD38" s="18"/>
      <c r="AE38" s="19"/>
      <c r="AF38" s="17"/>
      <c r="AG38" s="18"/>
      <c r="AH38" s="18"/>
      <c r="AI38" s="18"/>
      <c r="AJ38" s="18"/>
      <c r="AK38" s="168"/>
      <c r="AL38" s="18"/>
      <c r="AM38" s="18"/>
      <c r="AN38" s="18"/>
      <c r="AO38" s="18"/>
      <c r="AP38" s="19"/>
    </row>
    <row r="39" spans="1:42" s="1" customFormat="1" x14ac:dyDescent="0.25">
      <c r="A39" s="31" t="s">
        <v>61</v>
      </c>
      <c r="B39" s="31"/>
      <c r="C39" s="32">
        <f>SUM(C31:C38)</f>
        <v>93356.5</v>
      </c>
      <c r="D39" s="32">
        <f>C39/2</f>
        <v>46678.25</v>
      </c>
      <c r="E39" s="32">
        <f>SUM(E31:E38)</f>
        <v>6357.22</v>
      </c>
      <c r="F39" s="94">
        <f>E39-D39</f>
        <v>-40321.03</v>
      </c>
      <c r="G39" s="59">
        <f>IF(AND(D39&lt;&gt;0,F39&lt;&gt;0,ISNUMBER(D39),ISNUMBER(F39)),F39/D39,"-    ")</f>
        <v>-0.86380766202674686</v>
      </c>
      <c r="H39" s="31"/>
      <c r="I39" s="32">
        <f>SUM(I31:I38)</f>
        <v>21080.5</v>
      </c>
      <c r="J39" s="32">
        <f>I39/2</f>
        <v>10540.25</v>
      </c>
      <c r="K39" s="32">
        <f>SUM(K31:K38)</f>
        <v>711.67</v>
      </c>
      <c r="L39" s="94">
        <f>K39-J39</f>
        <v>-9828.58</v>
      </c>
      <c r="M39" s="50">
        <f>IF(AND(J39&lt;&gt;0,L39&lt;&gt;0,ISNUMBER(J39),ISNUMBER(L39)),L39/J39,"-    ")</f>
        <v>-0.93248072863546883</v>
      </c>
      <c r="N39" s="31"/>
      <c r="O39" s="74">
        <f>SUM(O31:O38)</f>
        <v>153586.5</v>
      </c>
      <c r="P39" s="32">
        <f>O39/2</f>
        <v>76793.25</v>
      </c>
      <c r="Q39" s="74">
        <f>SUM(Q31:Q38)</f>
        <v>169611.83</v>
      </c>
      <c r="R39" s="94">
        <f>Q39-P39</f>
        <v>92818.579999999987</v>
      </c>
      <c r="S39" s="50">
        <f>IF(AND(P39&lt;&gt;0,R39&lt;&gt;0,ISNUMBER(P39),ISNUMBER(R39)),R39/P39,"-    ")</f>
        <v>1.2086814921884408</v>
      </c>
      <c r="T39" s="31"/>
      <c r="U39" s="32">
        <f>SUM(U31:U38)</f>
        <v>33126.5</v>
      </c>
      <c r="V39" s="32">
        <f>U39/2</f>
        <v>16563.25</v>
      </c>
      <c r="W39" s="32">
        <f>SUM(W31:W38)</f>
        <v>41938.979999999996</v>
      </c>
      <c r="X39" s="94">
        <f>W39-V39</f>
        <v>25375.729999999996</v>
      </c>
      <c r="Y39" s="59">
        <f>IF(AND(V39&lt;&gt;0,X39&lt;&gt;0,ISNUMBER(V39),ISNUMBER(X39)),X39/V39,"-    ")</f>
        <v>1.5320501713129968</v>
      </c>
      <c r="Z39" s="31"/>
      <c r="AA39" s="32">
        <f>SUM(AA31:AA38)</f>
        <v>0</v>
      </c>
      <c r="AB39" s="32">
        <f>AA39/2</f>
        <v>0</v>
      </c>
      <c r="AC39" s="32">
        <f>SUM(AC31:AC38)</f>
        <v>0</v>
      </c>
      <c r="AD39" s="94">
        <f>AC39-AB39</f>
        <v>0</v>
      </c>
      <c r="AE39" s="59" t="str">
        <f>IF(AND(AB39&lt;&gt;0,AD39&lt;&gt;0,ISNUMBER(AB39),ISNUMBER(AD39)),AD39/AB39,"-    ")</f>
        <v xml:space="preserve">-    </v>
      </c>
      <c r="AF39" s="31"/>
      <c r="AG39" s="32">
        <f>SUM(AG31:AG38)</f>
        <v>0</v>
      </c>
      <c r="AH39" s="32">
        <f>AG39/2</f>
        <v>0</v>
      </c>
      <c r="AI39" s="32">
        <f>SUM(AI31:AI38)</f>
        <v>0</v>
      </c>
      <c r="AJ39" s="94">
        <f>AI39-AH39</f>
        <v>0</v>
      </c>
      <c r="AK39" s="50" t="str">
        <f>IF(AND(AH39&lt;&gt;0,AJ39&lt;&gt;0,ISNUMBER(AH39),ISNUMBER(AJ39)),AJ39/AH39,"-    ")</f>
        <v xml:space="preserve">-    </v>
      </c>
      <c r="AL39" s="32">
        <f>C39+I39+O39+U39+AA39+AG39</f>
        <v>301150</v>
      </c>
      <c r="AM39" s="32">
        <f>D39+J39+P39+V39+AB39+AH39</f>
        <v>150575</v>
      </c>
      <c r="AN39" s="32">
        <f>E39+K39+Q39+W39+AC39+AI39</f>
        <v>218619.7</v>
      </c>
      <c r="AO39" s="94">
        <f>AN39-AM39</f>
        <v>68044.700000000012</v>
      </c>
      <c r="AP39" s="59">
        <f>IF(AND(AM39&lt;&gt;0,AO39&lt;&gt;0,ISNUMBER(AM39),ISNUMBER(AO39)),AO39/AM39,"-    ")</f>
        <v>0.45189905362776034</v>
      </c>
    </row>
    <row r="40" spans="1:42" s="1" customFormat="1" x14ac:dyDescent="0.25">
      <c r="A40" s="31"/>
      <c r="B40" s="31"/>
      <c r="C40" s="32"/>
      <c r="D40" s="32"/>
      <c r="E40" s="32"/>
      <c r="F40" s="96"/>
      <c r="G40" s="33"/>
      <c r="H40" s="31"/>
      <c r="I40" s="32"/>
      <c r="J40" s="32"/>
      <c r="K40" s="32"/>
      <c r="L40" s="96"/>
      <c r="M40" s="165"/>
      <c r="N40" s="31"/>
      <c r="O40" s="86"/>
      <c r="P40" s="32"/>
      <c r="Q40" s="86"/>
      <c r="R40" s="96"/>
      <c r="S40" s="165"/>
      <c r="T40" s="31"/>
      <c r="U40" s="32"/>
      <c r="V40" s="32"/>
      <c r="W40" s="32"/>
      <c r="X40" s="96"/>
      <c r="Y40" s="33"/>
      <c r="Z40" s="31"/>
      <c r="AA40" s="32"/>
      <c r="AB40" s="32"/>
      <c r="AC40" s="32"/>
      <c r="AD40" s="96"/>
      <c r="AE40" s="33"/>
      <c r="AF40" s="31"/>
      <c r="AG40" s="32"/>
      <c r="AH40" s="32"/>
      <c r="AI40" s="32"/>
      <c r="AJ40" s="96"/>
      <c r="AK40" s="165"/>
      <c r="AL40" s="32"/>
      <c r="AM40" s="32"/>
      <c r="AN40" s="32"/>
      <c r="AO40" s="96"/>
      <c r="AP40" s="33"/>
    </row>
    <row r="41" spans="1:42" s="1" customFormat="1" x14ac:dyDescent="0.25">
      <c r="A41" s="21" t="s">
        <v>62</v>
      </c>
      <c r="B41" s="21"/>
      <c r="C41" s="22">
        <f>C30+C39</f>
        <v>252813.1</v>
      </c>
      <c r="D41" s="22">
        <f>C41/2</f>
        <v>126406.55</v>
      </c>
      <c r="E41" s="22">
        <f>E30+E39</f>
        <v>95156.580000000016</v>
      </c>
      <c r="F41" s="93">
        <f>E41-D41</f>
        <v>-31249.969999999987</v>
      </c>
      <c r="G41" s="60">
        <f>IF(AND(D41&lt;&gt;0,F41&lt;&gt;0,ISNUMBER(D41),ISNUMBER(F41)),F41/D41,"-    ")</f>
        <v>-0.24721796457541154</v>
      </c>
      <c r="H41" s="21"/>
      <c r="I41" s="22">
        <f>I30+I39</f>
        <v>70706.7</v>
      </c>
      <c r="J41" s="22">
        <f>I41/2</f>
        <v>35353.35</v>
      </c>
      <c r="K41" s="22">
        <f>K30+K39</f>
        <v>24091.09</v>
      </c>
      <c r="L41" s="93">
        <f>K41-J41</f>
        <v>-11262.259999999998</v>
      </c>
      <c r="M41" s="55">
        <f>IF(AND(J41&lt;&gt;0,L41&lt;&gt;0,ISNUMBER(J41),ISNUMBER(L41)),L41/J41,"-    ")</f>
        <v>-0.31856273875035884</v>
      </c>
      <c r="N41" s="21"/>
      <c r="O41" s="22">
        <f>O30+O39</f>
        <v>456170.37</v>
      </c>
      <c r="P41" s="22">
        <f>O41/2</f>
        <v>228085.185</v>
      </c>
      <c r="Q41" s="22">
        <f>Q30+Q39</f>
        <v>327979.64</v>
      </c>
      <c r="R41" s="93">
        <f>Q41-P41</f>
        <v>99894.455000000016</v>
      </c>
      <c r="S41" s="55">
        <f>IF(AND(P41&lt;&gt;0,R41&lt;&gt;0,ISNUMBER(P41),ISNUMBER(R41)),R41/P41,"-    ")</f>
        <v>0.43796994092360719</v>
      </c>
      <c r="T41" s="21"/>
      <c r="U41" s="22">
        <f>U30+U39</f>
        <v>96331.53</v>
      </c>
      <c r="V41" s="22">
        <f>U41/2</f>
        <v>48165.764999999999</v>
      </c>
      <c r="W41" s="22">
        <f>W30+W39</f>
        <v>73539.55</v>
      </c>
      <c r="X41" s="93">
        <f>W41-V41</f>
        <v>25373.785000000003</v>
      </c>
      <c r="Y41" s="60">
        <f>IF(AND(V41&lt;&gt;0,X41&lt;&gt;0,ISNUMBER(V41),ISNUMBER(X41)),X41/V41,"-    ")</f>
        <v>0.52680124565653641</v>
      </c>
      <c r="Z41" s="21"/>
      <c r="AA41" s="22">
        <f>AA30+AA39</f>
        <v>0</v>
      </c>
      <c r="AB41" s="22">
        <f>AA41/2</f>
        <v>0</v>
      </c>
      <c r="AC41" s="22">
        <f>AC30+AC39</f>
        <v>0</v>
      </c>
      <c r="AD41" s="93">
        <f>AC41-AB41</f>
        <v>0</v>
      </c>
      <c r="AE41" s="60" t="str">
        <f>IF(AND(AB41&lt;&gt;0,AD41&lt;&gt;0,ISNUMBER(AB41),ISNUMBER(AD41)),AD41/AB41,"-    ")</f>
        <v xml:space="preserve">-    </v>
      </c>
      <c r="AF41" s="21"/>
      <c r="AG41" s="22">
        <f>AG30+AG39</f>
        <v>0</v>
      </c>
      <c r="AH41" s="22">
        <f>AG41/2</f>
        <v>0</v>
      </c>
      <c r="AI41" s="22">
        <f>AI30+AI39</f>
        <v>0</v>
      </c>
      <c r="AJ41" s="93">
        <f>AI41-AH41</f>
        <v>0</v>
      </c>
      <c r="AK41" s="55" t="str">
        <f>IF(AND(AH41&lt;&gt;0,AJ41&lt;&gt;0,ISNUMBER(AH41),ISNUMBER(AJ41)),AJ41/AH41,"-    ")</f>
        <v xml:space="preserve">-    </v>
      </c>
      <c r="AL41" s="22">
        <f>AL30+AL39</f>
        <v>876021.7</v>
      </c>
      <c r="AM41" s="22">
        <f>AM30+AM39</f>
        <v>438010.85</v>
      </c>
      <c r="AN41" s="22">
        <f>AN30+AN39</f>
        <v>520766.86000000004</v>
      </c>
      <c r="AO41" s="93">
        <f>AN41-AM41</f>
        <v>82756.010000000068</v>
      </c>
      <c r="AP41" s="60">
        <f>IF(AND(AM41&lt;&gt;0,AO41&lt;&gt;0,ISNUMBER(AM41),ISNUMBER(AO41)),AO41/AM41,"-    ")</f>
        <v>0.18893598183697977</v>
      </c>
    </row>
    <row r="42" spans="1:42" x14ac:dyDescent="0.25">
      <c r="C42" s="34">
        <f>C41-'TB - Expense Data'!J786</f>
        <v>0</v>
      </c>
      <c r="D42" s="34"/>
      <c r="E42" s="34">
        <f>E41-'TB - Expense Data'!N786</f>
        <v>0</v>
      </c>
      <c r="F42" s="34"/>
      <c r="G42" s="34"/>
      <c r="H42" s="34"/>
      <c r="I42" s="34">
        <f>I41-'TB - Expense Data'!J787</f>
        <v>0</v>
      </c>
      <c r="J42" s="34"/>
      <c r="K42" s="34">
        <f>K41-'TB - Expense Data'!N787</f>
        <v>0</v>
      </c>
      <c r="L42" s="34"/>
      <c r="M42" s="34"/>
      <c r="N42" s="34"/>
      <c r="O42" s="34">
        <f>O41-'TB - Expense Data'!J788</f>
        <v>0</v>
      </c>
      <c r="P42" s="34"/>
      <c r="Q42" s="34">
        <f>Q41-'TB - Expense Data'!N788</f>
        <v>0</v>
      </c>
      <c r="R42" s="34"/>
      <c r="S42" s="34"/>
      <c r="T42" s="34"/>
      <c r="U42" s="34">
        <f>U41-'TB - Expense Data'!J789</f>
        <v>0</v>
      </c>
      <c r="V42" s="34"/>
      <c r="W42" s="34">
        <f>W41-'TB - Expense Data'!N789</f>
        <v>0</v>
      </c>
      <c r="X42" s="34"/>
      <c r="Y42" s="34"/>
      <c r="Z42" s="34"/>
      <c r="AA42" s="34">
        <f>AA41-'TB - Expense Data'!J790</f>
        <v>0</v>
      </c>
      <c r="AB42" s="34"/>
      <c r="AC42" s="34">
        <f>AC41-'TB - Expense Data'!N790</f>
        <v>0</v>
      </c>
      <c r="AD42" s="34"/>
      <c r="AE42" s="34"/>
      <c r="AF42" s="34"/>
      <c r="AG42" s="34">
        <f>AG41-'TB - Expense Data'!J791</f>
        <v>0</v>
      </c>
      <c r="AH42" s="34"/>
      <c r="AI42" s="34">
        <f>AI41-'TB - Expense Data'!N791</f>
        <v>0</v>
      </c>
      <c r="AJ42" s="34"/>
      <c r="AK42" s="34"/>
      <c r="AL42" s="34">
        <f>AL41-'TB - Expense Data'!J792</f>
        <v>0</v>
      </c>
      <c r="AM42" s="34"/>
      <c r="AN42" s="34">
        <f>AN41-'TB - Expense Data'!N792</f>
        <v>0</v>
      </c>
      <c r="AO42" s="34"/>
      <c r="AP42" s="34"/>
    </row>
    <row r="43" spans="1:42" x14ac:dyDescent="0.2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</sheetData>
  <sheetProtection password="CFD3" sheet="1" objects="1" scenarios="1" selectLockedCells="1" selectUnlockedCells="1"/>
  <mergeCells count="7">
    <mergeCell ref="U5:Y5"/>
    <mergeCell ref="AA5:AE5"/>
    <mergeCell ref="AG5:AK5"/>
    <mergeCell ref="AL5:AP5"/>
    <mergeCell ref="C5:G5"/>
    <mergeCell ref="I5:M5"/>
    <mergeCell ref="O5:S5"/>
  </mergeCells>
  <printOptions horizontalCentered="1"/>
  <pageMargins left="0.25" right="0.25" top="0.5" bottom="0.5" header="0.25" footer="0.25"/>
  <pageSetup scale="74" firstPageNumber="39" orientation="portrait" useFirstPageNumber="1" r:id="rId1"/>
  <headerFooter scaleWithDoc="0">
    <oddFooter>&amp;L&amp;9&amp;F - &amp;A&amp;C&amp;9Marina Coast Water District&amp;R&amp;9&amp;P</oddFooter>
  </headerFooter>
  <colBreaks count="6" manualBreakCount="6">
    <brk id="7" max="36" man="1"/>
    <brk id="14" max="36" man="1"/>
    <brk id="20" max="36" man="1"/>
    <brk id="26" max="36" man="1"/>
    <brk id="32" max="36" man="1"/>
    <brk id="37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"/>
  <sheetViews>
    <sheetView workbookViewId="0">
      <pane xSplit="1" topLeftCell="O1" activePane="topRight" state="frozenSplit"/>
      <selection pane="topRight" activeCell="W25" sqref="W25"/>
    </sheetView>
  </sheetViews>
  <sheetFormatPr defaultColWidth="9.140625" defaultRowHeight="15" outlineLevelCol="2" x14ac:dyDescent="0.25"/>
  <cols>
    <col min="1" max="1" width="35.28515625" style="263" customWidth="1"/>
    <col min="2" max="2" width="13.28515625" style="263" hidden="1" customWidth="1" outlineLevel="1"/>
    <col min="3" max="3" width="12.28515625" style="263" hidden="1" customWidth="1" collapsed="1"/>
    <col min="4" max="5" width="11.5703125" style="263" hidden="1" customWidth="1"/>
    <col min="6" max="7" width="17.28515625" style="263" hidden="1" customWidth="1"/>
    <col min="8" max="8" width="14.7109375" style="263" hidden="1" customWidth="1" outlineLevel="1"/>
    <col min="9" max="9" width="11.5703125" style="263" hidden="1" customWidth="1" collapsed="1"/>
    <col min="10" max="11" width="11.5703125" style="263" hidden="1" customWidth="1"/>
    <col min="12" max="13" width="17.28515625" style="263" hidden="1" customWidth="1"/>
    <col min="14" max="14" width="13.28515625" style="263" hidden="1" customWidth="1" outlineLevel="1"/>
    <col min="15" max="15" width="11.5703125" style="263" customWidth="1" collapsed="1"/>
    <col min="16" max="17" width="11.5703125" style="263" customWidth="1"/>
    <col min="18" max="19" width="17.28515625" style="263" customWidth="1"/>
    <col min="20" max="20" width="14.7109375" style="263" hidden="1" customWidth="1" outlineLevel="1"/>
    <col min="21" max="21" width="11.5703125" style="263" customWidth="1" collapsed="1"/>
    <col min="22" max="23" width="11.5703125" style="263" customWidth="1"/>
    <col min="24" max="25" width="17.28515625" style="263" customWidth="1"/>
    <col min="26" max="26" width="14.7109375" style="263" hidden="1" customWidth="1" outlineLevel="1"/>
    <col min="27" max="27" width="11.5703125" style="263" hidden="1" customWidth="1" outlineLevel="1" collapsed="1"/>
    <col min="28" max="29" width="11.5703125" style="263" hidden="1" customWidth="1" outlineLevel="1"/>
    <col min="30" max="31" width="17.28515625" style="263" hidden="1" customWidth="1" outlineLevel="1"/>
    <col min="32" max="32" width="14.7109375" style="263" hidden="1" customWidth="1" outlineLevel="2"/>
    <col min="33" max="35" width="11.5703125" style="263" hidden="1" customWidth="1" outlineLevel="1"/>
    <col min="36" max="37" width="17.28515625" style="263" hidden="1" customWidth="1" outlineLevel="1"/>
    <col min="38" max="38" width="12.7109375" style="263" hidden="1" customWidth="1" collapsed="1"/>
    <col min="39" max="40" width="11.5703125" style="263" hidden="1" customWidth="1"/>
    <col min="41" max="42" width="17.28515625" style="263" hidden="1" customWidth="1"/>
    <col min="43" max="16384" width="9.140625" style="263"/>
  </cols>
  <sheetData>
    <row r="1" spans="1:42" ht="15.75" x14ac:dyDescent="0.25">
      <c r="A1" s="1" t="s">
        <v>31</v>
      </c>
      <c r="B1" s="1"/>
      <c r="C1" s="1"/>
      <c r="D1" s="25"/>
      <c r="E1" s="25"/>
      <c r="F1" s="1"/>
      <c r="G1" s="1"/>
      <c r="H1" s="1"/>
      <c r="I1" s="1"/>
      <c r="J1" s="25"/>
      <c r="K1" s="25"/>
      <c r="L1" s="1"/>
      <c r="M1" s="1"/>
      <c r="N1" s="1"/>
      <c r="O1" s="1"/>
      <c r="P1" s="25"/>
      <c r="Q1" s="25"/>
      <c r="R1" s="1"/>
      <c r="S1" s="1"/>
      <c r="T1" s="1"/>
      <c r="U1" s="1"/>
      <c r="V1" s="25"/>
      <c r="W1" s="25"/>
      <c r="X1" s="1"/>
      <c r="Y1" s="1"/>
      <c r="Z1" s="1"/>
      <c r="AA1" s="1"/>
      <c r="AB1" s="25"/>
      <c r="AC1" s="25"/>
      <c r="AD1" s="1"/>
      <c r="AE1" s="1"/>
      <c r="AF1" s="1"/>
      <c r="AG1" s="25"/>
      <c r="AH1" s="25"/>
      <c r="AI1" s="25"/>
      <c r="AJ1" s="1"/>
      <c r="AK1" s="1"/>
      <c r="AL1" s="1"/>
      <c r="AM1" s="1"/>
      <c r="AN1" s="1"/>
      <c r="AO1" s="1"/>
      <c r="AP1" s="1"/>
    </row>
    <row r="2" spans="1:42" ht="15.75" x14ac:dyDescent="0.25">
      <c r="A2" s="1" t="s">
        <v>1835</v>
      </c>
      <c r="B2" s="1"/>
      <c r="C2" s="1"/>
      <c r="D2" s="25"/>
      <c r="E2" s="25"/>
      <c r="F2" s="1"/>
      <c r="G2" s="1"/>
      <c r="H2" s="1"/>
      <c r="I2" s="1"/>
      <c r="J2" s="25"/>
      <c r="K2" s="25"/>
      <c r="L2" s="1"/>
      <c r="M2" s="1"/>
      <c r="N2" s="1"/>
      <c r="O2" s="1"/>
      <c r="P2" s="25"/>
      <c r="Q2" s="25"/>
      <c r="R2" s="1"/>
      <c r="S2" s="1"/>
      <c r="T2" s="1"/>
      <c r="U2" s="1"/>
      <c r="V2" s="25"/>
      <c r="W2" s="25"/>
      <c r="X2" s="1"/>
      <c r="Y2" s="1"/>
      <c r="Z2" s="1"/>
      <c r="AA2" s="1"/>
      <c r="AB2" s="25"/>
      <c r="AC2" s="25"/>
      <c r="AD2" s="1"/>
      <c r="AE2" s="1"/>
      <c r="AF2" s="1"/>
      <c r="AG2" s="25"/>
      <c r="AH2" s="25"/>
      <c r="AI2" s="25"/>
      <c r="AJ2" s="1"/>
      <c r="AK2" s="1"/>
      <c r="AL2" s="1"/>
      <c r="AM2" s="1"/>
      <c r="AN2" s="1"/>
      <c r="AO2" s="1"/>
      <c r="AP2" s="1"/>
    </row>
    <row r="3" spans="1:42" ht="15.75" x14ac:dyDescent="0.25">
      <c r="A3" s="1" t="str">
        <f>'All Departments'!A3</f>
        <v>JULY - DECEMBER 2014</v>
      </c>
      <c r="B3" s="1"/>
      <c r="C3" s="1"/>
      <c r="D3" s="25"/>
      <c r="E3" s="25"/>
      <c r="F3" s="1"/>
      <c r="G3" s="1"/>
      <c r="H3" s="1"/>
      <c r="I3" s="1"/>
      <c r="J3" s="25"/>
      <c r="K3" s="25"/>
      <c r="L3" s="1"/>
      <c r="M3" s="1"/>
      <c r="N3" s="1"/>
      <c r="O3" s="1"/>
      <c r="P3" s="25"/>
      <c r="Q3" s="25"/>
      <c r="R3" s="1"/>
      <c r="S3" s="1"/>
      <c r="T3" s="1"/>
      <c r="U3" s="1"/>
      <c r="V3" s="25"/>
      <c r="W3" s="25"/>
      <c r="X3" s="1"/>
      <c r="Y3" s="1"/>
      <c r="Z3" s="1"/>
      <c r="AA3" s="1"/>
      <c r="AB3" s="25"/>
      <c r="AC3" s="25"/>
      <c r="AD3" s="1"/>
      <c r="AE3" s="1"/>
      <c r="AF3" s="1"/>
      <c r="AG3" s="25"/>
      <c r="AH3" s="25"/>
      <c r="AI3" s="25"/>
      <c r="AJ3" s="1"/>
      <c r="AK3" s="1"/>
      <c r="AL3" s="1"/>
      <c r="AM3" s="1"/>
      <c r="AN3" s="1"/>
      <c r="AO3" s="1"/>
      <c r="AP3" s="1"/>
    </row>
    <row r="4" spans="1:42" ht="15.75" x14ac:dyDescent="0.25">
      <c r="A4" s="1"/>
      <c r="B4" s="1"/>
      <c r="C4" s="1"/>
      <c r="D4" s="25"/>
      <c r="E4" s="25"/>
      <c r="F4" s="1"/>
      <c r="G4" s="1"/>
      <c r="H4" s="1"/>
      <c r="I4" s="1"/>
      <c r="J4" s="25"/>
      <c r="K4" s="25"/>
      <c r="L4" s="1"/>
      <c r="M4" s="1"/>
      <c r="N4" s="1"/>
      <c r="O4" s="1"/>
      <c r="P4" s="25"/>
      <c r="Q4" s="25"/>
      <c r="R4" s="1"/>
      <c r="S4" s="1"/>
      <c r="T4" s="1"/>
      <c r="U4" s="1"/>
      <c r="V4" s="25"/>
      <c r="W4" s="25"/>
      <c r="X4" s="1"/>
      <c r="Y4" s="1"/>
      <c r="Z4" s="1"/>
      <c r="AA4" s="1"/>
      <c r="AB4" s="25"/>
      <c r="AC4" s="25"/>
      <c r="AD4" s="1"/>
      <c r="AE4" s="1"/>
      <c r="AF4" s="1"/>
      <c r="AG4" s="25"/>
      <c r="AH4" s="25"/>
      <c r="AI4" s="25"/>
      <c r="AJ4" s="1"/>
      <c r="AK4" s="1"/>
      <c r="AL4" s="1"/>
      <c r="AM4" s="1"/>
      <c r="AN4" s="1"/>
      <c r="AO4" s="1"/>
      <c r="AP4" s="1"/>
    </row>
    <row r="5" spans="1:42" s="3" customFormat="1" ht="15.75" x14ac:dyDescent="0.25">
      <c r="A5" s="2" t="s">
        <v>0</v>
      </c>
      <c r="B5" s="80"/>
      <c r="C5" s="567" t="s">
        <v>25</v>
      </c>
      <c r="D5" s="567"/>
      <c r="E5" s="567"/>
      <c r="F5" s="567"/>
      <c r="G5" s="568"/>
      <c r="H5" s="76"/>
      <c r="I5" s="567" t="s">
        <v>26</v>
      </c>
      <c r="J5" s="567"/>
      <c r="K5" s="567"/>
      <c r="L5" s="567"/>
      <c r="M5" s="568"/>
      <c r="N5" s="76"/>
      <c r="O5" s="567" t="s">
        <v>27</v>
      </c>
      <c r="P5" s="567"/>
      <c r="Q5" s="567"/>
      <c r="R5" s="567"/>
      <c r="S5" s="568"/>
      <c r="T5" s="76"/>
      <c r="U5" s="567" t="s">
        <v>28</v>
      </c>
      <c r="V5" s="567"/>
      <c r="W5" s="567"/>
      <c r="X5" s="567"/>
      <c r="Y5" s="568"/>
      <c r="Z5" s="76"/>
      <c r="AA5" s="567" t="s">
        <v>184</v>
      </c>
      <c r="AB5" s="567"/>
      <c r="AC5" s="567"/>
      <c r="AD5" s="567"/>
      <c r="AE5" s="568"/>
      <c r="AF5" s="76"/>
      <c r="AG5" s="567" t="s">
        <v>187</v>
      </c>
      <c r="AH5" s="567"/>
      <c r="AI5" s="567"/>
      <c r="AJ5" s="567"/>
      <c r="AK5" s="568"/>
      <c r="AL5" s="569" t="s">
        <v>29</v>
      </c>
      <c r="AM5" s="567"/>
      <c r="AN5" s="567"/>
      <c r="AO5" s="567"/>
      <c r="AP5" s="568"/>
    </row>
    <row r="6" spans="1:42" ht="15.75" x14ac:dyDescent="0.25">
      <c r="A6" s="4" t="s">
        <v>23</v>
      </c>
      <c r="B6" s="77" t="s">
        <v>952</v>
      </c>
      <c r="C6" s="24" t="s">
        <v>1094</v>
      </c>
      <c r="D6" s="24" t="s">
        <v>1092</v>
      </c>
      <c r="E6" s="24" t="s">
        <v>1092</v>
      </c>
      <c r="F6" s="24" t="s">
        <v>1095</v>
      </c>
      <c r="G6" s="36" t="s">
        <v>1095</v>
      </c>
      <c r="H6" s="77" t="s">
        <v>952</v>
      </c>
      <c r="I6" s="24" t="str">
        <f>$C$6</f>
        <v>ANNUAL</v>
      </c>
      <c r="J6" s="24" t="str">
        <f>$D$6</f>
        <v>JUL - DEC</v>
      </c>
      <c r="K6" s="24" t="str">
        <f>$E$6</f>
        <v>JUL - DEC</v>
      </c>
      <c r="L6" s="24" t="str">
        <f>$F$6</f>
        <v>BUD vs ACTUALS</v>
      </c>
      <c r="M6" s="36" t="str">
        <f>$G$6</f>
        <v>BUD vs ACTUALS</v>
      </c>
      <c r="N6" s="77" t="s">
        <v>952</v>
      </c>
      <c r="O6" s="24" t="str">
        <f>$C$6</f>
        <v>ANNUAL</v>
      </c>
      <c r="P6" s="24" t="str">
        <f>$D$6</f>
        <v>JUL - DEC</v>
      </c>
      <c r="Q6" s="24" t="str">
        <f>$E$6</f>
        <v>JUL - DEC</v>
      </c>
      <c r="R6" s="24" t="str">
        <f>$F$6</f>
        <v>BUD vs ACTUALS</v>
      </c>
      <c r="S6" s="36" t="str">
        <f>$G$6</f>
        <v>BUD vs ACTUALS</v>
      </c>
      <c r="T6" s="77" t="s">
        <v>952</v>
      </c>
      <c r="U6" s="24" t="str">
        <f>$C$6</f>
        <v>ANNUAL</v>
      </c>
      <c r="V6" s="24" t="str">
        <f>$D$6</f>
        <v>JUL - DEC</v>
      </c>
      <c r="W6" s="24" t="str">
        <f>$E$6</f>
        <v>JUL - DEC</v>
      </c>
      <c r="X6" s="24" t="str">
        <f>$F$6</f>
        <v>BUD vs ACTUALS</v>
      </c>
      <c r="Y6" s="36" t="str">
        <f>$G$6</f>
        <v>BUD vs ACTUALS</v>
      </c>
      <c r="Z6" s="77" t="s">
        <v>952</v>
      </c>
      <c r="AA6" s="24" t="str">
        <f>$C$6</f>
        <v>ANNUAL</v>
      </c>
      <c r="AB6" s="24" t="str">
        <f>$D$6</f>
        <v>JUL - DEC</v>
      </c>
      <c r="AC6" s="24" t="str">
        <f>$E$6</f>
        <v>JUL - DEC</v>
      </c>
      <c r="AD6" s="24" t="str">
        <f>$F$6</f>
        <v>BUD vs ACTUALS</v>
      </c>
      <c r="AE6" s="36" t="str">
        <f>$G$6</f>
        <v>BUD vs ACTUALS</v>
      </c>
      <c r="AF6" s="77" t="s">
        <v>952</v>
      </c>
      <c r="AG6" s="24" t="str">
        <f>$C$6</f>
        <v>ANNUAL</v>
      </c>
      <c r="AH6" s="24" t="str">
        <f>$D$6</f>
        <v>JUL - DEC</v>
      </c>
      <c r="AI6" s="24" t="str">
        <f>$E$6</f>
        <v>JUL - DEC</v>
      </c>
      <c r="AJ6" s="24" t="str">
        <f>$F$6</f>
        <v>BUD vs ACTUALS</v>
      </c>
      <c r="AK6" s="36" t="str">
        <f>$G$6</f>
        <v>BUD vs ACTUALS</v>
      </c>
      <c r="AL6" s="35" t="str">
        <f>$C$6</f>
        <v>ANNUAL</v>
      </c>
      <c r="AM6" s="24" t="str">
        <f>$D$6</f>
        <v>JUL - DEC</v>
      </c>
      <c r="AN6" s="24" t="str">
        <f>$E$6</f>
        <v>JUL - DEC</v>
      </c>
      <c r="AO6" s="24" t="str">
        <f>$F$6</f>
        <v>BUD vs ACTUALS</v>
      </c>
      <c r="AP6" s="36" t="str">
        <f>$G$6</f>
        <v>BUD vs ACTUALS</v>
      </c>
    </row>
    <row r="7" spans="1:42" ht="15.75" x14ac:dyDescent="0.25">
      <c r="A7" s="5"/>
      <c r="B7" s="78" t="s">
        <v>953</v>
      </c>
      <c r="C7" s="6" t="s">
        <v>1093</v>
      </c>
      <c r="D7" s="6" t="s">
        <v>1093</v>
      </c>
      <c r="E7" s="6" t="s">
        <v>845</v>
      </c>
      <c r="F7" s="6" t="s">
        <v>1096</v>
      </c>
      <c r="G7" s="7" t="s">
        <v>35</v>
      </c>
      <c r="H7" s="78" t="s">
        <v>953</v>
      </c>
      <c r="I7" s="6" t="str">
        <f>$C$7</f>
        <v>BUDGET</v>
      </c>
      <c r="J7" s="6" t="str">
        <f>$D$7</f>
        <v>BUDGET</v>
      </c>
      <c r="K7" s="6" t="str">
        <f>$E$7</f>
        <v>ACTUALS</v>
      </c>
      <c r="L7" s="6" t="str">
        <f>$F$7</f>
        <v>$ CHANGE</v>
      </c>
      <c r="M7" s="7" t="str">
        <f>$G$7</f>
        <v>% CHANGE</v>
      </c>
      <c r="N7" s="78" t="s">
        <v>953</v>
      </c>
      <c r="O7" s="6" t="str">
        <f>$C$7</f>
        <v>BUDGET</v>
      </c>
      <c r="P7" s="6" t="str">
        <f>$D$7</f>
        <v>BUDGET</v>
      </c>
      <c r="Q7" s="6" t="str">
        <f>$E$7</f>
        <v>ACTUALS</v>
      </c>
      <c r="R7" s="6" t="str">
        <f>$F$7</f>
        <v>$ CHANGE</v>
      </c>
      <c r="S7" s="7" t="str">
        <f>$G$7</f>
        <v>% CHANGE</v>
      </c>
      <c r="T7" s="78" t="s">
        <v>953</v>
      </c>
      <c r="U7" s="6" t="str">
        <f>$C$7</f>
        <v>BUDGET</v>
      </c>
      <c r="V7" s="6" t="str">
        <f>$D$7</f>
        <v>BUDGET</v>
      </c>
      <c r="W7" s="6" t="str">
        <f>$E$7</f>
        <v>ACTUALS</v>
      </c>
      <c r="X7" s="6" t="str">
        <f>$F$7</f>
        <v>$ CHANGE</v>
      </c>
      <c r="Y7" s="7" t="str">
        <f>$G$7</f>
        <v>% CHANGE</v>
      </c>
      <c r="Z7" s="78" t="s">
        <v>953</v>
      </c>
      <c r="AA7" s="6" t="str">
        <f>$C$7</f>
        <v>BUDGET</v>
      </c>
      <c r="AB7" s="6" t="str">
        <f>$D$7</f>
        <v>BUDGET</v>
      </c>
      <c r="AC7" s="6" t="str">
        <f>$E$7</f>
        <v>ACTUALS</v>
      </c>
      <c r="AD7" s="6" t="str">
        <f>$F$7</f>
        <v>$ CHANGE</v>
      </c>
      <c r="AE7" s="7" t="str">
        <f>$G$7</f>
        <v>% CHANGE</v>
      </c>
      <c r="AF7" s="78" t="s">
        <v>953</v>
      </c>
      <c r="AG7" s="6" t="str">
        <f>$C$7</f>
        <v>BUDGET</v>
      </c>
      <c r="AH7" s="6" t="str">
        <f>$D$7</f>
        <v>BUDGET</v>
      </c>
      <c r="AI7" s="6" t="str">
        <f>$E$7</f>
        <v>ACTUALS</v>
      </c>
      <c r="AJ7" s="6" t="str">
        <f>$F$7</f>
        <v>$ CHANGE</v>
      </c>
      <c r="AK7" s="7" t="str">
        <f>$G$7</f>
        <v>% CHANGE</v>
      </c>
      <c r="AL7" s="154" t="str">
        <f>$C$7</f>
        <v>BUDGET</v>
      </c>
      <c r="AM7" s="6" t="str">
        <f>$D$7</f>
        <v>BUDGET</v>
      </c>
      <c r="AN7" s="6" t="str">
        <f>$E$7</f>
        <v>ACTUALS</v>
      </c>
      <c r="AO7" s="6" t="str">
        <f>$F$7</f>
        <v>$ CHANGE</v>
      </c>
      <c r="AP7" s="7" t="str">
        <f>$G$7</f>
        <v>% CHANGE</v>
      </c>
    </row>
    <row r="8" spans="1:42" ht="15.75" x14ac:dyDescent="0.25">
      <c r="A8" s="8"/>
      <c r="B8" s="8"/>
      <c r="C8" s="9"/>
      <c r="D8" s="119"/>
      <c r="E8" s="119"/>
      <c r="F8" s="9"/>
      <c r="G8" s="11"/>
      <c r="H8" s="8"/>
      <c r="I8" s="9"/>
      <c r="J8" s="119"/>
      <c r="K8" s="119"/>
      <c r="L8" s="9"/>
      <c r="M8" s="11"/>
      <c r="N8" s="8"/>
      <c r="O8" s="9"/>
      <c r="P8" s="119"/>
      <c r="Q8" s="119"/>
      <c r="R8" s="9"/>
      <c r="S8" s="11"/>
      <c r="T8" s="8"/>
      <c r="U8" s="9"/>
      <c r="V8" s="119"/>
      <c r="W8" s="119"/>
      <c r="X8" s="9"/>
      <c r="Y8" s="11"/>
      <c r="Z8" s="8"/>
      <c r="AA8" s="9"/>
      <c r="AB8" s="119"/>
      <c r="AC8" s="119"/>
      <c r="AD8" s="9"/>
      <c r="AE8" s="11"/>
      <c r="AF8" s="8"/>
      <c r="AG8" s="119"/>
      <c r="AH8" s="119"/>
      <c r="AI8" s="119"/>
      <c r="AJ8" s="9"/>
      <c r="AK8" s="11"/>
      <c r="AL8" s="161"/>
      <c r="AM8" s="9"/>
      <c r="AN8" s="9"/>
      <c r="AO8" s="9"/>
      <c r="AP8" s="11"/>
    </row>
    <row r="9" spans="1:42" s="505" customFormat="1" ht="15.75" x14ac:dyDescent="0.25">
      <c r="A9" s="498" t="s">
        <v>1484</v>
      </c>
      <c r="B9" s="131" t="s">
        <v>1483</v>
      </c>
      <c r="C9" s="14">
        <f>VLOOKUP(B9,'TB - Fixed Assets and CIP'!$C$2:$K$207,3,FALSE)</f>
        <v>2592</v>
      </c>
      <c r="D9" s="14">
        <f>C9/2</f>
        <v>1296</v>
      </c>
      <c r="E9" s="14">
        <f>VLOOKUP(B9,'TB - Fixed Assets and CIP'!$C$5:$K$208,9,FALSE)</f>
        <v>0</v>
      </c>
      <c r="F9" s="92">
        <f>E9-D9</f>
        <v>-1296</v>
      </c>
      <c r="G9" s="48">
        <f>IF(AND(D9&lt;&gt;0,F9&lt;&gt;0,ISNUMBER(D9),ISNUMBER(F9)),F9/D9,"-    ")</f>
        <v>-1</v>
      </c>
      <c r="H9" s="131" t="s">
        <v>1572</v>
      </c>
      <c r="I9" s="14">
        <f>VLOOKUP(H9,'TB - Fixed Assets and CIP'!$C$2:$K$207,3,FALSE)</f>
        <v>0</v>
      </c>
      <c r="J9" s="14">
        <f>I9/2</f>
        <v>0</v>
      </c>
      <c r="K9" s="14">
        <f>VLOOKUP(H9,'TB - Fixed Assets and CIP'!$C$5:$K$208,9,FALSE)</f>
        <v>0</v>
      </c>
      <c r="L9" s="92">
        <f>K9-J9</f>
        <v>0</v>
      </c>
      <c r="M9" s="48" t="str">
        <f>IF(AND(J9&lt;&gt;0,L9&lt;&gt;0,ISNUMBER(J9),ISNUMBER(L9)),L9/J9,"-    ")</f>
        <v xml:space="preserve">-    </v>
      </c>
      <c r="N9" s="131" t="s">
        <v>1621</v>
      </c>
      <c r="O9" s="14">
        <f>VLOOKUP(N9,'TB - Fixed Assets and CIP'!$C$2:$K$207,3,FALSE)</f>
        <v>4608</v>
      </c>
      <c r="P9" s="14">
        <f>O9/2</f>
        <v>2304</v>
      </c>
      <c r="Q9" s="14">
        <f>VLOOKUP(N9,'TB - Fixed Assets and CIP'!$C$5:$K$208,9,FALSE)</f>
        <v>0</v>
      </c>
      <c r="R9" s="92">
        <f>Q9-P9</f>
        <v>-2304</v>
      </c>
      <c r="S9" s="48">
        <f>IF(AND(P9&lt;&gt;0,R9&lt;&gt;0,ISNUMBER(P9),ISNUMBER(R9)),R9/P9,"-    ")</f>
        <v>-1</v>
      </c>
      <c r="T9" s="131" t="s">
        <v>1705</v>
      </c>
      <c r="U9" s="14">
        <f>VLOOKUP(T9,'TB - Fixed Assets and CIP'!$C$2:$K$207,3,FALSE)</f>
        <v>0</v>
      </c>
      <c r="V9" s="14">
        <f>U9/2</f>
        <v>0</v>
      </c>
      <c r="W9" s="14">
        <f>VLOOKUP(T9,'TB - Fixed Assets and CIP'!$C$5:$K$208,9,FALSE)</f>
        <v>0</v>
      </c>
      <c r="X9" s="92">
        <f>W9-V9</f>
        <v>0</v>
      </c>
      <c r="Y9" s="48" t="str">
        <f>IF(AND(V9&lt;&gt;0,X9&lt;&gt;0,ISNUMBER(V9),ISNUMBER(X9)),X9/V9,"-    ")</f>
        <v xml:space="preserve">-    </v>
      </c>
      <c r="Z9" s="131" t="s">
        <v>979</v>
      </c>
      <c r="AA9" s="14">
        <f>VLOOKUP(Z9,'TB - Fixed Assets and CIP'!$C$5:$K$208,3,FALSE)</f>
        <v>0</v>
      </c>
      <c r="AB9" s="14">
        <f>AA9/2</f>
        <v>0</v>
      </c>
      <c r="AC9" s="14">
        <f>VLOOKUP(Z9,'TB - Fixed Assets and CIP'!$C$5:$K$208,9,FALSE)</f>
        <v>0</v>
      </c>
      <c r="AD9" s="92">
        <f>AC9-AB9</f>
        <v>0</v>
      </c>
      <c r="AE9" s="48" t="str">
        <f>IF(AND(AB9&lt;&gt;0,AD9&lt;&gt;0,ISNUMBER(AB9),ISNUMBER(AD9)),AD9/AB9,"-    ")</f>
        <v xml:space="preserve">-    </v>
      </c>
      <c r="AF9" s="131" t="s">
        <v>979</v>
      </c>
      <c r="AG9" s="14">
        <f>VLOOKUP(AF9,'TB - Fixed Assets and CIP'!$C$5:$K$208,3,FALSE)</f>
        <v>0</v>
      </c>
      <c r="AH9" s="14">
        <f>AG9/2</f>
        <v>0</v>
      </c>
      <c r="AI9" s="14">
        <f>VLOOKUP(AF9,'TB - Fixed Assets and CIP'!$C$5:$K$208,9,FALSE)</f>
        <v>0</v>
      </c>
      <c r="AJ9" s="92">
        <f>AI9-AH9</f>
        <v>0</v>
      </c>
      <c r="AK9" s="48" t="str">
        <f>IF(AND(AH9&lt;&gt;0,AJ9&lt;&gt;0,ISNUMBER(AH9),ISNUMBER(AJ9)),AJ9/AH9,"-    ")</f>
        <v xml:space="preserve">-    </v>
      </c>
      <c r="AL9" s="156">
        <f t="shared" ref="AL9:AN12" si="0">C9+I9+O9+U9+AA9+AG9</f>
        <v>7200</v>
      </c>
      <c r="AM9" s="14">
        <f t="shared" si="0"/>
        <v>3600</v>
      </c>
      <c r="AN9" s="26">
        <f t="shared" si="0"/>
        <v>0</v>
      </c>
      <c r="AO9" s="92">
        <f>AN9-AM9</f>
        <v>-3600</v>
      </c>
      <c r="AP9" s="48">
        <f>IF(AND(AM9&lt;&gt;0,AO9&lt;&gt;0,ISNUMBER(AM9),ISNUMBER(AO9)),AO9/AM9,"-    ")</f>
        <v>-1</v>
      </c>
    </row>
    <row r="10" spans="1:42" ht="15.75" x14ac:dyDescent="0.25">
      <c r="A10" s="13" t="s">
        <v>1486</v>
      </c>
      <c r="B10" s="131" t="s">
        <v>1485</v>
      </c>
      <c r="C10" s="14">
        <f>VLOOKUP(B10,'TB - Fixed Assets and CIP'!$C$2:$K$207,3,FALSE)</f>
        <v>20467</v>
      </c>
      <c r="D10" s="14">
        <f>C10/2</f>
        <v>10233.5</v>
      </c>
      <c r="E10" s="14">
        <f>VLOOKUP(B10,'TB - Fixed Assets and CIP'!$C$5:$K$208,9,FALSE)</f>
        <v>2996.1</v>
      </c>
      <c r="F10" s="92">
        <f>E10-D10</f>
        <v>-7237.4</v>
      </c>
      <c r="G10" s="48">
        <f>IF(AND(D10&lt;&gt;0,F10&lt;&gt;0,ISNUMBER(D10),ISNUMBER(F10)),F10/D10,"-    ")</f>
        <v>-0.70722626667318123</v>
      </c>
      <c r="H10" s="131" t="s">
        <v>1573</v>
      </c>
      <c r="I10" s="14">
        <f>VLOOKUP(H10,'TB - Fixed Assets and CIP'!$C$2:$K$207,3,FALSE)</f>
        <v>5646</v>
      </c>
      <c r="J10" s="14">
        <f>I10/2</f>
        <v>2823</v>
      </c>
      <c r="K10" s="14">
        <f>VLOOKUP(H10,'TB - Fixed Assets and CIP'!$C$5:$K$208,9,FALSE)</f>
        <v>826.51</v>
      </c>
      <c r="L10" s="92">
        <f>K10-J10</f>
        <v>-1996.49</v>
      </c>
      <c r="M10" s="48">
        <f>IF(AND(J10&lt;&gt;0,L10&lt;&gt;0,ISNUMBER(J10),ISNUMBER(L10)),L10/J10,"-    ")</f>
        <v>-0.70722281261069786</v>
      </c>
      <c r="N10" s="131" t="s">
        <v>1622</v>
      </c>
      <c r="O10" s="14">
        <f>VLOOKUP(N10,'TB - Fixed Assets and CIP'!$C$2:$K$207,3,FALSE)</f>
        <v>36699</v>
      </c>
      <c r="P10" s="14">
        <f>O10/2</f>
        <v>18349.5</v>
      </c>
      <c r="Q10" s="14">
        <f>VLOOKUP(N10,'TB - Fixed Assets and CIP'!$C$5:$K$208,9,FALSE)</f>
        <v>5372.31</v>
      </c>
      <c r="R10" s="92">
        <f>Q10-P10</f>
        <v>-12977.189999999999</v>
      </c>
      <c r="S10" s="48">
        <f>IF(AND(P10&lt;&gt;0,R10&lt;&gt;0,ISNUMBER(P10),ISNUMBER(R10)),R10/P10,"-    ")</f>
        <v>-0.7072230850976865</v>
      </c>
      <c r="T10" s="131" t="s">
        <v>1706</v>
      </c>
      <c r="U10" s="14">
        <f>VLOOKUP(T10,'TB - Fixed Assets and CIP'!$C$2:$K$207,3,FALSE)</f>
        <v>7763</v>
      </c>
      <c r="V10" s="14">
        <f>U10/2</f>
        <v>3881.5</v>
      </c>
      <c r="W10" s="14">
        <f>VLOOKUP(T10,'TB - Fixed Assets and CIP'!$C$5:$K$208,9,FALSE)</f>
        <v>1136.45</v>
      </c>
      <c r="X10" s="92">
        <f>W10-V10</f>
        <v>-2745.05</v>
      </c>
      <c r="Y10" s="48">
        <f>IF(AND(V10&lt;&gt;0,X10&lt;&gt;0,ISNUMBER(V10),ISNUMBER(X10)),X10/V10,"-    ")</f>
        <v>-0.70721370604147882</v>
      </c>
      <c r="Z10" s="131" t="s">
        <v>979</v>
      </c>
      <c r="AA10" s="14">
        <f>VLOOKUP(Z10,'TB - Fixed Assets and CIP'!$C$5:$K$208,3,FALSE)</f>
        <v>0</v>
      </c>
      <c r="AB10" s="14">
        <f>AA10/2</f>
        <v>0</v>
      </c>
      <c r="AC10" s="14">
        <f>VLOOKUP(Z10,'TB - Fixed Assets and CIP'!$C$5:$K$208,9,FALSE)</f>
        <v>0</v>
      </c>
      <c r="AD10" s="92">
        <f>AC10-AB10</f>
        <v>0</v>
      </c>
      <c r="AE10" s="48" t="str">
        <f>IF(AND(AB10&lt;&gt;0,AD10&lt;&gt;0,ISNUMBER(AB10),ISNUMBER(AD10)),AD10/AB10,"-    ")</f>
        <v xml:space="preserve">-    </v>
      </c>
      <c r="AF10" s="131" t="s">
        <v>979</v>
      </c>
      <c r="AG10" s="14">
        <f>VLOOKUP(AF10,'TB - Fixed Assets and CIP'!$C$5:$K$208,3,FALSE)</f>
        <v>0</v>
      </c>
      <c r="AH10" s="14">
        <f>AG10/2</f>
        <v>0</v>
      </c>
      <c r="AI10" s="14">
        <f>VLOOKUP(AF10,'TB - Fixed Assets and CIP'!$C$5:$K$208,9,FALSE)</f>
        <v>0</v>
      </c>
      <c r="AJ10" s="92">
        <f>AI10-AH10</f>
        <v>0</v>
      </c>
      <c r="AK10" s="48" t="str">
        <f>IF(AND(AH10&lt;&gt;0,AJ10&lt;&gt;0,ISNUMBER(AH10),ISNUMBER(AJ10)),AJ10/AH10,"-    ")</f>
        <v xml:space="preserve">-    </v>
      </c>
      <c r="AL10" s="156">
        <f t="shared" si="0"/>
        <v>70575</v>
      </c>
      <c r="AM10" s="14">
        <f t="shared" si="0"/>
        <v>35287.5</v>
      </c>
      <c r="AN10" s="26">
        <f t="shared" si="0"/>
        <v>10331.370000000001</v>
      </c>
      <c r="AO10" s="92">
        <f>AN10-AM10</f>
        <v>-24956.129999999997</v>
      </c>
      <c r="AP10" s="48">
        <f>IF(AND(AM10&lt;&gt;0,AO10&lt;&gt;0,ISNUMBER(AM10),ISNUMBER(AO10)),AO10/AM10,"-    ")</f>
        <v>-0.70722295430393189</v>
      </c>
    </row>
    <row r="11" spans="1:42" ht="15.75" x14ac:dyDescent="0.25">
      <c r="A11" s="13" t="s">
        <v>1493</v>
      </c>
      <c r="B11" s="131" t="s">
        <v>1492</v>
      </c>
      <c r="C11" s="14">
        <f>VLOOKUP(B11,'TB - Fixed Assets and CIP'!$C$2:$K$207,3,FALSE)</f>
        <v>29000</v>
      </c>
      <c r="D11" s="14">
        <f>C11/2</f>
        <v>14500</v>
      </c>
      <c r="E11" s="14">
        <f>VLOOKUP(B11,'TB - Fixed Assets and CIP'!$C$5:$K$208,9,FALSE)</f>
        <v>5915.4</v>
      </c>
      <c r="F11" s="92">
        <f>E11-D11</f>
        <v>-8584.6</v>
      </c>
      <c r="G11" s="48">
        <f>IF(AND(D11&lt;&gt;0,F11&lt;&gt;0,ISNUMBER(D11),ISNUMBER(F11)),F11/D11,"-    ")</f>
        <v>-0.59204137931034484</v>
      </c>
      <c r="H11" s="131" t="s">
        <v>1576</v>
      </c>
      <c r="I11" s="14">
        <f>VLOOKUP(H11,'TB - Fixed Assets and CIP'!$C$2:$K$207,3,FALSE)</f>
        <v>8000</v>
      </c>
      <c r="J11" s="14">
        <f>I11/2</f>
        <v>4000</v>
      </c>
      <c r="K11" s="14">
        <f>VLOOKUP(H11,'TB - Fixed Assets and CIP'!$C$5:$K$208,9,FALSE)</f>
        <v>1631.83</v>
      </c>
      <c r="L11" s="92">
        <f>K11-J11</f>
        <v>-2368.17</v>
      </c>
      <c r="M11" s="48">
        <f>IF(AND(J11&lt;&gt;0,L11&lt;&gt;0,ISNUMBER(J11),ISNUMBER(L11)),L11/J11,"-    ")</f>
        <v>-0.59204250000000003</v>
      </c>
      <c r="N11" s="131" t="s">
        <v>1628</v>
      </c>
      <c r="O11" s="14">
        <f>VLOOKUP(N11,'TB - Fixed Assets and CIP'!$C$2:$K$207,3,FALSE)</f>
        <v>52000</v>
      </c>
      <c r="P11" s="14">
        <f>O11/2</f>
        <v>26000</v>
      </c>
      <c r="Q11" s="14">
        <f>VLOOKUP(N11,'TB - Fixed Assets and CIP'!$C$5:$K$208,9,FALSE)</f>
        <v>10606.91</v>
      </c>
      <c r="R11" s="92">
        <f>Q11-P11</f>
        <v>-15393.09</v>
      </c>
      <c r="S11" s="48">
        <f>IF(AND(P11&lt;&gt;0,R11&lt;&gt;0,ISNUMBER(P11),ISNUMBER(R11)),R11/P11,"-    ")</f>
        <v>-0.59204192307692305</v>
      </c>
      <c r="T11" s="131" t="s">
        <v>1709</v>
      </c>
      <c r="U11" s="14">
        <f>VLOOKUP(T11,'TB - Fixed Assets and CIP'!$C$2:$K$207,3,FALSE)</f>
        <v>11000</v>
      </c>
      <c r="V11" s="14">
        <f>U11/2</f>
        <v>5500</v>
      </c>
      <c r="W11" s="14">
        <f>VLOOKUP(T11,'TB - Fixed Assets and CIP'!$C$5:$K$208,9,FALSE)</f>
        <v>2243.77</v>
      </c>
      <c r="X11" s="92">
        <f>W11-V11</f>
        <v>-3256.23</v>
      </c>
      <c r="Y11" s="48">
        <f>IF(AND(V11&lt;&gt;0,X11&lt;&gt;0,ISNUMBER(V11),ISNUMBER(X11)),X11/V11,"-    ")</f>
        <v>-0.59204181818181822</v>
      </c>
      <c r="Z11" s="131" t="s">
        <v>979</v>
      </c>
      <c r="AA11" s="14">
        <f>VLOOKUP(Z11,'TB - Fixed Assets and CIP'!$C$5:$K$208,3,FALSE)</f>
        <v>0</v>
      </c>
      <c r="AB11" s="14">
        <f>AA11/2</f>
        <v>0</v>
      </c>
      <c r="AC11" s="14">
        <f>VLOOKUP(Z11,'TB - Fixed Assets and CIP'!$C$5:$K$208,9,FALSE)</f>
        <v>0</v>
      </c>
      <c r="AD11" s="92">
        <f>AC11-AB11</f>
        <v>0</v>
      </c>
      <c r="AE11" s="48" t="str">
        <f>IF(AND(AB11&lt;&gt;0,AD11&lt;&gt;0,ISNUMBER(AB11),ISNUMBER(AD11)),AD11/AB11,"-    ")</f>
        <v xml:space="preserve">-    </v>
      </c>
      <c r="AF11" s="131" t="s">
        <v>979</v>
      </c>
      <c r="AG11" s="14">
        <f>VLOOKUP(AF11,'TB - Fixed Assets and CIP'!$C$5:$K$208,3,FALSE)</f>
        <v>0</v>
      </c>
      <c r="AH11" s="14">
        <f>AG11/2</f>
        <v>0</v>
      </c>
      <c r="AI11" s="14">
        <f>VLOOKUP(AF11,'TB - Fixed Assets and CIP'!$C$5:$K$208,9,FALSE)</f>
        <v>0</v>
      </c>
      <c r="AJ11" s="92">
        <f>AI11-AH11</f>
        <v>0</v>
      </c>
      <c r="AK11" s="48" t="str">
        <f>IF(AND(AH11&lt;&gt;0,AJ11&lt;&gt;0,ISNUMBER(AH11),ISNUMBER(AJ11)),AJ11/AH11,"-    ")</f>
        <v xml:space="preserve">-    </v>
      </c>
      <c r="AL11" s="156">
        <f t="shared" si="0"/>
        <v>100000</v>
      </c>
      <c r="AM11" s="14">
        <f t="shared" si="0"/>
        <v>50000</v>
      </c>
      <c r="AN11" s="26">
        <f t="shared" si="0"/>
        <v>20397.91</v>
      </c>
      <c r="AO11" s="92">
        <f>AN11-AM11</f>
        <v>-29602.09</v>
      </c>
      <c r="AP11" s="48">
        <f>IF(AND(AM11&lt;&gt;0,AO11&lt;&gt;0,ISNUMBER(AM11),ISNUMBER(AO11)),AO11/AM11,"-    ")</f>
        <v>-0.59204179999999995</v>
      </c>
    </row>
    <row r="12" spans="1:42" s="505" customFormat="1" ht="15.75" customHeight="1" x14ac:dyDescent="0.25">
      <c r="A12" s="498" t="s">
        <v>1497</v>
      </c>
      <c r="B12" s="131" t="s">
        <v>1496</v>
      </c>
      <c r="C12" s="14">
        <f>VLOOKUP(B12,'TB - Fixed Assets and CIP'!$C$2:$K$207,3,FALSE)</f>
        <v>56550</v>
      </c>
      <c r="D12" s="14">
        <f>C12/2</f>
        <v>28275</v>
      </c>
      <c r="E12" s="14">
        <f>VLOOKUP(B12,'TB - Fixed Assets and CIP'!$C$5:$K$208,9,FALSE)</f>
        <v>0</v>
      </c>
      <c r="F12" s="92">
        <f>E12-D12</f>
        <v>-28275</v>
      </c>
      <c r="G12" s="48">
        <f>IF(AND(D12&lt;&gt;0,F12&lt;&gt;0,ISNUMBER(D12),ISNUMBER(F12)),F12/D12,"-    ")</f>
        <v>-1</v>
      </c>
      <c r="H12" s="131" t="s">
        <v>1578</v>
      </c>
      <c r="I12" s="14">
        <f>VLOOKUP(H12,'TB - Fixed Assets and CIP'!$C$2:$K$207,3,FALSE)</f>
        <v>15600</v>
      </c>
      <c r="J12" s="14">
        <f>I12/2</f>
        <v>7800</v>
      </c>
      <c r="K12" s="14">
        <f>VLOOKUP(H12,'TB - Fixed Assets and CIP'!$C$5:$K$208,9,FALSE)</f>
        <v>0</v>
      </c>
      <c r="L12" s="92">
        <f>K12-J12</f>
        <v>-7800</v>
      </c>
      <c r="M12" s="48">
        <f>IF(AND(J12&lt;&gt;0,L12&lt;&gt;0,ISNUMBER(J12),ISNUMBER(L12)),L12/J12,"-    ")</f>
        <v>-1</v>
      </c>
      <c r="N12" s="131" t="s">
        <v>1630</v>
      </c>
      <c r="O12" s="14">
        <f>VLOOKUP(N12,'TB - Fixed Assets and CIP'!$C$2:$K$207,3,FALSE)</f>
        <v>101400</v>
      </c>
      <c r="P12" s="14">
        <f>O12/2</f>
        <v>50700</v>
      </c>
      <c r="Q12" s="14">
        <f>VLOOKUP(N12,'TB - Fixed Assets and CIP'!$C$5:$K$208,9,FALSE)</f>
        <v>0</v>
      </c>
      <c r="R12" s="92">
        <f>Q12-P12</f>
        <v>-50700</v>
      </c>
      <c r="S12" s="48">
        <f>IF(AND(P12&lt;&gt;0,R12&lt;&gt;0,ISNUMBER(P12),ISNUMBER(R12)),R12/P12,"-    ")</f>
        <v>-1</v>
      </c>
      <c r="T12" s="131" t="s">
        <v>1711</v>
      </c>
      <c r="U12" s="14">
        <f>VLOOKUP(T12,'TB - Fixed Assets and CIP'!$C$2:$K$207,3,FALSE)</f>
        <v>21450</v>
      </c>
      <c r="V12" s="14">
        <f>U12/2</f>
        <v>10725</v>
      </c>
      <c r="W12" s="14">
        <f>VLOOKUP(T12,'TB - Fixed Assets and CIP'!$C$5:$K$208,9,FALSE)</f>
        <v>0</v>
      </c>
      <c r="X12" s="92">
        <f>W12-V12</f>
        <v>-10725</v>
      </c>
      <c r="Y12" s="48">
        <f>IF(AND(V12&lt;&gt;0,X12&lt;&gt;0,ISNUMBER(V12),ISNUMBER(X12)),X12/V12,"-    ")</f>
        <v>-1</v>
      </c>
      <c r="Z12" s="131" t="s">
        <v>979</v>
      </c>
      <c r="AA12" s="14">
        <f>VLOOKUP(Z12,'TB - Fixed Assets and CIP'!$C$5:$K$208,3,FALSE)</f>
        <v>0</v>
      </c>
      <c r="AB12" s="14">
        <f>AA12/2</f>
        <v>0</v>
      </c>
      <c r="AC12" s="14">
        <f>VLOOKUP(Z12,'TB - Fixed Assets and CIP'!$C$5:$K$208,9,FALSE)</f>
        <v>0</v>
      </c>
      <c r="AD12" s="92">
        <f>AC12-AB12</f>
        <v>0</v>
      </c>
      <c r="AE12" s="48" t="str">
        <f>IF(AND(AB12&lt;&gt;0,AD12&lt;&gt;0,ISNUMBER(AB12),ISNUMBER(AD12)),AD12/AB12,"-    ")</f>
        <v xml:space="preserve">-    </v>
      </c>
      <c r="AF12" s="131" t="s">
        <v>979</v>
      </c>
      <c r="AG12" s="14">
        <f>VLOOKUP(AF12,'TB - Fixed Assets and CIP'!$C$5:$K$208,3,FALSE)</f>
        <v>0</v>
      </c>
      <c r="AH12" s="14">
        <f>AG12/2</f>
        <v>0</v>
      </c>
      <c r="AI12" s="14">
        <f>VLOOKUP(AF12,'TB - Fixed Assets and CIP'!$C$5:$K$208,9,FALSE)</f>
        <v>0</v>
      </c>
      <c r="AJ12" s="92">
        <f>AI12-AH12</f>
        <v>0</v>
      </c>
      <c r="AK12" s="48" t="str">
        <f>IF(AND(AH12&lt;&gt;0,AJ12&lt;&gt;0,ISNUMBER(AH12),ISNUMBER(AJ12)),AJ12/AH12,"-    ")</f>
        <v xml:space="preserve">-    </v>
      </c>
      <c r="AL12" s="156">
        <f t="shared" si="0"/>
        <v>195000</v>
      </c>
      <c r="AM12" s="14">
        <f t="shared" si="0"/>
        <v>97500</v>
      </c>
      <c r="AN12" s="26">
        <f t="shared" si="0"/>
        <v>0</v>
      </c>
      <c r="AO12" s="92">
        <f>AN12-AM12</f>
        <v>-97500</v>
      </c>
      <c r="AP12" s="48">
        <f>IF(AND(AM12&lt;&gt;0,AO12&lt;&gt;0,ISNUMBER(AM12),ISNUMBER(AO12)),AO12/AM12,"-    ")</f>
        <v>-1</v>
      </c>
    </row>
    <row r="13" spans="1:42" s="204" customFormat="1" ht="15.75" x14ac:dyDescent="0.25">
      <c r="A13" s="220"/>
      <c r="B13" s="205"/>
      <c r="C13" s="206"/>
      <c r="D13" s="206"/>
      <c r="E13" s="206"/>
      <c r="F13" s="207"/>
      <c r="G13" s="208"/>
      <c r="H13" s="209"/>
      <c r="I13" s="206"/>
      <c r="J13" s="206"/>
      <c r="K13" s="206"/>
      <c r="L13" s="207"/>
      <c r="M13" s="210"/>
      <c r="N13" s="211"/>
      <c r="O13" s="206"/>
      <c r="P13" s="206"/>
      <c r="Q13" s="206"/>
      <c r="R13" s="207"/>
      <c r="S13" s="210"/>
      <c r="T13" s="211"/>
      <c r="U13" s="206"/>
      <c r="V13" s="206"/>
      <c r="W13" s="206"/>
      <c r="X13" s="207"/>
      <c r="Y13" s="210"/>
      <c r="Z13" s="211"/>
      <c r="AA13" s="206"/>
      <c r="AB13" s="206"/>
      <c r="AC13" s="206"/>
      <c r="AD13" s="207"/>
      <c r="AE13" s="210"/>
      <c r="AF13" s="211"/>
      <c r="AG13" s="206"/>
      <c r="AH13" s="206"/>
      <c r="AI13" s="206"/>
      <c r="AJ13" s="207"/>
      <c r="AK13" s="210"/>
      <c r="AL13" s="158"/>
      <c r="AM13" s="114"/>
      <c r="AN13" s="114"/>
      <c r="AO13" s="212"/>
      <c r="AP13" s="49"/>
    </row>
    <row r="14" spans="1:42" s="204" customFormat="1" ht="15.75" x14ac:dyDescent="0.25">
      <c r="A14" s="221" t="s">
        <v>62</v>
      </c>
      <c r="B14" s="213"/>
      <c r="C14" s="214">
        <f>SUM(C9:C13)</f>
        <v>108609</v>
      </c>
      <c r="D14" s="214">
        <f>SUM(D9:D13)</f>
        <v>54304.5</v>
      </c>
      <c r="E14" s="214">
        <f>SUM(E9:E13)</f>
        <v>8911.5</v>
      </c>
      <c r="F14" s="214">
        <f>SUM(F9:F13)</f>
        <v>-45393</v>
      </c>
      <c r="G14" s="215">
        <f>IF(AND(D14&lt;&gt;0,F14&lt;&gt;0,ISNUMBER(D14),ISNUMBER(F14)),F14/D14,"-    ")</f>
        <v>-0.83589757754882188</v>
      </c>
      <c r="H14" s="216"/>
      <c r="I14" s="214">
        <f>SUM(I9:I13)</f>
        <v>29246</v>
      </c>
      <c r="J14" s="214">
        <f>SUM(J9:J13)</f>
        <v>14623</v>
      </c>
      <c r="K14" s="214">
        <f>SUM(K9:K13)</f>
        <v>2458.34</v>
      </c>
      <c r="L14" s="214">
        <f>SUM(L9:L13)</f>
        <v>-12164.66</v>
      </c>
      <c r="M14" s="215">
        <f>IF(AND(J14&lt;&gt;0,L14&lt;&gt;0,ISNUMBER(J14),ISNUMBER(L14)),L14/J14,"-    ")</f>
        <v>-0.83188538603569717</v>
      </c>
      <c r="N14" s="218"/>
      <c r="O14" s="214">
        <f>SUM(O9:O13)</f>
        <v>194707</v>
      </c>
      <c r="P14" s="214">
        <f>SUM(P9:P13)</f>
        <v>97353.5</v>
      </c>
      <c r="Q14" s="214">
        <f>SUM(Q9:Q13)</f>
        <v>15979.220000000001</v>
      </c>
      <c r="R14" s="214">
        <f>SUM(R9:R13)</f>
        <v>-81374.28</v>
      </c>
      <c r="S14" s="215">
        <f>IF(AND(P14&lt;&gt;0,R14&lt;&gt;0,ISNUMBER(P14),ISNUMBER(R14)),R14/P14,"-    ")</f>
        <v>-0.835863939149594</v>
      </c>
      <c r="T14" s="218"/>
      <c r="U14" s="214">
        <f>SUM(U9:U13)</f>
        <v>40213</v>
      </c>
      <c r="V14" s="214">
        <f>SUM(V9:V13)</f>
        <v>20106.5</v>
      </c>
      <c r="W14" s="214">
        <f>SUM(W9:W13)</f>
        <v>3380.2200000000003</v>
      </c>
      <c r="X14" s="214">
        <f>SUM(X9:X13)</f>
        <v>-16726.28</v>
      </c>
      <c r="Y14" s="215">
        <f>IF(AND(V14&lt;&gt;0,X14&lt;&gt;0,ISNUMBER(V14),ISNUMBER(X14)),X14/V14,"-    ")</f>
        <v>-0.83188421654688771</v>
      </c>
      <c r="Z14" s="218"/>
      <c r="AA14" s="214">
        <f>SUM(AA9:AA13)</f>
        <v>0</v>
      </c>
      <c r="AB14" s="214">
        <f>SUM(AB9:AB13)</f>
        <v>0</v>
      </c>
      <c r="AC14" s="214">
        <f>SUM(AC9:AC13)</f>
        <v>0</v>
      </c>
      <c r="AD14" s="214">
        <f>SUM(AD9:AD13)</f>
        <v>0</v>
      </c>
      <c r="AE14" s="215" t="str">
        <f>IF(AND(AB14&lt;&gt;0,AD14&lt;&gt;0,ISNUMBER(AB14),ISNUMBER(AD14)),AD14/AB14,"-    ")</f>
        <v xml:space="preserve">-    </v>
      </c>
      <c r="AF14" s="218"/>
      <c r="AG14" s="214">
        <f>SUM(AG9:AG13)</f>
        <v>0</v>
      </c>
      <c r="AH14" s="214">
        <f>SUM(AH9:AH13)</f>
        <v>0</v>
      </c>
      <c r="AI14" s="214">
        <f>SUM(AI9:AI13)</f>
        <v>0</v>
      </c>
      <c r="AJ14" s="214">
        <f>SUM(AJ9:AJ13)</f>
        <v>0</v>
      </c>
      <c r="AK14" s="215" t="str">
        <f>IF(AND(AH14&lt;&gt;0,AJ14&lt;&gt;0,ISNUMBER(AH14),ISNUMBER(AJ14)),AJ14/AH14,"-    ")</f>
        <v xml:space="preserve">-    </v>
      </c>
      <c r="AL14" s="160">
        <f>C14+I14+O14+U14+AA14+AG14</f>
        <v>372775</v>
      </c>
      <c r="AM14" s="116">
        <f>D14+J14+P14+V14+AB14+AH14</f>
        <v>186387.5</v>
      </c>
      <c r="AN14" s="116">
        <f>E14+K14+Q14+W14+AC14+AI14</f>
        <v>30729.280000000002</v>
      </c>
      <c r="AO14" s="88">
        <f>AN14-AM14</f>
        <v>-155658.22</v>
      </c>
      <c r="AP14" s="55">
        <f>IF(AND(AM14&lt;&gt;0,AO14&lt;&gt;0,ISNUMBER(AM14),ISNUMBER(AO14)),AO14/AM14,"-    ")</f>
        <v>-0.83513229159680769</v>
      </c>
    </row>
    <row r="15" spans="1:42" ht="15.75" x14ac:dyDescent="0.25">
      <c r="C15" s="120"/>
      <c r="E15" s="121"/>
      <c r="F15" s="29"/>
      <c r="G15" s="29"/>
      <c r="H15" s="29"/>
      <c r="I15" s="120"/>
      <c r="K15" s="121"/>
      <c r="L15" s="29"/>
      <c r="M15" s="29"/>
      <c r="N15" s="29"/>
      <c r="O15" s="120"/>
      <c r="Q15" s="121"/>
      <c r="R15" s="29"/>
      <c r="S15" s="29"/>
      <c r="T15" s="29"/>
      <c r="U15" s="120"/>
      <c r="W15" s="121"/>
      <c r="X15" s="29"/>
      <c r="Y15" s="29"/>
      <c r="Z15" s="29"/>
      <c r="AA15" s="120"/>
      <c r="AC15" s="121"/>
      <c r="AD15" s="29"/>
      <c r="AE15" s="29"/>
      <c r="AF15" s="29"/>
      <c r="AG15" s="121"/>
      <c r="AI15" s="121"/>
      <c r="AJ15" s="29"/>
      <c r="AL15" s="121">
        <f>SUM(AL9:AL12)-AL14</f>
        <v>0</v>
      </c>
      <c r="AM15" s="507">
        <f>SUM(AM9:AM12)-AM14</f>
        <v>0</v>
      </c>
      <c r="AN15" s="507">
        <f>SUM(AN9:AN12)-AN14</f>
        <v>0</v>
      </c>
      <c r="AO15" s="507">
        <f>SUM(AO9:AO12)-AO14</f>
        <v>0</v>
      </c>
    </row>
  </sheetData>
  <sheetProtection password="CFD3" sheet="1" objects="1" scenarios="1" selectLockedCells="1" selectUnlockedCells="1"/>
  <mergeCells count="7">
    <mergeCell ref="AL5:AP5"/>
    <mergeCell ref="C5:G5"/>
    <mergeCell ref="I5:M5"/>
    <mergeCell ref="O5:S5"/>
    <mergeCell ref="U5:Y5"/>
    <mergeCell ref="AA5:AE5"/>
    <mergeCell ref="AG5:AK5"/>
  </mergeCells>
  <pageMargins left="0.7" right="0.7" top="0.75" bottom="0.75" header="0.3" footer="0.3"/>
  <pageSetup scale="83" firstPageNumber="6" fitToWidth="2" orientation="portrait" useFirstPageNumber="1" r:id="rId1"/>
  <headerFooter>
    <oddFooter>&amp;L&amp;F - &amp;A&amp;CMarina Coast Water District&amp;R&amp;P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22</vt:i4>
      </vt:variant>
    </vt:vector>
  </HeadingPairs>
  <TitlesOfParts>
    <vt:vector size="41" baseType="lpstr">
      <vt:lpstr>Summary</vt:lpstr>
      <vt:lpstr>Revenue</vt:lpstr>
      <vt:lpstr>All Departments</vt:lpstr>
      <vt:lpstr>Adm</vt:lpstr>
      <vt:lpstr>Opm</vt:lpstr>
      <vt:lpstr>Lab</vt:lpstr>
      <vt:lpstr>Con</vt:lpstr>
      <vt:lpstr>Eng</vt:lpstr>
      <vt:lpstr>General CIP</vt:lpstr>
      <vt:lpstr>CIP</vt:lpstr>
      <vt:lpstr>Investments</vt:lpstr>
      <vt:lpstr>GIC</vt:lpstr>
      <vt:lpstr>Debt</vt:lpstr>
      <vt:lpstr>Reserves</vt:lpstr>
      <vt:lpstr>TB - Revenue Data</vt:lpstr>
      <vt:lpstr>TB - Expense Data</vt:lpstr>
      <vt:lpstr>TB - Fixed Assets and CIP</vt:lpstr>
      <vt:lpstr>VL Verification</vt:lpstr>
      <vt:lpstr>Full Trial Balance</vt:lpstr>
      <vt:lpstr>'All Departments'!Print_Area</vt:lpstr>
      <vt:lpstr>CIP!Print_Area</vt:lpstr>
      <vt:lpstr>Debt!Print_Area</vt:lpstr>
      <vt:lpstr>Eng!Print_Area</vt:lpstr>
      <vt:lpstr>'General CIP'!Print_Area</vt:lpstr>
      <vt:lpstr>GIC!Print_Area</vt:lpstr>
      <vt:lpstr>Investments!Print_Area</vt:lpstr>
      <vt:lpstr>Lab!Print_Area</vt:lpstr>
      <vt:lpstr>Opm!Print_Area</vt:lpstr>
      <vt:lpstr>Reserves!Print_Area</vt:lpstr>
      <vt:lpstr>Revenue!Print_Area</vt:lpstr>
      <vt:lpstr>Summary!Print_Area</vt:lpstr>
      <vt:lpstr>Adm!Print_Titles</vt:lpstr>
      <vt:lpstr>'All Departments'!Print_Titles</vt:lpstr>
      <vt:lpstr>CIP!Print_Titles</vt:lpstr>
      <vt:lpstr>Con!Print_Titles</vt:lpstr>
      <vt:lpstr>Eng!Print_Titles</vt:lpstr>
      <vt:lpstr>'General CIP'!Print_Titles</vt:lpstr>
      <vt:lpstr>Lab!Print_Titles</vt:lpstr>
      <vt:lpstr>Opm!Print_Titles</vt:lpstr>
      <vt:lpstr>Revenue!Print_Titles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Prasad</dc:creator>
  <cp:lastModifiedBy>Jen Simon</cp:lastModifiedBy>
  <cp:lastPrinted>2015-02-13T20:11:52Z</cp:lastPrinted>
  <dcterms:created xsi:type="dcterms:W3CDTF">2009-03-04T16:24:32Z</dcterms:created>
  <dcterms:modified xsi:type="dcterms:W3CDTF">2015-02-13T20:34:53Z</dcterms:modified>
</cp:coreProperties>
</file>