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Website\Website\Board\2019\Packet\Additional\"/>
    </mc:Choice>
  </mc:AlternateContent>
  <bookViews>
    <workbookView xWindow="-120" yWindow="-120" windowWidth="29040" windowHeight="15840" tabRatio="855"/>
  </bookViews>
  <sheets>
    <sheet name="Scenarios" sheetId="26" r:id="rId1"/>
    <sheet name="Assumptions" sheetId="24" r:id="rId2"/>
    <sheet name="Total Rev for DS" sheetId="25" state="hidden" r:id="rId3"/>
    <sheet name="DS (Base Case)" sheetId="11" r:id="rId4"/>
    <sheet name="1 - Marina" sheetId="13" r:id="rId5"/>
    <sheet name="1 - Seaside" sheetId="40" r:id="rId6"/>
    <sheet name="1 - DRO" sheetId="41" r:id="rId7"/>
    <sheet name="1 - County" sheetId="42" r:id="rId8"/>
    <sheet name="2 - Marina" sheetId="58" r:id="rId9"/>
    <sheet name="2 - Seaside" sheetId="59" r:id="rId10"/>
    <sheet name="2 - DRO" sheetId="60" r:id="rId11"/>
    <sheet name="2 - County" sheetId="61" r:id="rId12"/>
    <sheet name="3 - Marina" sheetId="62" r:id="rId13"/>
    <sheet name="3 - Seaside" sheetId="64" r:id="rId14"/>
    <sheet name="3 - DRO" sheetId="66" r:id="rId15"/>
    <sheet name="3 - County" sheetId="68" r:id="rId16"/>
    <sheet name="4 - Marina" sheetId="63" r:id="rId17"/>
    <sheet name="4 - Seaside" sheetId="65" r:id="rId18"/>
    <sheet name="4 - DRO" sheetId="67" r:id="rId19"/>
    <sheet name="4 - County" sheetId="69" r:id="rId20"/>
    <sheet name="HSC 33482.78 PTs" sheetId="70" r:id="rId21"/>
    <sheet name="UC" sheetId="20" state="hidden" r:id="rId22"/>
  </sheets>
  <definedNames>
    <definedName name="_xlnm.Print_Area" localSheetId="7">'1 - County'!$A$1:$AH$80</definedName>
    <definedName name="_xlnm.Print_Area" localSheetId="6">'1 - DRO'!$A$1:$AH$61</definedName>
    <definedName name="_xlnm.Print_Area" localSheetId="4">'1 - Marina'!$A$1:$AH$71</definedName>
    <definedName name="_xlnm.Print_Area" localSheetId="5">'1 - Seaside'!$A$1:$AH$68</definedName>
    <definedName name="_xlnm.Print_Area" localSheetId="11">'2 - County'!$A$1:$AH$80</definedName>
    <definedName name="_xlnm.Print_Area" localSheetId="10">'2 - DRO'!$A$1:$AH$61</definedName>
    <definedName name="_xlnm.Print_Area" localSheetId="8">'2 - Marina'!$A$1:$AH$71</definedName>
    <definedName name="_xlnm.Print_Area" localSheetId="9">'2 - Seaside'!$A$1:$AH$68</definedName>
    <definedName name="_xlnm.Print_Area" localSheetId="15">'3 - County'!$A$1:$AH$80</definedName>
    <definedName name="_xlnm.Print_Area" localSheetId="14">'3 - DRO'!$A$1:$AH$61</definedName>
    <definedName name="_xlnm.Print_Area" localSheetId="12">'3 - Marina'!$A$1:$AH$71</definedName>
    <definedName name="_xlnm.Print_Area" localSheetId="13">'3 - Seaside'!$A$1:$AH$68</definedName>
    <definedName name="_xlnm.Print_Area" localSheetId="19">'4 - County'!$A$1:$AH$80</definedName>
    <definedName name="_xlnm.Print_Area" localSheetId="18">'4 - DRO'!$A$1:$AH$61</definedName>
    <definedName name="_xlnm.Print_Area" localSheetId="16">'4 - Marina'!$A$1:$AH$71</definedName>
    <definedName name="_xlnm.Print_Area" localSheetId="17">'4 - Seaside'!$A$1:$AH$68</definedName>
    <definedName name="_xlnm.Print_Area" localSheetId="3">'DS (Base Case)'!$B$1:$G$64,'DS (Base Case)'!$K$1:$M$40,'DS (Base Case)'!$M$46:$AQ$57</definedName>
    <definedName name="_xlnm.Print_Area" localSheetId="21">UC!$A$1:$M$56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9" i="11" l="1"/>
  <c r="N52" i="11" s="1"/>
  <c r="G5" i="26" l="1"/>
  <c r="E5" i="26"/>
  <c r="D5" i="26"/>
  <c r="C5" i="26"/>
  <c r="B5" i="26"/>
  <c r="L36" i="11"/>
  <c r="L35" i="11"/>
  <c r="L39" i="11"/>
  <c r="L38" i="11"/>
  <c r="L37" i="11"/>
  <c r="M36" i="11" l="1"/>
  <c r="M40" i="11" l="1"/>
  <c r="L40" i="11" l="1"/>
  <c r="G31" i="26" l="1"/>
  <c r="G19" i="26"/>
  <c r="F23" i="26"/>
  <c r="H23" i="26"/>
  <c r="I23" i="26"/>
  <c r="C11" i="26"/>
  <c r="C23" i="26" s="1"/>
  <c r="D11" i="26"/>
  <c r="D23" i="26" s="1"/>
  <c r="E11" i="26"/>
  <c r="E23" i="26" s="1"/>
  <c r="F11" i="26"/>
  <c r="G11" i="26"/>
  <c r="G13" i="26" s="1"/>
  <c r="H11" i="26"/>
  <c r="I11" i="26"/>
  <c r="B11" i="26"/>
  <c r="G23" i="26" l="1"/>
  <c r="G25" i="26" s="1"/>
  <c r="G35" i="26" s="1"/>
  <c r="M10" i="11"/>
  <c r="M6" i="11"/>
  <c r="B39" i="26" l="1"/>
  <c r="C41" i="26"/>
  <c r="B41" i="26"/>
  <c r="B43" i="26" s="1"/>
  <c r="C71" i="70" l="1"/>
  <c r="B71" i="70"/>
  <c r="C70" i="70"/>
  <c r="B70" i="70"/>
  <c r="C68" i="70"/>
  <c r="B68" i="70"/>
  <c r="C67" i="70"/>
  <c r="B67" i="70"/>
  <c r="D65" i="70"/>
  <c r="E65" i="70" s="1"/>
  <c r="F65" i="70" s="1"/>
  <c r="G65" i="70" s="1"/>
  <c r="H65" i="70" s="1"/>
  <c r="I65" i="70" s="1"/>
  <c r="J65" i="70" s="1"/>
  <c r="K65" i="70" s="1"/>
  <c r="L65" i="70" s="1"/>
  <c r="M65" i="70" s="1"/>
  <c r="N65" i="70" s="1"/>
  <c r="O65" i="70" s="1"/>
  <c r="P65" i="70" s="1"/>
  <c r="Q65" i="70" s="1"/>
  <c r="R65" i="70" s="1"/>
  <c r="S65" i="70" s="1"/>
  <c r="T65" i="70" s="1"/>
  <c r="U65" i="70" s="1"/>
  <c r="V65" i="70" s="1"/>
  <c r="W65" i="70" s="1"/>
  <c r="X65" i="70" s="1"/>
  <c r="Y65" i="70" s="1"/>
  <c r="Z65" i="70" s="1"/>
  <c r="AA65" i="70" s="1"/>
  <c r="AB65" i="70" s="1"/>
  <c r="AC65" i="70" s="1"/>
  <c r="AD65" i="70" s="1"/>
  <c r="AE65" i="70" s="1"/>
  <c r="C65" i="70"/>
  <c r="A63" i="70"/>
  <c r="C52" i="70" l="1"/>
  <c r="B52" i="70"/>
  <c r="C51" i="70"/>
  <c r="B51" i="70"/>
  <c r="C49" i="70"/>
  <c r="B49" i="70"/>
  <c r="C48" i="70"/>
  <c r="B48" i="70"/>
  <c r="D46" i="70"/>
  <c r="E46" i="70" s="1"/>
  <c r="F46" i="70" s="1"/>
  <c r="G46" i="70" s="1"/>
  <c r="H46" i="70" s="1"/>
  <c r="I46" i="70" s="1"/>
  <c r="J46" i="70" s="1"/>
  <c r="K46" i="70" s="1"/>
  <c r="L46" i="70" s="1"/>
  <c r="M46" i="70" s="1"/>
  <c r="N46" i="70" s="1"/>
  <c r="O46" i="70" s="1"/>
  <c r="P46" i="70" s="1"/>
  <c r="Q46" i="70" s="1"/>
  <c r="R46" i="70" s="1"/>
  <c r="S46" i="70" s="1"/>
  <c r="T46" i="70" s="1"/>
  <c r="U46" i="70" s="1"/>
  <c r="V46" i="70" s="1"/>
  <c r="W46" i="70" s="1"/>
  <c r="X46" i="70" s="1"/>
  <c r="Y46" i="70" s="1"/>
  <c r="Z46" i="70" s="1"/>
  <c r="AA46" i="70" s="1"/>
  <c r="AB46" i="70" s="1"/>
  <c r="AC46" i="70" s="1"/>
  <c r="AD46" i="70" s="1"/>
  <c r="AE46" i="70" s="1"/>
  <c r="C46" i="70"/>
  <c r="A44" i="70"/>
  <c r="C30" i="70"/>
  <c r="B30" i="70"/>
  <c r="C33" i="70"/>
  <c r="B33" i="70"/>
  <c r="C32" i="70"/>
  <c r="B32" i="70"/>
  <c r="C29" i="70"/>
  <c r="B29" i="70"/>
  <c r="A25" i="70"/>
  <c r="C27" i="70"/>
  <c r="D27" i="70" s="1"/>
  <c r="E27" i="70" s="1"/>
  <c r="F27" i="70" s="1"/>
  <c r="G27" i="70" s="1"/>
  <c r="H27" i="70" s="1"/>
  <c r="I27" i="70" s="1"/>
  <c r="J27" i="70" s="1"/>
  <c r="K27" i="70" s="1"/>
  <c r="L27" i="70" s="1"/>
  <c r="M27" i="70" s="1"/>
  <c r="N27" i="70" s="1"/>
  <c r="O27" i="70" s="1"/>
  <c r="P27" i="70" s="1"/>
  <c r="Q27" i="70" s="1"/>
  <c r="R27" i="70" s="1"/>
  <c r="S27" i="70" s="1"/>
  <c r="T27" i="70" s="1"/>
  <c r="U27" i="70" s="1"/>
  <c r="V27" i="70" s="1"/>
  <c r="W27" i="70" s="1"/>
  <c r="X27" i="70" s="1"/>
  <c r="Y27" i="70" s="1"/>
  <c r="Z27" i="70" s="1"/>
  <c r="AA27" i="70" s="1"/>
  <c r="AB27" i="70" s="1"/>
  <c r="AC27" i="70" s="1"/>
  <c r="AD27" i="70" s="1"/>
  <c r="AE27" i="70" s="1"/>
  <c r="K5" i="70"/>
  <c r="I5" i="70"/>
  <c r="K4" i="70"/>
  <c r="J4" i="70"/>
  <c r="I4" i="70"/>
  <c r="K3" i="70"/>
  <c r="J3" i="70"/>
  <c r="I3" i="70"/>
  <c r="A6" i="70"/>
  <c r="C8" i="70"/>
  <c r="D8" i="70" s="1"/>
  <c r="E8" i="70" s="1"/>
  <c r="F8" i="70" s="1"/>
  <c r="G8" i="70" s="1"/>
  <c r="H8" i="70" s="1"/>
  <c r="I8" i="70" s="1"/>
  <c r="J8" i="70" s="1"/>
  <c r="K8" i="70" s="1"/>
  <c r="L8" i="70" s="1"/>
  <c r="M8" i="70" s="1"/>
  <c r="N8" i="70" s="1"/>
  <c r="O8" i="70" s="1"/>
  <c r="P8" i="70" s="1"/>
  <c r="Q8" i="70" s="1"/>
  <c r="R8" i="70" s="1"/>
  <c r="S8" i="70" s="1"/>
  <c r="T8" i="70" s="1"/>
  <c r="U8" i="70" s="1"/>
  <c r="V8" i="70" s="1"/>
  <c r="W8" i="70" s="1"/>
  <c r="X8" i="70" s="1"/>
  <c r="Y8" i="70" s="1"/>
  <c r="Z8" i="70" s="1"/>
  <c r="AA8" i="70" s="1"/>
  <c r="AB8" i="70" s="1"/>
  <c r="AC8" i="70" s="1"/>
  <c r="AD8" i="70" s="1"/>
  <c r="AE8" i="70" s="1"/>
  <c r="L4" i="70" l="1"/>
  <c r="L3" i="70"/>
  <c r="B10" i="70"/>
  <c r="C11" i="70"/>
  <c r="C10" i="70"/>
  <c r="B11" i="70"/>
  <c r="C14" i="70"/>
  <c r="B14" i="70"/>
  <c r="C13" i="70"/>
  <c r="B13" i="70"/>
  <c r="AF13" i="69" l="1"/>
  <c r="AE13" i="69"/>
  <c r="AD13" i="69"/>
  <c r="AC13" i="69"/>
  <c r="AB13" i="69"/>
  <c r="AA13" i="69"/>
  <c r="Z13" i="69"/>
  <c r="Y13" i="69"/>
  <c r="X13" i="69"/>
  <c r="W13" i="69"/>
  <c r="V13" i="69"/>
  <c r="U13" i="69"/>
  <c r="T13" i="69"/>
  <c r="S13" i="69"/>
  <c r="R13" i="69"/>
  <c r="Q13" i="69"/>
  <c r="P13" i="69"/>
  <c r="O13" i="69"/>
  <c r="N13" i="69"/>
  <c r="M13" i="69"/>
  <c r="L13" i="69"/>
  <c r="K13" i="69"/>
  <c r="J13" i="69"/>
  <c r="I13" i="69"/>
  <c r="H13" i="69"/>
  <c r="G13" i="69"/>
  <c r="F13" i="69"/>
  <c r="E13" i="69"/>
  <c r="E16" i="69" s="1"/>
  <c r="F14" i="69" s="1"/>
  <c r="F15" i="69" s="1"/>
  <c r="AF13" i="67"/>
  <c r="AE13" i="67"/>
  <c r="AD13" i="67"/>
  <c r="AC13" i="67"/>
  <c r="AB13" i="67"/>
  <c r="AA13" i="67"/>
  <c r="Z13" i="67"/>
  <c r="Y13" i="67"/>
  <c r="X13" i="67"/>
  <c r="W13" i="67"/>
  <c r="V13" i="67"/>
  <c r="U13" i="67"/>
  <c r="T13" i="67"/>
  <c r="S13" i="67"/>
  <c r="R13" i="67"/>
  <c r="Q13" i="67"/>
  <c r="P13" i="67"/>
  <c r="O13" i="67"/>
  <c r="N13" i="67"/>
  <c r="M13" i="67"/>
  <c r="L13" i="67"/>
  <c r="K13" i="67"/>
  <c r="J13" i="67"/>
  <c r="I13" i="67"/>
  <c r="H13" i="67"/>
  <c r="G13" i="67"/>
  <c r="F13" i="67"/>
  <c r="E13" i="67"/>
  <c r="E16" i="67" s="1"/>
  <c r="AF13" i="65"/>
  <c r="AE13" i="65"/>
  <c r="AD13" i="65"/>
  <c r="AC13" i="65"/>
  <c r="AB13" i="65"/>
  <c r="AA13" i="65"/>
  <c r="Z13" i="65"/>
  <c r="Y13" i="65"/>
  <c r="X13" i="65"/>
  <c r="W13" i="65"/>
  <c r="V13" i="65"/>
  <c r="U13" i="65"/>
  <c r="T13" i="65"/>
  <c r="S13" i="65"/>
  <c r="R13" i="65"/>
  <c r="Q13" i="65"/>
  <c r="P13" i="65"/>
  <c r="O13" i="65"/>
  <c r="N13" i="65"/>
  <c r="M13" i="65"/>
  <c r="L13" i="65"/>
  <c r="K13" i="65"/>
  <c r="J13" i="65"/>
  <c r="I13" i="65"/>
  <c r="H13" i="65"/>
  <c r="G13" i="65"/>
  <c r="F13" i="65"/>
  <c r="E13" i="65"/>
  <c r="E16" i="65" s="1"/>
  <c r="H13" i="63"/>
  <c r="AF13" i="63"/>
  <c r="AE13" i="63"/>
  <c r="AD13" i="63"/>
  <c r="AC13" i="63"/>
  <c r="AB13" i="63"/>
  <c r="AA13" i="63"/>
  <c r="Z13" i="63"/>
  <c r="Y13" i="63"/>
  <c r="X13" i="63"/>
  <c r="W13" i="63"/>
  <c r="V13" i="63"/>
  <c r="U13" i="63"/>
  <c r="T13" i="63"/>
  <c r="S13" i="63"/>
  <c r="R13" i="63"/>
  <c r="Q13" i="63"/>
  <c r="P13" i="63"/>
  <c r="O13" i="63"/>
  <c r="N13" i="63"/>
  <c r="M13" i="63"/>
  <c r="L13" i="63"/>
  <c r="K13" i="63"/>
  <c r="J13" i="63"/>
  <c r="I13" i="63"/>
  <c r="G13" i="63"/>
  <c r="F13" i="63"/>
  <c r="E13" i="63"/>
  <c r="E16" i="63" s="1"/>
  <c r="F14" i="63" s="1"/>
  <c r="G13" i="61"/>
  <c r="H13" i="61"/>
  <c r="I13" i="61"/>
  <c r="J13" i="61"/>
  <c r="K13" i="61"/>
  <c r="L13" i="61"/>
  <c r="M13" i="61"/>
  <c r="N13" i="61"/>
  <c r="O13" i="61"/>
  <c r="P13" i="61"/>
  <c r="Q13" i="61"/>
  <c r="R13" i="61"/>
  <c r="S13" i="61"/>
  <c r="T13" i="61"/>
  <c r="U13" i="61"/>
  <c r="V13" i="61"/>
  <c r="W13" i="61"/>
  <c r="X13" i="61"/>
  <c r="Y13" i="61"/>
  <c r="Z13" i="61"/>
  <c r="AA13" i="61"/>
  <c r="AB13" i="61"/>
  <c r="AC13" i="61"/>
  <c r="AD13" i="61"/>
  <c r="AE13" i="61"/>
  <c r="AF13" i="61"/>
  <c r="F13" i="61"/>
  <c r="E13" i="61"/>
  <c r="E16" i="61" s="1"/>
  <c r="G13" i="60"/>
  <c r="H13" i="60"/>
  <c r="I13" i="60"/>
  <c r="J13" i="60"/>
  <c r="K13" i="60"/>
  <c r="L13" i="60"/>
  <c r="M13" i="60"/>
  <c r="N13" i="60"/>
  <c r="O13" i="60"/>
  <c r="P13" i="60"/>
  <c r="Q13" i="60"/>
  <c r="R13" i="60"/>
  <c r="S13" i="60"/>
  <c r="T13" i="60"/>
  <c r="U13" i="60"/>
  <c r="V13" i="60"/>
  <c r="W13" i="60"/>
  <c r="X13" i="60"/>
  <c r="Y13" i="60"/>
  <c r="Z13" i="60"/>
  <c r="AA13" i="60"/>
  <c r="AB13" i="60"/>
  <c r="AC13" i="60"/>
  <c r="AD13" i="60"/>
  <c r="AE13" i="60"/>
  <c r="AF13" i="60"/>
  <c r="F13" i="60"/>
  <c r="E13" i="60"/>
  <c r="G13" i="59"/>
  <c r="H13" i="59"/>
  <c r="I13" i="59"/>
  <c r="J13" i="59"/>
  <c r="K13" i="59"/>
  <c r="L13" i="59"/>
  <c r="M13" i="59"/>
  <c r="N13" i="59"/>
  <c r="O13" i="59"/>
  <c r="P13" i="59"/>
  <c r="Q13" i="59"/>
  <c r="R13" i="59"/>
  <c r="S13" i="59"/>
  <c r="T13" i="59"/>
  <c r="U13" i="59"/>
  <c r="V13" i="59"/>
  <c r="W13" i="59"/>
  <c r="X13" i="59"/>
  <c r="Y13" i="59"/>
  <c r="Z13" i="59"/>
  <c r="AA13" i="59"/>
  <c r="AB13" i="59"/>
  <c r="AC13" i="59"/>
  <c r="AD13" i="59"/>
  <c r="AE13" i="59"/>
  <c r="AF13" i="59"/>
  <c r="F13" i="59"/>
  <c r="E13" i="59"/>
  <c r="E16" i="59" s="1"/>
  <c r="E13" i="58"/>
  <c r="F13" i="58"/>
  <c r="G13" i="58"/>
  <c r="H13" i="58"/>
  <c r="I13" i="58"/>
  <c r="J13" i="58"/>
  <c r="K13" i="58"/>
  <c r="L13" i="58"/>
  <c r="M13" i="58"/>
  <c r="N13" i="58"/>
  <c r="O13" i="58"/>
  <c r="P13" i="58"/>
  <c r="Q13" i="58"/>
  <c r="R13" i="58"/>
  <c r="S13" i="58"/>
  <c r="T13" i="58"/>
  <c r="U13" i="58"/>
  <c r="V13" i="58"/>
  <c r="W13" i="58"/>
  <c r="X13" i="58"/>
  <c r="Y13" i="58"/>
  <c r="Z13" i="58"/>
  <c r="AA13" i="58"/>
  <c r="AB13" i="58"/>
  <c r="AC13" i="58"/>
  <c r="AD13" i="58"/>
  <c r="AE13" i="58"/>
  <c r="AF13" i="58"/>
  <c r="D71" i="69"/>
  <c r="E71" i="69"/>
  <c r="F71" i="69"/>
  <c r="C71" i="69"/>
  <c r="D70" i="69"/>
  <c r="E70" i="69"/>
  <c r="F70" i="69"/>
  <c r="C70" i="69"/>
  <c r="D71" i="68"/>
  <c r="E71" i="68"/>
  <c r="F71" i="68"/>
  <c r="C71" i="68"/>
  <c r="D70" i="68"/>
  <c r="E70" i="68"/>
  <c r="F70" i="68"/>
  <c r="C70" i="68"/>
  <c r="D71" i="42"/>
  <c r="C71" i="42"/>
  <c r="D70" i="42"/>
  <c r="C70" i="42"/>
  <c r="D70" i="61"/>
  <c r="E16" i="58"/>
  <c r="E18" i="58" s="1"/>
  <c r="E20" i="58" s="1"/>
  <c r="E16" i="60"/>
  <c r="D71" i="61"/>
  <c r="C70" i="61"/>
  <c r="C71" i="61"/>
  <c r="L30" i="11"/>
  <c r="L29" i="11"/>
  <c r="L28" i="11"/>
  <c r="L27" i="11"/>
  <c r="B70" i="69"/>
  <c r="F69" i="69"/>
  <c r="D69" i="69"/>
  <c r="A69" i="69"/>
  <c r="D63" i="69"/>
  <c r="C63" i="69"/>
  <c r="D62" i="69"/>
  <c r="C62" i="69"/>
  <c r="E61" i="69"/>
  <c r="E69" i="69"/>
  <c r="D61" i="69"/>
  <c r="C61" i="69"/>
  <c r="C69" i="69"/>
  <c r="M58" i="69"/>
  <c r="L58" i="69"/>
  <c r="K58" i="69"/>
  <c r="J58" i="69"/>
  <c r="I58" i="69"/>
  <c r="H58" i="69"/>
  <c r="G58" i="69"/>
  <c r="F58" i="69"/>
  <c r="E58" i="69"/>
  <c r="D58" i="69"/>
  <c r="C58" i="69"/>
  <c r="A58" i="69"/>
  <c r="B57" i="69"/>
  <c r="A56" i="69"/>
  <c r="F54" i="69"/>
  <c r="E54" i="69"/>
  <c r="D54" i="69"/>
  <c r="C54" i="69"/>
  <c r="B54" i="69"/>
  <c r="A47" i="69"/>
  <c r="B43" i="69"/>
  <c r="V35" i="69"/>
  <c r="U35" i="69"/>
  <c r="T35" i="69"/>
  <c r="S35" i="69"/>
  <c r="R35" i="69"/>
  <c r="Q35" i="69"/>
  <c r="P35" i="69"/>
  <c r="O35" i="69"/>
  <c r="N35" i="69"/>
  <c r="M35" i="69"/>
  <c r="L35" i="69"/>
  <c r="K35" i="69"/>
  <c r="J35" i="69"/>
  <c r="I35" i="69"/>
  <c r="H35" i="69"/>
  <c r="G35" i="69"/>
  <c r="F35" i="69"/>
  <c r="E35" i="69"/>
  <c r="D35" i="69"/>
  <c r="C35" i="69"/>
  <c r="V34" i="69"/>
  <c r="U34" i="69"/>
  <c r="T34" i="69"/>
  <c r="S34" i="69"/>
  <c r="R34" i="69"/>
  <c r="Q34" i="69"/>
  <c r="P34" i="69"/>
  <c r="O34" i="69"/>
  <c r="N34" i="69"/>
  <c r="M34" i="69"/>
  <c r="L34" i="69"/>
  <c r="K34" i="69"/>
  <c r="J34" i="69"/>
  <c r="I34" i="69"/>
  <c r="H34" i="69"/>
  <c r="G34" i="69"/>
  <c r="F34" i="69"/>
  <c r="E34" i="69"/>
  <c r="D34" i="69"/>
  <c r="C34" i="69"/>
  <c r="C27" i="69"/>
  <c r="D22" i="69"/>
  <c r="C21" i="69"/>
  <c r="C22" i="69"/>
  <c r="C18" i="69"/>
  <c r="AF17" i="69"/>
  <c r="AE17" i="69"/>
  <c r="AD17" i="69"/>
  <c r="AC17" i="69"/>
  <c r="AB17" i="69"/>
  <c r="AA17" i="69"/>
  <c r="Z17" i="69"/>
  <c r="Y17" i="69"/>
  <c r="X17" i="69"/>
  <c r="W17" i="69"/>
  <c r="V17" i="69"/>
  <c r="U17" i="69"/>
  <c r="T17" i="69"/>
  <c r="S17" i="69"/>
  <c r="R17" i="69"/>
  <c r="Q17" i="69"/>
  <c r="P17" i="69"/>
  <c r="O17" i="69"/>
  <c r="N17" i="69"/>
  <c r="M17" i="69"/>
  <c r="L17" i="69"/>
  <c r="K17" i="69"/>
  <c r="J17" i="69"/>
  <c r="I17" i="69"/>
  <c r="H17" i="69"/>
  <c r="G17" i="69"/>
  <c r="F17" i="69"/>
  <c r="E17" i="69"/>
  <c r="D17" i="69"/>
  <c r="C17" i="69"/>
  <c r="D16" i="69"/>
  <c r="D18" i="69"/>
  <c r="D20" i="69"/>
  <c r="D21" i="69"/>
  <c r="C16" i="69"/>
  <c r="D15" i="69"/>
  <c r="E14" i="69"/>
  <c r="D14" i="69"/>
  <c r="C14" i="69"/>
  <c r="G7" i="69"/>
  <c r="H7" i="69"/>
  <c r="I7" i="69"/>
  <c r="J7" i="69"/>
  <c r="K7" i="69"/>
  <c r="L7" i="69"/>
  <c r="M7" i="69"/>
  <c r="N7" i="69"/>
  <c r="O7" i="69"/>
  <c r="P7" i="69"/>
  <c r="Q7" i="69"/>
  <c r="R7" i="69"/>
  <c r="S7" i="69"/>
  <c r="T7" i="69"/>
  <c r="U7" i="69"/>
  <c r="V7" i="69"/>
  <c r="W7" i="69"/>
  <c r="X7" i="69"/>
  <c r="Y7" i="69"/>
  <c r="Z7" i="69"/>
  <c r="AA7" i="69"/>
  <c r="AB7" i="69"/>
  <c r="AC7" i="69"/>
  <c r="AD7" i="69"/>
  <c r="AE7" i="69"/>
  <c r="AF7" i="69"/>
  <c r="D7" i="69"/>
  <c r="E7" i="69"/>
  <c r="F7" i="69"/>
  <c r="E69" i="68"/>
  <c r="E61" i="68"/>
  <c r="B70" i="68"/>
  <c r="D69" i="68"/>
  <c r="A69" i="68"/>
  <c r="D63" i="68"/>
  <c r="C63" i="68"/>
  <c r="D62" i="68"/>
  <c r="C62" i="68"/>
  <c r="D61" i="68"/>
  <c r="C61" i="68"/>
  <c r="C69" i="68"/>
  <c r="M58" i="68"/>
  <c r="L58" i="68"/>
  <c r="K58" i="68"/>
  <c r="J58" i="68"/>
  <c r="I58" i="68"/>
  <c r="H58" i="68"/>
  <c r="G58" i="68"/>
  <c r="F58" i="68"/>
  <c r="E58" i="68"/>
  <c r="D58" i="68"/>
  <c r="C58" i="68"/>
  <c r="A58" i="68"/>
  <c r="B57" i="68"/>
  <c r="A56" i="68"/>
  <c r="D54" i="68"/>
  <c r="C54" i="68"/>
  <c r="B54" i="68"/>
  <c r="A47" i="68"/>
  <c r="B43" i="68"/>
  <c r="V35" i="68"/>
  <c r="U35" i="68"/>
  <c r="T35" i="68"/>
  <c r="S35" i="68"/>
  <c r="R35" i="68"/>
  <c r="Q35" i="68"/>
  <c r="P35" i="68"/>
  <c r="O35" i="68"/>
  <c r="N35" i="68"/>
  <c r="M35" i="68"/>
  <c r="L35" i="68"/>
  <c r="K35" i="68"/>
  <c r="J35" i="68"/>
  <c r="I35" i="68"/>
  <c r="H35" i="68"/>
  <c r="G35" i="68"/>
  <c r="F35" i="68"/>
  <c r="E35" i="68"/>
  <c r="D35" i="68"/>
  <c r="C35" i="68"/>
  <c r="V34" i="68"/>
  <c r="U34" i="68"/>
  <c r="T34" i="68"/>
  <c r="S34" i="68"/>
  <c r="R34" i="68"/>
  <c r="Q34" i="68"/>
  <c r="P34" i="68"/>
  <c r="O34" i="68"/>
  <c r="N34" i="68"/>
  <c r="M34" i="68"/>
  <c r="L34" i="68"/>
  <c r="K34" i="68"/>
  <c r="J34" i="68"/>
  <c r="I34" i="68"/>
  <c r="H34" i="68"/>
  <c r="G34" i="68"/>
  <c r="F34" i="68"/>
  <c r="E34" i="68"/>
  <c r="D34" i="68"/>
  <c r="C34" i="68"/>
  <c r="C22" i="68"/>
  <c r="C21" i="68"/>
  <c r="C18" i="68"/>
  <c r="AF17" i="68"/>
  <c r="AE17" i="68"/>
  <c r="AD17" i="68"/>
  <c r="AC17" i="68"/>
  <c r="AB17" i="68"/>
  <c r="AA17" i="68"/>
  <c r="Z17" i="68"/>
  <c r="Y17" i="68"/>
  <c r="X17" i="68"/>
  <c r="W17" i="68"/>
  <c r="V17" i="68"/>
  <c r="U17" i="68"/>
  <c r="T17" i="68"/>
  <c r="S17" i="68"/>
  <c r="R17" i="68"/>
  <c r="Q17" i="68"/>
  <c r="P17" i="68"/>
  <c r="O17" i="68"/>
  <c r="N17" i="68"/>
  <c r="M17" i="68"/>
  <c r="L17" i="68"/>
  <c r="K17" i="68"/>
  <c r="J17" i="68"/>
  <c r="I17" i="68"/>
  <c r="H17" i="68"/>
  <c r="G17" i="68"/>
  <c r="F17" i="68"/>
  <c r="E17" i="68"/>
  <c r="D17" i="68"/>
  <c r="C17" i="68"/>
  <c r="C16" i="68"/>
  <c r="D14" i="68"/>
  <c r="C14" i="68"/>
  <c r="AF13" i="68"/>
  <c r="AE13" i="68"/>
  <c r="AD13" i="68"/>
  <c r="AC13" i="68"/>
  <c r="AB13" i="68"/>
  <c r="AA13" i="68"/>
  <c r="Z13" i="68"/>
  <c r="Y13" i="68"/>
  <c r="X13" i="68"/>
  <c r="W13" i="68"/>
  <c r="V13" i="68"/>
  <c r="U13" i="68"/>
  <c r="T13" i="68"/>
  <c r="S13" i="68"/>
  <c r="R13" i="68"/>
  <c r="Q13" i="68"/>
  <c r="P13" i="68"/>
  <c r="O13" i="68"/>
  <c r="N13" i="68"/>
  <c r="M13" i="68"/>
  <c r="L13" i="68"/>
  <c r="K13" i="68"/>
  <c r="J13" i="68"/>
  <c r="I13" i="68"/>
  <c r="H13" i="68"/>
  <c r="G13" i="68"/>
  <c r="F13" i="68"/>
  <c r="E13" i="68"/>
  <c r="E7" i="68"/>
  <c r="F7" i="68"/>
  <c r="G7" i="68"/>
  <c r="H7" i="68"/>
  <c r="I7" i="68"/>
  <c r="J7" i="68"/>
  <c r="K7" i="68"/>
  <c r="L7" i="68"/>
  <c r="M7" i="68"/>
  <c r="N7" i="68"/>
  <c r="O7" i="68"/>
  <c r="P7" i="68"/>
  <c r="Q7" i="68"/>
  <c r="R7" i="68"/>
  <c r="S7" i="68"/>
  <c r="T7" i="68"/>
  <c r="U7" i="68"/>
  <c r="V7" i="68"/>
  <c r="W7" i="68"/>
  <c r="X7" i="68"/>
  <c r="Y7" i="68"/>
  <c r="Z7" i="68"/>
  <c r="AA7" i="68"/>
  <c r="AB7" i="68"/>
  <c r="AC7" i="68"/>
  <c r="AD7" i="68"/>
  <c r="AE7" i="68"/>
  <c r="AF7" i="68"/>
  <c r="D7" i="68"/>
  <c r="D54" i="67"/>
  <c r="C54" i="67"/>
  <c r="A54" i="67"/>
  <c r="A53" i="67"/>
  <c r="B52" i="67"/>
  <c r="F52" i="67" s="1"/>
  <c r="F54" i="67" s="1"/>
  <c r="A51" i="67"/>
  <c r="F49" i="67"/>
  <c r="E49" i="67"/>
  <c r="D49" i="67"/>
  <c r="C49" i="67"/>
  <c r="B49" i="67"/>
  <c r="A42" i="67"/>
  <c r="A40" i="67"/>
  <c r="B36" i="67"/>
  <c r="B28" i="67"/>
  <c r="B26" i="67"/>
  <c r="B25" i="67"/>
  <c r="C20" i="67"/>
  <c r="D18" i="67"/>
  <c r="D20" i="67"/>
  <c r="AF17" i="67"/>
  <c r="AE17" i="67"/>
  <c r="AD17" i="67"/>
  <c r="AC17" i="67"/>
  <c r="AB17" i="67"/>
  <c r="AA17" i="67"/>
  <c r="Z17" i="67"/>
  <c r="Y17" i="67"/>
  <c r="X17" i="67"/>
  <c r="W17" i="67"/>
  <c r="V17" i="67"/>
  <c r="U17" i="67"/>
  <c r="T17" i="67"/>
  <c r="S17" i="67"/>
  <c r="R17" i="67"/>
  <c r="Q17" i="67"/>
  <c r="P17" i="67"/>
  <c r="O17" i="67"/>
  <c r="N17" i="67"/>
  <c r="M17" i="67"/>
  <c r="L17" i="67"/>
  <c r="K17" i="67"/>
  <c r="J17" i="67"/>
  <c r="I17" i="67"/>
  <c r="H17" i="67"/>
  <c r="G17" i="67"/>
  <c r="F17" i="67"/>
  <c r="E17" i="67"/>
  <c r="D17" i="67"/>
  <c r="C17" i="67"/>
  <c r="D16" i="67"/>
  <c r="C16" i="67"/>
  <c r="E14" i="67"/>
  <c r="E15" i="67"/>
  <c r="D14" i="67"/>
  <c r="D15" i="67"/>
  <c r="D7" i="67"/>
  <c r="E7" i="67"/>
  <c r="F7" i="67"/>
  <c r="G7" i="67"/>
  <c r="H7" i="67"/>
  <c r="I7" i="67"/>
  <c r="J7" i="67"/>
  <c r="K7" i="67"/>
  <c r="L7" i="67"/>
  <c r="M7" i="67"/>
  <c r="N7" i="67"/>
  <c r="O7" i="67"/>
  <c r="P7" i="67"/>
  <c r="Q7" i="67"/>
  <c r="R7" i="67"/>
  <c r="S7" i="67"/>
  <c r="T7" i="67"/>
  <c r="U7" i="67"/>
  <c r="V7" i="67"/>
  <c r="W7" i="67"/>
  <c r="X7" i="67"/>
  <c r="Y7" i="67"/>
  <c r="Z7" i="67"/>
  <c r="AA7" i="67"/>
  <c r="AB7" i="67"/>
  <c r="AC7" i="67"/>
  <c r="AD7" i="67"/>
  <c r="AE7" i="67"/>
  <c r="AF7" i="67"/>
  <c r="D54" i="66"/>
  <c r="C54" i="66"/>
  <c r="A54" i="66"/>
  <c r="A53" i="66"/>
  <c r="B52" i="66"/>
  <c r="A51" i="66"/>
  <c r="D49" i="66"/>
  <c r="C49" i="66"/>
  <c r="B49" i="66"/>
  <c r="A42" i="66"/>
  <c r="A40" i="66"/>
  <c r="B36" i="66"/>
  <c r="B28" i="66"/>
  <c r="B26" i="66"/>
  <c r="B25" i="66"/>
  <c r="AF17" i="66"/>
  <c r="AE17" i="66"/>
  <c r="AD17" i="66"/>
  <c r="AC17" i="66"/>
  <c r="AB17" i="66"/>
  <c r="AA17" i="66"/>
  <c r="Z17" i="66"/>
  <c r="Y17" i="66"/>
  <c r="X17" i="66"/>
  <c r="W17" i="66"/>
  <c r="V17" i="66"/>
  <c r="U17" i="66"/>
  <c r="T17" i="66"/>
  <c r="S17" i="66"/>
  <c r="R17" i="66"/>
  <c r="Q17" i="66"/>
  <c r="P17" i="66"/>
  <c r="O17" i="66"/>
  <c r="N17" i="66"/>
  <c r="M17" i="66"/>
  <c r="L17" i="66"/>
  <c r="K17" i="66"/>
  <c r="J17" i="66"/>
  <c r="I17" i="66"/>
  <c r="H17" i="66"/>
  <c r="G17" i="66"/>
  <c r="F17" i="66"/>
  <c r="E17" i="66"/>
  <c r="D17" i="66"/>
  <c r="C17" i="66"/>
  <c r="C16" i="66"/>
  <c r="C20" i="66"/>
  <c r="AF13" i="66"/>
  <c r="AE13" i="66"/>
  <c r="AD13" i="66"/>
  <c r="AC13" i="66"/>
  <c r="AB13" i="66"/>
  <c r="AA13" i="66"/>
  <c r="Z13" i="66"/>
  <c r="Y13" i="66"/>
  <c r="X13" i="66"/>
  <c r="W13" i="66"/>
  <c r="V13" i="66"/>
  <c r="U13" i="66"/>
  <c r="T13" i="66"/>
  <c r="S13" i="66"/>
  <c r="R13" i="66"/>
  <c r="Q13" i="66"/>
  <c r="P13" i="66"/>
  <c r="O13" i="66"/>
  <c r="N13" i="66"/>
  <c r="M13" i="66"/>
  <c r="L13" i="66"/>
  <c r="K13" i="66"/>
  <c r="J13" i="66"/>
  <c r="I13" i="66"/>
  <c r="H13" i="66"/>
  <c r="G13" i="66"/>
  <c r="F13" i="66"/>
  <c r="E13" i="66"/>
  <c r="J7" i="66"/>
  <c r="K7" i="66"/>
  <c r="L7" i="66"/>
  <c r="M7" i="66"/>
  <c r="N7" i="66"/>
  <c r="O7" i="66"/>
  <c r="P7" i="66"/>
  <c r="Q7" i="66"/>
  <c r="R7" i="66"/>
  <c r="S7" i="66"/>
  <c r="T7" i="66"/>
  <c r="U7" i="66"/>
  <c r="V7" i="66"/>
  <c r="W7" i="66"/>
  <c r="X7" i="66"/>
  <c r="Y7" i="66"/>
  <c r="Z7" i="66"/>
  <c r="AA7" i="66"/>
  <c r="AB7" i="66"/>
  <c r="AC7" i="66"/>
  <c r="AD7" i="66"/>
  <c r="AE7" i="66"/>
  <c r="AF7" i="66"/>
  <c r="F7" i="66"/>
  <c r="G7" i="66"/>
  <c r="H7" i="66"/>
  <c r="I7" i="66"/>
  <c r="E7" i="66"/>
  <c r="D7" i="66"/>
  <c r="D61" i="65"/>
  <c r="C61" i="65"/>
  <c r="A61" i="65"/>
  <c r="A60" i="65"/>
  <c r="B59" i="65"/>
  <c r="E59" i="65" s="1"/>
  <c r="E61" i="65" s="1"/>
  <c r="A58" i="65"/>
  <c r="F56" i="65"/>
  <c r="E56" i="65"/>
  <c r="D56" i="65"/>
  <c r="C56" i="65"/>
  <c r="B56" i="65"/>
  <c r="A49" i="65"/>
  <c r="A47" i="65"/>
  <c r="B43" i="65"/>
  <c r="I34" i="65"/>
  <c r="B31" i="65"/>
  <c r="B30" i="65"/>
  <c r="C20" i="65"/>
  <c r="AF17" i="65"/>
  <c r="AE17" i="65"/>
  <c r="AD17" i="65"/>
  <c r="AC17" i="65"/>
  <c r="AB17" i="65"/>
  <c r="AA17" i="65"/>
  <c r="Z17" i="65"/>
  <c r="Y17" i="65"/>
  <c r="X17" i="65"/>
  <c r="W17" i="65"/>
  <c r="V17" i="65"/>
  <c r="U17" i="65"/>
  <c r="T17" i="65"/>
  <c r="S17" i="65"/>
  <c r="R17" i="65"/>
  <c r="Q17" i="65"/>
  <c r="P17" i="65"/>
  <c r="O17" i="65"/>
  <c r="N17" i="65"/>
  <c r="M17" i="65"/>
  <c r="L17" i="65"/>
  <c r="K17" i="65"/>
  <c r="J17" i="65"/>
  <c r="I17" i="65"/>
  <c r="H17" i="65"/>
  <c r="G17" i="65"/>
  <c r="F17" i="65"/>
  <c r="E17" i="65"/>
  <c r="D17" i="65"/>
  <c r="C17" i="65"/>
  <c r="F7" i="65"/>
  <c r="G7" i="65"/>
  <c r="H7" i="65"/>
  <c r="I7" i="65"/>
  <c r="J7" i="65"/>
  <c r="K7" i="65"/>
  <c r="L7" i="65"/>
  <c r="M7" i="65"/>
  <c r="N7" i="65"/>
  <c r="O7" i="65"/>
  <c r="P7" i="65"/>
  <c r="Q7" i="65"/>
  <c r="R7" i="65"/>
  <c r="S7" i="65"/>
  <c r="T7" i="65"/>
  <c r="U7" i="65"/>
  <c r="V7" i="65"/>
  <c r="W7" i="65"/>
  <c r="X7" i="65"/>
  <c r="Y7" i="65"/>
  <c r="Z7" i="65"/>
  <c r="AA7" i="65"/>
  <c r="AB7" i="65"/>
  <c r="AC7" i="65"/>
  <c r="AD7" i="65"/>
  <c r="AE7" i="65"/>
  <c r="AF7" i="65"/>
  <c r="E7" i="65"/>
  <c r="D7" i="65"/>
  <c r="E13" i="64"/>
  <c r="D61" i="64"/>
  <c r="C61" i="64"/>
  <c r="A61" i="64"/>
  <c r="A60" i="64"/>
  <c r="B59" i="64"/>
  <c r="E59" i="64" s="1"/>
  <c r="E61" i="64" s="1"/>
  <c r="A58" i="64"/>
  <c r="D56" i="64"/>
  <c r="C56" i="64"/>
  <c r="B56" i="64"/>
  <c r="A49" i="64"/>
  <c r="A47" i="64"/>
  <c r="B43" i="64"/>
  <c r="N35" i="64"/>
  <c r="M35" i="64"/>
  <c r="J35" i="64"/>
  <c r="I35" i="64"/>
  <c r="G35" i="64"/>
  <c r="E35" i="64"/>
  <c r="D35" i="64"/>
  <c r="C35" i="64"/>
  <c r="B31" i="64"/>
  <c r="B30" i="64"/>
  <c r="J34" i="64"/>
  <c r="C20" i="64"/>
  <c r="AF17" i="64"/>
  <c r="AE17" i="64"/>
  <c r="AD17" i="64"/>
  <c r="AC17" i="64"/>
  <c r="AB17" i="64"/>
  <c r="AA17" i="64"/>
  <c r="Z17" i="64"/>
  <c r="Y17" i="64"/>
  <c r="X17" i="64"/>
  <c r="W17" i="64"/>
  <c r="V17" i="64"/>
  <c r="U17" i="64"/>
  <c r="T17" i="64"/>
  <c r="S17" i="64"/>
  <c r="R17" i="64"/>
  <c r="Q17" i="64"/>
  <c r="P17" i="64"/>
  <c r="O17" i="64"/>
  <c r="N17" i="64"/>
  <c r="M17" i="64"/>
  <c r="L17" i="64"/>
  <c r="K17" i="64"/>
  <c r="J17" i="64"/>
  <c r="I17" i="64"/>
  <c r="H17" i="64"/>
  <c r="G17" i="64"/>
  <c r="F17" i="64"/>
  <c r="E17" i="64"/>
  <c r="D17" i="64"/>
  <c r="C17" i="64"/>
  <c r="AF13" i="64"/>
  <c r="AE13" i="64"/>
  <c r="AD13" i="64"/>
  <c r="AC13" i="64"/>
  <c r="AB13" i="64"/>
  <c r="AA13" i="64"/>
  <c r="Z13" i="64"/>
  <c r="Y13" i="64"/>
  <c r="X13" i="64"/>
  <c r="W13" i="64"/>
  <c r="V13" i="64"/>
  <c r="U13" i="64"/>
  <c r="T13" i="64"/>
  <c r="S13" i="64"/>
  <c r="R13" i="64"/>
  <c r="Q13" i="64"/>
  <c r="P13" i="64"/>
  <c r="O13" i="64"/>
  <c r="N13" i="64"/>
  <c r="M13" i="64"/>
  <c r="L13" i="64"/>
  <c r="K13" i="64"/>
  <c r="J13" i="64"/>
  <c r="I13" i="64"/>
  <c r="H13" i="64"/>
  <c r="G13" i="64"/>
  <c r="F13" i="64"/>
  <c r="F7" i="64"/>
  <c r="G7" i="64"/>
  <c r="H7" i="64"/>
  <c r="I7" i="64"/>
  <c r="J7" i="64"/>
  <c r="K7" i="64"/>
  <c r="L7" i="64"/>
  <c r="M7" i="64"/>
  <c r="N7" i="64"/>
  <c r="O7" i="64"/>
  <c r="P7" i="64"/>
  <c r="Q7" i="64"/>
  <c r="R7" i="64"/>
  <c r="S7" i="64"/>
  <c r="T7" i="64"/>
  <c r="U7" i="64"/>
  <c r="V7" i="64"/>
  <c r="W7" i="64"/>
  <c r="X7" i="64"/>
  <c r="Y7" i="64"/>
  <c r="Z7" i="64"/>
  <c r="AA7" i="64"/>
  <c r="AB7" i="64"/>
  <c r="AC7" i="64"/>
  <c r="AD7" i="64"/>
  <c r="AE7" i="64"/>
  <c r="AF7" i="64"/>
  <c r="D7" i="64"/>
  <c r="E7" i="64"/>
  <c r="D61" i="63"/>
  <c r="C61" i="63"/>
  <c r="A61" i="63"/>
  <c r="A60" i="63"/>
  <c r="B59" i="63"/>
  <c r="F59" i="63" s="1"/>
  <c r="F61" i="63" s="1"/>
  <c r="A58" i="63"/>
  <c r="F56" i="63"/>
  <c r="E56" i="63"/>
  <c r="D56" i="63"/>
  <c r="C56" i="63"/>
  <c r="B56" i="63"/>
  <c r="A49" i="63"/>
  <c r="A47" i="63"/>
  <c r="B43" i="63"/>
  <c r="AJ42" i="63"/>
  <c r="AJ41" i="63"/>
  <c r="AR36" i="63"/>
  <c r="AP36" i="63"/>
  <c r="AN36" i="63"/>
  <c r="AO36" i="63"/>
  <c r="AR35" i="63"/>
  <c r="AW35" i="63"/>
  <c r="AP35" i="63"/>
  <c r="AO35" i="63"/>
  <c r="AN35" i="63"/>
  <c r="AW34" i="63"/>
  <c r="AT34" i="63"/>
  <c r="AU34" i="63"/>
  <c r="AS34" i="63"/>
  <c r="AR34" i="63"/>
  <c r="AO34" i="63"/>
  <c r="AN34" i="63"/>
  <c r="AW33" i="63"/>
  <c r="AT33" i="63"/>
  <c r="AU33" i="63"/>
  <c r="AS33" i="63"/>
  <c r="AR33" i="63"/>
  <c r="AO33" i="63"/>
  <c r="AN33" i="63"/>
  <c r="AR32" i="63"/>
  <c r="AP32" i="63"/>
  <c r="AO32" i="63"/>
  <c r="AN32" i="63"/>
  <c r="AW31" i="63"/>
  <c r="AT31" i="63"/>
  <c r="AU31" i="63"/>
  <c r="AS31" i="63"/>
  <c r="AR31" i="63"/>
  <c r="AO31" i="63"/>
  <c r="AN31" i="63"/>
  <c r="B31" i="63"/>
  <c r="AW30" i="63"/>
  <c r="AT30" i="63"/>
  <c r="AU30" i="63"/>
  <c r="AS30" i="63"/>
  <c r="AR30" i="63"/>
  <c r="AO30" i="63"/>
  <c r="AP30" i="63"/>
  <c r="AN30" i="63"/>
  <c r="B30" i="63"/>
  <c r="AW29" i="63"/>
  <c r="AT29" i="63"/>
  <c r="AU29" i="63"/>
  <c r="AS29" i="63"/>
  <c r="AR29" i="63"/>
  <c r="AO29" i="63"/>
  <c r="AP29" i="63"/>
  <c r="AN29" i="63"/>
  <c r="AR28" i="63"/>
  <c r="AP28" i="63"/>
  <c r="AO28" i="63"/>
  <c r="AN28" i="63"/>
  <c r="AW27" i="63"/>
  <c r="AU27" i="63"/>
  <c r="AT27" i="63"/>
  <c r="AS27" i="63"/>
  <c r="AR27" i="63"/>
  <c r="AP27" i="63"/>
  <c r="AO27" i="63"/>
  <c r="AN27" i="63"/>
  <c r="B27" i="63"/>
  <c r="AW26" i="63"/>
  <c r="AU26" i="63"/>
  <c r="AT26" i="63"/>
  <c r="AS26" i="63"/>
  <c r="AR26" i="63"/>
  <c r="AP26" i="63"/>
  <c r="AO26" i="63"/>
  <c r="AN26" i="63"/>
  <c r="AN38" i="63"/>
  <c r="AF17" i="63"/>
  <c r="AE17" i="63"/>
  <c r="AD17" i="63"/>
  <c r="AC17" i="63"/>
  <c r="AB17" i="63"/>
  <c r="AA17" i="63"/>
  <c r="Z17" i="63"/>
  <c r="Y17" i="63"/>
  <c r="X17" i="63"/>
  <c r="W17" i="63"/>
  <c r="V17" i="63"/>
  <c r="U17" i="63"/>
  <c r="T17" i="63"/>
  <c r="S17" i="63"/>
  <c r="R17" i="63"/>
  <c r="Q17" i="63"/>
  <c r="P17" i="63"/>
  <c r="O17" i="63"/>
  <c r="N17" i="63"/>
  <c r="M17" i="63"/>
  <c r="L17" i="63"/>
  <c r="K17" i="63"/>
  <c r="J17" i="63"/>
  <c r="I17" i="63"/>
  <c r="H17" i="63"/>
  <c r="G17" i="63"/>
  <c r="F17" i="63"/>
  <c r="E17" i="63"/>
  <c r="D17" i="63"/>
  <c r="C17" i="63"/>
  <c r="C16" i="63"/>
  <c r="C15" i="63"/>
  <c r="AR11" i="63"/>
  <c r="AR10" i="63"/>
  <c r="AR9" i="63"/>
  <c r="F7" i="63"/>
  <c r="G7" i="63"/>
  <c r="H7" i="63"/>
  <c r="I7" i="63"/>
  <c r="J7" i="63"/>
  <c r="K7" i="63"/>
  <c r="L7" i="63"/>
  <c r="M7" i="63"/>
  <c r="N7" i="63"/>
  <c r="O7" i="63"/>
  <c r="P7" i="63"/>
  <c r="Q7" i="63"/>
  <c r="R7" i="63"/>
  <c r="S7" i="63"/>
  <c r="T7" i="63"/>
  <c r="U7" i="63"/>
  <c r="V7" i="63"/>
  <c r="W7" i="63"/>
  <c r="X7" i="63"/>
  <c r="Y7" i="63"/>
  <c r="Z7" i="63"/>
  <c r="AA7" i="63"/>
  <c r="AB7" i="63"/>
  <c r="AC7" i="63"/>
  <c r="AD7" i="63"/>
  <c r="AE7" i="63"/>
  <c r="AF7" i="63"/>
  <c r="E7" i="63"/>
  <c r="D7" i="63"/>
  <c r="D61" i="62"/>
  <c r="C61" i="62"/>
  <c r="A61" i="62"/>
  <c r="A60" i="62"/>
  <c r="B59" i="62"/>
  <c r="E59" i="62" s="1"/>
  <c r="E61" i="62" s="1"/>
  <c r="A58" i="62"/>
  <c r="D56" i="62"/>
  <c r="C56" i="62"/>
  <c r="B56" i="62"/>
  <c r="A49" i="62"/>
  <c r="A47" i="62"/>
  <c r="B43" i="62"/>
  <c r="AJ42" i="62"/>
  <c r="AJ41" i="62"/>
  <c r="AS36" i="62"/>
  <c r="AT36" i="62"/>
  <c r="AU36" i="62"/>
  <c r="AV36" i="62"/>
  <c r="AR36" i="62"/>
  <c r="AW36" i="62"/>
  <c r="AO36" i="62"/>
  <c r="AP36" i="62"/>
  <c r="AN36" i="62"/>
  <c r="AW35" i="62"/>
  <c r="AR35" i="62"/>
  <c r="AO35" i="62"/>
  <c r="AP35" i="62"/>
  <c r="AN35" i="62"/>
  <c r="L35" i="62"/>
  <c r="G35" i="62"/>
  <c r="B35" i="62"/>
  <c r="AR34" i="62"/>
  <c r="AO34" i="62"/>
  <c r="AN34" i="62"/>
  <c r="K34" i="62"/>
  <c r="F34" i="62"/>
  <c r="B34" i="62"/>
  <c r="AR33" i="62"/>
  <c r="AP33" i="62"/>
  <c r="AO33" i="62"/>
  <c r="AN33" i="62"/>
  <c r="AR32" i="62"/>
  <c r="AS32" i="62"/>
  <c r="AP32" i="62"/>
  <c r="AN32" i="62"/>
  <c r="AO32" i="62"/>
  <c r="AR31" i="62"/>
  <c r="AP31" i="62"/>
  <c r="AO31" i="62"/>
  <c r="AN31" i="62"/>
  <c r="B31" i="62"/>
  <c r="AR30" i="62"/>
  <c r="AO30" i="62"/>
  <c r="AN30" i="62"/>
  <c r="B30" i="62"/>
  <c r="AR29" i="62"/>
  <c r="AO29" i="62"/>
  <c r="AN29" i="62"/>
  <c r="AS28" i="62"/>
  <c r="AR28" i="62"/>
  <c r="AN28" i="62"/>
  <c r="AO28" i="62"/>
  <c r="AR27" i="62"/>
  <c r="AO27" i="62"/>
  <c r="AN27" i="62"/>
  <c r="B27" i="62"/>
  <c r="AR26" i="62"/>
  <c r="AO26" i="62"/>
  <c r="AN26" i="62"/>
  <c r="C21" i="62"/>
  <c r="AF17" i="62"/>
  <c r="AE17" i="62"/>
  <c r="AD17" i="62"/>
  <c r="AC17" i="62"/>
  <c r="AB17" i="62"/>
  <c r="AA17" i="62"/>
  <c r="Z17" i="62"/>
  <c r="Y17" i="62"/>
  <c r="X17" i="62"/>
  <c r="W17" i="62"/>
  <c r="V17" i="62"/>
  <c r="U17" i="62"/>
  <c r="T17" i="62"/>
  <c r="S17" i="62"/>
  <c r="R17" i="62"/>
  <c r="Q17" i="62"/>
  <c r="P17" i="62"/>
  <c r="O17" i="62"/>
  <c r="N17" i="62"/>
  <c r="M17" i="62"/>
  <c r="L17" i="62"/>
  <c r="K17" i="62"/>
  <c r="J17" i="62"/>
  <c r="I17" i="62"/>
  <c r="H17" i="62"/>
  <c r="G17" i="62"/>
  <c r="F17" i="62"/>
  <c r="E17" i="62"/>
  <c r="D17" i="62"/>
  <c r="C17" i="62"/>
  <c r="C16" i="62"/>
  <c r="C20" i="62"/>
  <c r="D15" i="62"/>
  <c r="D16" i="62"/>
  <c r="E14" i="62"/>
  <c r="E15" i="62"/>
  <c r="C15" i="62"/>
  <c r="D14" i="62"/>
  <c r="AF13" i="62"/>
  <c r="AE13" i="62"/>
  <c r="AD13" i="62"/>
  <c r="AC13" i="62"/>
  <c r="AB13" i="62"/>
  <c r="AA13" i="62"/>
  <c r="Z13" i="62"/>
  <c r="Y13" i="62"/>
  <c r="X13" i="62"/>
  <c r="W13" i="62"/>
  <c r="V13" i="62"/>
  <c r="U13" i="62"/>
  <c r="T13" i="62"/>
  <c r="S13" i="62"/>
  <c r="R13" i="62"/>
  <c r="Q13" i="62"/>
  <c r="P13" i="62"/>
  <c r="O13" i="62"/>
  <c r="N13" i="62"/>
  <c r="M13" i="62"/>
  <c r="L13" i="62"/>
  <c r="K13" i="62"/>
  <c r="J13" i="62"/>
  <c r="I13" i="62"/>
  <c r="H13" i="62"/>
  <c r="G13" i="62"/>
  <c r="F13" i="62"/>
  <c r="E13" i="62"/>
  <c r="AR10" i="62"/>
  <c r="AR11" i="62"/>
  <c r="AR9" i="62"/>
  <c r="F7" i="62"/>
  <c r="G7" i="62"/>
  <c r="H7" i="62"/>
  <c r="I7" i="62"/>
  <c r="J7" i="62"/>
  <c r="K7" i="62"/>
  <c r="L7" i="62"/>
  <c r="M7" i="62"/>
  <c r="N7" i="62"/>
  <c r="O7" i="62"/>
  <c r="P7" i="62"/>
  <c r="Q7" i="62"/>
  <c r="R7" i="62"/>
  <c r="S7" i="62"/>
  <c r="T7" i="62"/>
  <c r="U7" i="62"/>
  <c r="V7" i="62"/>
  <c r="W7" i="62"/>
  <c r="X7" i="62"/>
  <c r="Y7" i="62"/>
  <c r="Z7" i="62"/>
  <c r="AA7" i="62"/>
  <c r="AB7" i="62"/>
  <c r="AC7" i="62"/>
  <c r="AD7" i="62"/>
  <c r="AE7" i="62"/>
  <c r="AF7" i="62"/>
  <c r="E7" i="62"/>
  <c r="D7" i="62"/>
  <c r="B70" i="61"/>
  <c r="D69" i="61"/>
  <c r="A69" i="61"/>
  <c r="C69" i="61"/>
  <c r="M58" i="61"/>
  <c r="L58" i="61"/>
  <c r="K58" i="61"/>
  <c r="J58" i="61"/>
  <c r="I58" i="61"/>
  <c r="H58" i="61"/>
  <c r="G58" i="61"/>
  <c r="F58" i="61"/>
  <c r="E58" i="61"/>
  <c r="D58" i="61"/>
  <c r="C58" i="61"/>
  <c r="A58" i="61"/>
  <c r="B57" i="61"/>
  <c r="A56" i="61"/>
  <c r="D54" i="61"/>
  <c r="C54" i="61"/>
  <c r="B54" i="61"/>
  <c r="A47" i="61"/>
  <c r="B43" i="61"/>
  <c r="V35" i="61"/>
  <c r="U35" i="61"/>
  <c r="T35" i="61"/>
  <c r="S35" i="61"/>
  <c r="R35" i="61"/>
  <c r="Q35" i="61"/>
  <c r="P35" i="61"/>
  <c r="O35" i="61"/>
  <c r="N35" i="61"/>
  <c r="M35" i="61"/>
  <c r="L35" i="61"/>
  <c r="K35" i="61"/>
  <c r="J35" i="61"/>
  <c r="I35" i="61"/>
  <c r="H35" i="61"/>
  <c r="G35" i="61"/>
  <c r="F35" i="61"/>
  <c r="E35" i="61"/>
  <c r="D35" i="61"/>
  <c r="C35" i="61"/>
  <c r="V34" i="61"/>
  <c r="U34" i="61"/>
  <c r="T34" i="61"/>
  <c r="S34" i="61"/>
  <c r="R34" i="61"/>
  <c r="Q34" i="61"/>
  <c r="P34" i="61"/>
  <c r="O34" i="61"/>
  <c r="N34" i="61"/>
  <c r="M34" i="61"/>
  <c r="L34" i="61"/>
  <c r="K34" i="61"/>
  <c r="J34" i="61"/>
  <c r="I34" i="61"/>
  <c r="H34" i="61"/>
  <c r="G34" i="61"/>
  <c r="F34" i="61"/>
  <c r="E34" i="61"/>
  <c r="D34" i="61"/>
  <c r="C34" i="61"/>
  <c r="C21" i="61"/>
  <c r="C22" i="61"/>
  <c r="C18" i="61"/>
  <c r="AF17" i="61"/>
  <c r="AE17" i="61"/>
  <c r="AD17" i="61"/>
  <c r="AC17" i="61"/>
  <c r="AB17" i="61"/>
  <c r="AA17" i="61"/>
  <c r="Z17" i="61"/>
  <c r="Y17" i="61"/>
  <c r="X17" i="61"/>
  <c r="W17" i="61"/>
  <c r="V17" i="61"/>
  <c r="U17" i="61"/>
  <c r="T17" i="61"/>
  <c r="S17" i="61"/>
  <c r="R17" i="61"/>
  <c r="Q17" i="61"/>
  <c r="P17" i="61"/>
  <c r="O17" i="61"/>
  <c r="N17" i="61"/>
  <c r="M17" i="61"/>
  <c r="L17" i="61"/>
  <c r="K17" i="61"/>
  <c r="J17" i="61"/>
  <c r="I17" i="61"/>
  <c r="H17" i="61"/>
  <c r="G17" i="61"/>
  <c r="F17" i="61"/>
  <c r="E17" i="61"/>
  <c r="D17" i="61"/>
  <c r="C17" i="61"/>
  <c r="C16" i="61"/>
  <c r="D14" i="61"/>
  <c r="D7" i="61"/>
  <c r="E7" i="61"/>
  <c r="F7" i="61"/>
  <c r="G7" i="61"/>
  <c r="H7" i="61"/>
  <c r="I7" i="61"/>
  <c r="J7" i="61"/>
  <c r="K7" i="61"/>
  <c r="L7" i="61"/>
  <c r="M7" i="61"/>
  <c r="N7" i="61"/>
  <c r="O7" i="61"/>
  <c r="P7" i="61"/>
  <c r="Q7" i="61"/>
  <c r="R7" i="61"/>
  <c r="S7" i="61"/>
  <c r="T7" i="61"/>
  <c r="U7" i="61"/>
  <c r="V7" i="61"/>
  <c r="W7" i="61"/>
  <c r="X7" i="61"/>
  <c r="Y7" i="61"/>
  <c r="Z7" i="61"/>
  <c r="AA7" i="61"/>
  <c r="AB7" i="61"/>
  <c r="AC7" i="61"/>
  <c r="AD7" i="61"/>
  <c r="AE7" i="61"/>
  <c r="AF7" i="61"/>
  <c r="D54" i="60"/>
  <c r="C54" i="60"/>
  <c r="A54" i="60"/>
  <c r="A53" i="60"/>
  <c r="B52" i="60"/>
  <c r="A51" i="60"/>
  <c r="D49" i="60"/>
  <c r="C49" i="60"/>
  <c r="B49" i="60"/>
  <c r="A42" i="60"/>
  <c r="A40" i="60"/>
  <c r="B36" i="60"/>
  <c r="B28" i="60"/>
  <c r="B26" i="60"/>
  <c r="B25" i="60"/>
  <c r="C20" i="60"/>
  <c r="AF17" i="60"/>
  <c r="AE17" i="60"/>
  <c r="AD17" i="60"/>
  <c r="AC17" i="60"/>
  <c r="AB17" i="60"/>
  <c r="AA17" i="60"/>
  <c r="Z17" i="60"/>
  <c r="Y17" i="60"/>
  <c r="X17" i="60"/>
  <c r="W17" i="60"/>
  <c r="V17" i="60"/>
  <c r="U17" i="60"/>
  <c r="T17" i="60"/>
  <c r="S17" i="60"/>
  <c r="R17" i="60"/>
  <c r="Q17" i="60"/>
  <c r="P17" i="60"/>
  <c r="O17" i="60"/>
  <c r="N17" i="60"/>
  <c r="M17" i="60"/>
  <c r="L17" i="60"/>
  <c r="K17" i="60"/>
  <c r="J17" i="60"/>
  <c r="I17" i="60"/>
  <c r="H17" i="60"/>
  <c r="G17" i="60"/>
  <c r="F17" i="60"/>
  <c r="E17" i="60"/>
  <c r="D17" i="60"/>
  <c r="C17" i="60"/>
  <c r="C16" i="60"/>
  <c r="D14" i="60"/>
  <c r="E7" i="60"/>
  <c r="F7" i="60"/>
  <c r="G7" i="60"/>
  <c r="H7" i="60"/>
  <c r="I7" i="60"/>
  <c r="J7" i="60"/>
  <c r="K7" i="60"/>
  <c r="L7" i="60"/>
  <c r="M7" i="60"/>
  <c r="N7" i="60"/>
  <c r="O7" i="60"/>
  <c r="P7" i="60"/>
  <c r="Q7" i="60"/>
  <c r="R7" i="60"/>
  <c r="S7" i="60"/>
  <c r="T7" i="60"/>
  <c r="U7" i="60"/>
  <c r="V7" i="60"/>
  <c r="W7" i="60"/>
  <c r="X7" i="60"/>
  <c r="Y7" i="60"/>
  <c r="Z7" i="60"/>
  <c r="AA7" i="60"/>
  <c r="AB7" i="60"/>
  <c r="AC7" i="60"/>
  <c r="AD7" i="60"/>
  <c r="AE7" i="60"/>
  <c r="AF7" i="60"/>
  <c r="D7" i="60"/>
  <c r="D61" i="59"/>
  <c r="C61" i="59"/>
  <c r="A61" i="59"/>
  <c r="A60" i="59"/>
  <c r="B59" i="59"/>
  <c r="A58" i="59"/>
  <c r="D56" i="59"/>
  <c r="C56" i="59"/>
  <c r="B56" i="59"/>
  <c r="A49" i="59"/>
  <c r="A47" i="59"/>
  <c r="B43" i="59"/>
  <c r="N35" i="59"/>
  <c r="K35" i="59"/>
  <c r="F35" i="59"/>
  <c r="C35" i="59"/>
  <c r="B31" i="59"/>
  <c r="G35" i="59"/>
  <c r="B30" i="59"/>
  <c r="N34" i="59"/>
  <c r="C20" i="59"/>
  <c r="AF17" i="59"/>
  <c r="AE17" i="59"/>
  <c r="AD17" i="59"/>
  <c r="AC17" i="59"/>
  <c r="AB17" i="59"/>
  <c r="AA17" i="59"/>
  <c r="Z17" i="59"/>
  <c r="Y17" i="59"/>
  <c r="X17" i="59"/>
  <c r="W17" i="59"/>
  <c r="V17" i="59"/>
  <c r="U17" i="59"/>
  <c r="T17" i="59"/>
  <c r="S17" i="59"/>
  <c r="R17" i="59"/>
  <c r="Q17" i="59"/>
  <c r="P17" i="59"/>
  <c r="O17" i="59"/>
  <c r="N17" i="59"/>
  <c r="M17" i="59"/>
  <c r="L17" i="59"/>
  <c r="K17" i="59"/>
  <c r="J17" i="59"/>
  <c r="I17" i="59"/>
  <c r="H17" i="59"/>
  <c r="G17" i="59"/>
  <c r="F17" i="59"/>
  <c r="E17" i="59"/>
  <c r="D17" i="59"/>
  <c r="C17" i="59"/>
  <c r="I7" i="59"/>
  <c r="J7" i="59"/>
  <c r="K7" i="59"/>
  <c r="L7" i="59"/>
  <c r="M7" i="59"/>
  <c r="N7" i="59"/>
  <c r="O7" i="59"/>
  <c r="P7" i="59"/>
  <c r="Q7" i="59"/>
  <c r="R7" i="59"/>
  <c r="S7" i="59"/>
  <c r="T7" i="59"/>
  <c r="U7" i="59"/>
  <c r="V7" i="59"/>
  <c r="W7" i="59"/>
  <c r="X7" i="59"/>
  <c r="Y7" i="59"/>
  <c r="Z7" i="59"/>
  <c r="AA7" i="59"/>
  <c r="AB7" i="59"/>
  <c r="AC7" i="59"/>
  <c r="AD7" i="59"/>
  <c r="AE7" i="59"/>
  <c r="AF7" i="59"/>
  <c r="F7" i="59"/>
  <c r="G7" i="59"/>
  <c r="H7" i="59"/>
  <c r="E7" i="59"/>
  <c r="D7" i="59"/>
  <c r="D61" i="58"/>
  <c r="C61" i="58"/>
  <c r="A61" i="58"/>
  <c r="A60" i="58"/>
  <c r="B59" i="58"/>
  <c r="A58" i="58"/>
  <c r="D56" i="58"/>
  <c r="C56" i="58"/>
  <c r="B56" i="58"/>
  <c r="A49" i="58"/>
  <c r="A47" i="58"/>
  <c r="B43" i="58"/>
  <c r="AJ42" i="58"/>
  <c r="AJ41" i="58"/>
  <c r="AR36" i="58"/>
  <c r="AO36" i="58"/>
  <c r="AN36" i="58"/>
  <c r="AW35" i="58"/>
  <c r="AS35" i="58"/>
  <c r="AT35" i="58"/>
  <c r="AU35" i="58"/>
  <c r="AR35" i="58"/>
  <c r="AN35" i="58"/>
  <c r="AO35" i="58"/>
  <c r="F35" i="58"/>
  <c r="AW34" i="58"/>
  <c r="AT34" i="58"/>
  <c r="AU34" i="58"/>
  <c r="AS34" i="58"/>
  <c r="AR34" i="58"/>
  <c r="AN34" i="58"/>
  <c r="AO34" i="58"/>
  <c r="I34" i="58"/>
  <c r="B34" i="58"/>
  <c r="AW33" i="58"/>
  <c r="AS33" i="58"/>
  <c r="AT33" i="58"/>
  <c r="AU33" i="58"/>
  <c r="AR33" i="58"/>
  <c r="AO33" i="58"/>
  <c r="AN33" i="58"/>
  <c r="AR32" i="58"/>
  <c r="AW32" i="58"/>
  <c r="AO32" i="58"/>
  <c r="AN32" i="58"/>
  <c r="AW31" i="58"/>
  <c r="AS31" i="58"/>
  <c r="AT31" i="58"/>
  <c r="AU31" i="58"/>
  <c r="AR31" i="58"/>
  <c r="AN31" i="58"/>
  <c r="AO31" i="58"/>
  <c r="B31" i="58"/>
  <c r="B35" i="58"/>
  <c r="AW30" i="58"/>
  <c r="AS30" i="58"/>
  <c r="AT30" i="58"/>
  <c r="AU30" i="58"/>
  <c r="AR30" i="58"/>
  <c r="AN30" i="58"/>
  <c r="AO30" i="58"/>
  <c r="B30" i="58"/>
  <c r="AW29" i="58"/>
  <c r="AT29" i="58"/>
  <c r="AU29" i="58"/>
  <c r="AS29" i="58"/>
  <c r="AR29" i="58"/>
  <c r="AN29" i="58"/>
  <c r="AO29" i="58"/>
  <c r="AW28" i="58"/>
  <c r="AT28" i="58"/>
  <c r="AU28" i="58"/>
  <c r="AS28" i="58"/>
  <c r="AR28" i="58"/>
  <c r="AO28" i="58"/>
  <c r="AP28" i="58"/>
  <c r="AN28" i="58"/>
  <c r="AW27" i="58"/>
  <c r="AS27" i="58"/>
  <c r="AT27" i="58"/>
  <c r="AU27" i="58"/>
  <c r="AR27" i="58"/>
  <c r="AO27" i="58"/>
  <c r="AN27" i="58"/>
  <c r="B27" i="58"/>
  <c r="AR26" i="58"/>
  <c r="AR38" i="58"/>
  <c r="AO26" i="58"/>
  <c r="AN26" i="58"/>
  <c r="AF17" i="58"/>
  <c r="AE17" i="58"/>
  <c r="AD17" i="58"/>
  <c r="AC17" i="58"/>
  <c r="AB17" i="58"/>
  <c r="AA17" i="58"/>
  <c r="Z17" i="58"/>
  <c r="Y17" i="58"/>
  <c r="X17" i="58"/>
  <c r="W17" i="58"/>
  <c r="V17" i="58"/>
  <c r="U17" i="58"/>
  <c r="T17" i="58"/>
  <c r="S17" i="58"/>
  <c r="R17" i="58"/>
  <c r="Q17" i="58"/>
  <c r="P17" i="58"/>
  <c r="O17" i="58"/>
  <c r="N17" i="58"/>
  <c r="M17" i="58"/>
  <c r="L17" i="58"/>
  <c r="K17" i="58"/>
  <c r="J17" i="58"/>
  <c r="I17" i="58"/>
  <c r="H17" i="58"/>
  <c r="G17" i="58"/>
  <c r="F17" i="58"/>
  <c r="E17" i="58"/>
  <c r="D17" i="58"/>
  <c r="C17" i="58"/>
  <c r="C16" i="58"/>
  <c r="C20" i="58"/>
  <c r="C15" i="58"/>
  <c r="AR10" i="58"/>
  <c r="AR11" i="58"/>
  <c r="AR9" i="58"/>
  <c r="F7" i="58"/>
  <c r="G7" i="58"/>
  <c r="H7" i="58"/>
  <c r="I7" i="58"/>
  <c r="J7" i="58"/>
  <c r="K7" i="58"/>
  <c r="L7" i="58"/>
  <c r="M7" i="58"/>
  <c r="N7" i="58"/>
  <c r="O7" i="58"/>
  <c r="P7" i="58"/>
  <c r="Q7" i="58"/>
  <c r="R7" i="58"/>
  <c r="S7" i="58"/>
  <c r="T7" i="58"/>
  <c r="U7" i="58"/>
  <c r="V7" i="58"/>
  <c r="W7" i="58"/>
  <c r="X7" i="58"/>
  <c r="Y7" i="58"/>
  <c r="Z7" i="58"/>
  <c r="AA7" i="58"/>
  <c r="AB7" i="58"/>
  <c r="AC7" i="58"/>
  <c r="AD7" i="58"/>
  <c r="AE7" i="58"/>
  <c r="AF7" i="58"/>
  <c r="D7" i="58"/>
  <c r="E7" i="58"/>
  <c r="N41" i="41"/>
  <c r="O41" i="41"/>
  <c r="P41" i="41"/>
  <c r="Q41" i="41"/>
  <c r="R41" i="41"/>
  <c r="S41" i="41"/>
  <c r="T41" i="41"/>
  <c r="U41" i="41"/>
  <c r="V41" i="41"/>
  <c r="W41" i="41"/>
  <c r="X41" i="41"/>
  <c r="Y41" i="41"/>
  <c r="Z41" i="41"/>
  <c r="AA41" i="41"/>
  <c r="AB41" i="41"/>
  <c r="AC41" i="41"/>
  <c r="AD41" i="41"/>
  <c r="AE41" i="41"/>
  <c r="AF41" i="41"/>
  <c r="N40" i="41"/>
  <c r="O40" i="41"/>
  <c r="P40" i="41"/>
  <c r="Q40" i="41"/>
  <c r="R40" i="41"/>
  <c r="S40" i="41"/>
  <c r="T40" i="41"/>
  <c r="U40" i="41"/>
  <c r="V40" i="41"/>
  <c r="W40" i="41"/>
  <c r="X40" i="41"/>
  <c r="Y40" i="41"/>
  <c r="Z40" i="41"/>
  <c r="AA40" i="41"/>
  <c r="AB40" i="41"/>
  <c r="AC40" i="41"/>
  <c r="AD40" i="41"/>
  <c r="AE40" i="41"/>
  <c r="AF40" i="41"/>
  <c r="M40" i="41"/>
  <c r="N39" i="41"/>
  <c r="O39" i="41"/>
  <c r="P39" i="41"/>
  <c r="Q39" i="41"/>
  <c r="R39" i="41"/>
  <c r="S39" i="41"/>
  <c r="T39" i="41"/>
  <c r="U39" i="41"/>
  <c r="V39" i="41"/>
  <c r="W39" i="41"/>
  <c r="X39" i="41"/>
  <c r="Y39" i="41"/>
  <c r="Z39" i="41"/>
  <c r="AA39" i="41"/>
  <c r="AB39" i="41"/>
  <c r="AC39" i="41"/>
  <c r="AD39" i="41"/>
  <c r="AE39" i="41"/>
  <c r="AF39" i="41"/>
  <c r="M39" i="41"/>
  <c r="N36" i="41"/>
  <c r="O36" i="41"/>
  <c r="P36" i="41"/>
  <c r="Q36" i="41"/>
  <c r="R36" i="41"/>
  <c r="S36" i="41"/>
  <c r="T36" i="41"/>
  <c r="U36" i="41"/>
  <c r="V36" i="41"/>
  <c r="W36" i="41"/>
  <c r="X36" i="41"/>
  <c r="Y36" i="41"/>
  <c r="Z36" i="41"/>
  <c r="AA36" i="41"/>
  <c r="AB36" i="41"/>
  <c r="AC36" i="41"/>
  <c r="AD36" i="41"/>
  <c r="AE36" i="41"/>
  <c r="AF36" i="41"/>
  <c r="N35" i="41"/>
  <c r="O35" i="41"/>
  <c r="P35" i="41"/>
  <c r="Q35" i="41"/>
  <c r="R35" i="41"/>
  <c r="S35" i="41"/>
  <c r="T35" i="41"/>
  <c r="U35" i="41"/>
  <c r="V35" i="41"/>
  <c r="W35" i="41"/>
  <c r="X35" i="41"/>
  <c r="Y35" i="41"/>
  <c r="Z35" i="41"/>
  <c r="AA35" i="41"/>
  <c r="AB35" i="41"/>
  <c r="AC35" i="41"/>
  <c r="AD35" i="41"/>
  <c r="AE35" i="41"/>
  <c r="AF35" i="41"/>
  <c r="N34" i="41"/>
  <c r="O34" i="41"/>
  <c r="P34" i="41"/>
  <c r="Q34" i="41"/>
  <c r="R34" i="41"/>
  <c r="S34" i="41"/>
  <c r="T34" i="41"/>
  <c r="U34" i="41"/>
  <c r="V34" i="41"/>
  <c r="W34" i="41"/>
  <c r="X34" i="41"/>
  <c r="Y34" i="41"/>
  <c r="Z34" i="41"/>
  <c r="AA34" i="41"/>
  <c r="AB34" i="41"/>
  <c r="AC34" i="41"/>
  <c r="AD34" i="41"/>
  <c r="AE34" i="41"/>
  <c r="AF34" i="41"/>
  <c r="N33" i="41"/>
  <c r="O33" i="41"/>
  <c r="P33" i="41"/>
  <c r="Q33" i="41"/>
  <c r="R33" i="41"/>
  <c r="S33" i="41"/>
  <c r="T33" i="41"/>
  <c r="U33" i="41"/>
  <c r="V33" i="41"/>
  <c r="W33" i="41"/>
  <c r="X33" i="41"/>
  <c r="Y33" i="41"/>
  <c r="Z33" i="41"/>
  <c r="AA33" i="41"/>
  <c r="AB33" i="41"/>
  <c r="AC33" i="41"/>
  <c r="AD33" i="41"/>
  <c r="AE33" i="41"/>
  <c r="AF33" i="41"/>
  <c r="M33" i="41"/>
  <c r="E29" i="41"/>
  <c r="D29" i="41"/>
  <c r="N32" i="41"/>
  <c r="O32" i="41"/>
  <c r="P32" i="41"/>
  <c r="Q32" i="41"/>
  <c r="R32" i="41"/>
  <c r="S32" i="41"/>
  <c r="T32" i="41"/>
  <c r="U32" i="41"/>
  <c r="V32" i="41"/>
  <c r="W32" i="41"/>
  <c r="X32" i="41"/>
  <c r="Y32" i="41"/>
  <c r="Z32" i="41"/>
  <c r="AA32" i="41"/>
  <c r="AB32" i="41"/>
  <c r="AC32" i="41"/>
  <c r="AD32" i="41"/>
  <c r="AE32" i="41"/>
  <c r="AF32" i="41"/>
  <c r="M32" i="41"/>
  <c r="M29" i="41"/>
  <c r="G29" i="41"/>
  <c r="C29" i="41"/>
  <c r="B28" i="41"/>
  <c r="B26" i="41"/>
  <c r="B25" i="41"/>
  <c r="N17" i="41"/>
  <c r="O17" i="41"/>
  <c r="P17" i="41"/>
  <c r="Q17" i="41"/>
  <c r="R17" i="41"/>
  <c r="S17" i="41"/>
  <c r="T17" i="41"/>
  <c r="U17" i="41"/>
  <c r="V17" i="41"/>
  <c r="W17" i="41"/>
  <c r="X17" i="41"/>
  <c r="Y17" i="41"/>
  <c r="Z17" i="41"/>
  <c r="AA17" i="41"/>
  <c r="AB17" i="41"/>
  <c r="AC17" i="41"/>
  <c r="AD17" i="41"/>
  <c r="AE17" i="41"/>
  <c r="AF17" i="41"/>
  <c r="F13" i="41"/>
  <c r="F13" i="40"/>
  <c r="E13" i="40"/>
  <c r="E16" i="40" s="1"/>
  <c r="E18" i="40" s="1"/>
  <c r="E20" i="40" s="1"/>
  <c r="E21" i="40" s="1"/>
  <c r="I13" i="13"/>
  <c r="E13" i="13"/>
  <c r="N13" i="41"/>
  <c r="O13" i="41"/>
  <c r="P13" i="41"/>
  <c r="Q13" i="41"/>
  <c r="R13" i="41"/>
  <c r="S13" i="41"/>
  <c r="T13" i="41"/>
  <c r="U13" i="41"/>
  <c r="V13" i="41"/>
  <c r="W13" i="41"/>
  <c r="X13" i="41"/>
  <c r="Y13" i="41"/>
  <c r="Z13" i="41"/>
  <c r="AA13" i="41"/>
  <c r="AB13" i="41"/>
  <c r="AC13" i="41"/>
  <c r="AD13" i="41"/>
  <c r="AE13" i="41"/>
  <c r="AF13" i="41"/>
  <c r="G13" i="41"/>
  <c r="H13" i="41"/>
  <c r="I13" i="41"/>
  <c r="J13" i="41"/>
  <c r="K13" i="41"/>
  <c r="L13" i="41"/>
  <c r="M13" i="41"/>
  <c r="E13" i="41"/>
  <c r="E15" i="69"/>
  <c r="C26" i="69"/>
  <c r="C36" i="69"/>
  <c r="D26" i="69"/>
  <c r="D28" i="69"/>
  <c r="D27" i="69"/>
  <c r="D15" i="68"/>
  <c r="D16" i="68"/>
  <c r="C27" i="68"/>
  <c r="C26" i="68"/>
  <c r="C36" i="68"/>
  <c r="D21" i="67"/>
  <c r="D22" i="67"/>
  <c r="C21" i="67"/>
  <c r="C22" i="67"/>
  <c r="C29" i="67"/>
  <c r="C18" i="67"/>
  <c r="C22" i="66"/>
  <c r="C29" i="66"/>
  <c r="C18" i="66"/>
  <c r="C21" i="66"/>
  <c r="D14" i="66"/>
  <c r="L34" i="65"/>
  <c r="H34" i="65"/>
  <c r="D34" i="65"/>
  <c r="K34" i="65"/>
  <c r="G34" i="65"/>
  <c r="C34" i="65"/>
  <c r="C31" i="65"/>
  <c r="J34" i="65"/>
  <c r="J35" i="65"/>
  <c r="E34" i="65"/>
  <c r="M34" i="65"/>
  <c r="L35" i="65"/>
  <c r="H35" i="65"/>
  <c r="D35" i="65"/>
  <c r="K35" i="65"/>
  <c r="G35" i="65"/>
  <c r="C35" i="65"/>
  <c r="N35" i="65"/>
  <c r="F35" i="65"/>
  <c r="M35" i="65"/>
  <c r="E35" i="65"/>
  <c r="I35" i="65"/>
  <c r="B34" i="65"/>
  <c r="C28" i="65"/>
  <c r="C30" i="65"/>
  <c r="C21" i="65"/>
  <c r="C22" i="65"/>
  <c r="C18" i="65"/>
  <c r="C16" i="65"/>
  <c r="F34" i="65"/>
  <c r="N34" i="65"/>
  <c r="B35" i="65"/>
  <c r="G34" i="64"/>
  <c r="B34" i="64"/>
  <c r="M34" i="64"/>
  <c r="I34" i="64"/>
  <c r="E34" i="64"/>
  <c r="L34" i="64"/>
  <c r="H34" i="64"/>
  <c r="D34" i="64"/>
  <c r="C28" i="64"/>
  <c r="C21" i="64"/>
  <c r="C22" i="64"/>
  <c r="C18" i="64"/>
  <c r="C16" i="64"/>
  <c r="C34" i="64"/>
  <c r="K34" i="64"/>
  <c r="F34" i="64"/>
  <c r="N34" i="64"/>
  <c r="L35" i="64"/>
  <c r="H35" i="64"/>
  <c r="B35" i="64"/>
  <c r="F35" i="64"/>
  <c r="K35" i="64"/>
  <c r="AT36" i="63"/>
  <c r="AU36" i="63"/>
  <c r="AV36" i="63"/>
  <c r="AW36" i="63"/>
  <c r="AS36" i="63"/>
  <c r="AW28" i="63"/>
  <c r="AW38" i="63"/>
  <c r="AS28" i="63"/>
  <c r="AS38" i="63"/>
  <c r="AV31" i="63"/>
  <c r="AO38" i="63"/>
  <c r="C20" i="63"/>
  <c r="D14" i="63"/>
  <c r="AP31" i="63"/>
  <c r="AP38" i="63"/>
  <c r="AP33" i="63"/>
  <c r="AV33" i="63"/>
  <c r="AP34" i="63"/>
  <c r="AV34" i="63"/>
  <c r="B34" i="63"/>
  <c r="B35" i="63"/>
  <c r="AV29" i="63"/>
  <c r="AV30" i="63"/>
  <c r="AW32" i="63"/>
  <c r="AS32" i="63"/>
  <c r="AT32" i="63"/>
  <c r="AU32" i="63"/>
  <c r="AV32" i="63"/>
  <c r="AV26" i="63"/>
  <c r="AV27" i="63"/>
  <c r="AR38" i="63"/>
  <c r="AV35" i="63"/>
  <c r="AS35" i="63"/>
  <c r="AT35" i="63"/>
  <c r="AU35" i="63"/>
  <c r="AV32" i="62"/>
  <c r="AV34" i="62"/>
  <c r="D18" i="62"/>
  <c r="D20" i="62"/>
  <c r="AP27" i="62"/>
  <c r="AV27" i="62"/>
  <c r="AP30" i="62"/>
  <c r="AV30" i="62"/>
  <c r="AW34" i="62"/>
  <c r="AS34" i="62"/>
  <c r="AT34" i="62"/>
  <c r="AU34" i="62"/>
  <c r="M35" i="62"/>
  <c r="I35" i="62"/>
  <c r="E35" i="62"/>
  <c r="K35" i="62"/>
  <c r="F35" i="62"/>
  <c r="C35" i="62"/>
  <c r="J35" i="62"/>
  <c r="D35" i="62"/>
  <c r="N35" i="62"/>
  <c r="H35" i="62"/>
  <c r="AW32" i="62"/>
  <c r="M34" i="62"/>
  <c r="I34" i="62"/>
  <c r="E34" i="62"/>
  <c r="L34" i="62"/>
  <c r="AN38" i="62"/>
  <c r="E16" i="62"/>
  <c r="C22" i="62"/>
  <c r="AP26" i="62"/>
  <c r="AW27" i="62"/>
  <c r="AS27" i="62"/>
  <c r="AT27" i="62"/>
  <c r="AU27" i="62"/>
  <c r="C28" i="62"/>
  <c r="AP28" i="62"/>
  <c r="AV28" i="62"/>
  <c r="AP29" i="62"/>
  <c r="AV29" i="62"/>
  <c r="AW30" i="62"/>
  <c r="AS30" i="62"/>
  <c r="AT30" i="62"/>
  <c r="AU30" i="62"/>
  <c r="C34" i="62"/>
  <c r="H34" i="62"/>
  <c r="N34" i="62"/>
  <c r="AO38" i="62"/>
  <c r="AW31" i="62"/>
  <c r="AS31" i="62"/>
  <c r="AT31" i="62"/>
  <c r="AU31" i="62"/>
  <c r="AV31" i="62"/>
  <c r="AT32" i="62"/>
  <c r="AU32" i="62"/>
  <c r="AW33" i="62"/>
  <c r="AS33" i="62"/>
  <c r="AT33" i="62"/>
  <c r="AU33" i="62"/>
  <c r="AV33" i="62"/>
  <c r="G34" i="62"/>
  <c r="C18" i="62"/>
  <c r="AW26" i="62"/>
  <c r="AW38" i="62"/>
  <c r="AS26" i="62"/>
  <c r="AT28" i="62"/>
  <c r="AU28" i="62"/>
  <c r="AW28" i="62"/>
  <c r="AW29" i="62"/>
  <c r="AS29" i="62"/>
  <c r="AT29" i="62"/>
  <c r="AU29" i="62"/>
  <c r="D34" i="62"/>
  <c r="J34" i="62"/>
  <c r="AP34" i="62"/>
  <c r="AT35" i="62"/>
  <c r="AU35" i="62"/>
  <c r="AV35" i="62"/>
  <c r="AS35" i="62"/>
  <c r="AR38" i="62"/>
  <c r="D15" i="61"/>
  <c r="D16" i="61"/>
  <c r="C26" i="61"/>
  <c r="C36" i="61"/>
  <c r="C27" i="61"/>
  <c r="C14" i="61"/>
  <c r="C21" i="60"/>
  <c r="C22" i="60"/>
  <c r="C29" i="60"/>
  <c r="C18" i="60"/>
  <c r="D15" i="60"/>
  <c r="D16" i="60"/>
  <c r="B34" i="59"/>
  <c r="E34" i="59"/>
  <c r="M34" i="59"/>
  <c r="C28" i="59"/>
  <c r="C21" i="59"/>
  <c r="C22" i="59"/>
  <c r="C18" i="59"/>
  <c r="C16" i="59"/>
  <c r="F34" i="59"/>
  <c r="L34" i="59"/>
  <c r="H34" i="59"/>
  <c r="D34" i="59"/>
  <c r="K34" i="59"/>
  <c r="G34" i="59"/>
  <c r="C34" i="59"/>
  <c r="J34" i="59"/>
  <c r="M35" i="59"/>
  <c r="I35" i="59"/>
  <c r="E35" i="59"/>
  <c r="L35" i="59"/>
  <c r="H35" i="59"/>
  <c r="D35" i="59"/>
  <c r="I34" i="59"/>
  <c r="B35" i="59"/>
  <c r="J35" i="59"/>
  <c r="C28" i="58"/>
  <c r="C21" i="58"/>
  <c r="C22" i="58"/>
  <c r="C18" i="58"/>
  <c r="AO38" i="58"/>
  <c r="AP26" i="58"/>
  <c r="AP27" i="58"/>
  <c r="AV27" i="58"/>
  <c r="AP31" i="58"/>
  <c r="AV31" i="58"/>
  <c r="AP29" i="58"/>
  <c r="AV29" i="58"/>
  <c r="AV30" i="58"/>
  <c r="AP30" i="58"/>
  <c r="L35" i="58"/>
  <c r="H35" i="58"/>
  <c r="N35" i="58"/>
  <c r="I35" i="58"/>
  <c r="D35" i="58"/>
  <c r="M35" i="58"/>
  <c r="G35" i="58"/>
  <c r="C35" i="58"/>
  <c r="E35" i="58"/>
  <c r="K35" i="58"/>
  <c r="J35" i="58"/>
  <c r="AP33" i="58"/>
  <c r="AV33" i="58"/>
  <c r="AV34" i="58"/>
  <c r="AP34" i="58"/>
  <c r="J34" i="58"/>
  <c r="D14" i="58"/>
  <c r="C30" i="58"/>
  <c r="E34" i="58"/>
  <c r="M34" i="58"/>
  <c r="AP35" i="58"/>
  <c r="AV35" i="58"/>
  <c r="AP36" i="58"/>
  <c r="AV36" i="58"/>
  <c r="AV28" i="58"/>
  <c r="L34" i="58"/>
  <c r="H34" i="58"/>
  <c r="D34" i="58"/>
  <c r="K34" i="58"/>
  <c r="G34" i="58"/>
  <c r="C34" i="58"/>
  <c r="AN38" i="58"/>
  <c r="AS26" i="58"/>
  <c r="AW26" i="58"/>
  <c r="AW38" i="58"/>
  <c r="C31" i="58"/>
  <c r="AP32" i="58"/>
  <c r="AV32" i="58"/>
  <c r="F34" i="58"/>
  <c r="N34" i="58"/>
  <c r="AS32" i="58"/>
  <c r="AT32" i="58"/>
  <c r="AU32" i="58"/>
  <c r="AW36" i="58"/>
  <c r="AS36" i="58"/>
  <c r="AT36" i="58"/>
  <c r="AU36" i="58"/>
  <c r="C42" i="69"/>
  <c r="C46" i="69"/>
  <c r="C48" i="69"/>
  <c r="C40" i="69"/>
  <c r="C39" i="69"/>
  <c r="C43" i="69"/>
  <c r="C41" i="69"/>
  <c r="D30" i="69"/>
  <c r="D36" i="69"/>
  <c r="D31" i="69"/>
  <c r="C42" i="68"/>
  <c r="C46" i="68"/>
  <c r="C48" i="68"/>
  <c r="C40" i="68"/>
  <c r="C39" i="68"/>
  <c r="C41" i="68"/>
  <c r="E14" i="68"/>
  <c r="D18" i="68"/>
  <c r="D20" i="68"/>
  <c r="C34" i="67"/>
  <c r="C32" i="67"/>
  <c r="C35" i="67"/>
  <c r="C33" i="67"/>
  <c r="D25" i="67"/>
  <c r="D29" i="67"/>
  <c r="D26" i="67"/>
  <c r="D15" i="66"/>
  <c r="D16" i="66"/>
  <c r="C34" i="66"/>
  <c r="C32" i="66"/>
  <c r="C36" i="66"/>
  <c r="C33" i="66"/>
  <c r="C35" i="66"/>
  <c r="D14" i="65"/>
  <c r="C14" i="65"/>
  <c r="C26" i="65"/>
  <c r="C36" i="65"/>
  <c r="C27" i="65"/>
  <c r="C30" i="64"/>
  <c r="C31" i="64"/>
  <c r="C14" i="64"/>
  <c r="D14" i="64"/>
  <c r="C26" i="64"/>
  <c r="C36" i="64"/>
  <c r="C27" i="64"/>
  <c r="C18" i="63"/>
  <c r="C21" i="63"/>
  <c r="C22" i="63"/>
  <c r="C28" i="63"/>
  <c r="AT28" i="63"/>
  <c r="M34" i="63"/>
  <c r="I34" i="63"/>
  <c r="E34" i="63"/>
  <c r="L34" i="63"/>
  <c r="H34" i="63"/>
  <c r="D34" i="63"/>
  <c r="G34" i="63"/>
  <c r="K34" i="63"/>
  <c r="J34" i="63"/>
  <c r="N34" i="63"/>
  <c r="F34" i="63"/>
  <c r="C34" i="63"/>
  <c r="M35" i="63"/>
  <c r="I35" i="63"/>
  <c r="E35" i="63"/>
  <c r="L35" i="63"/>
  <c r="H35" i="63"/>
  <c r="D35" i="63"/>
  <c r="G35" i="63"/>
  <c r="K35" i="63"/>
  <c r="J35" i="63"/>
  <c r="N35" i="63"/>
  <c r="F35" i="63"/>
  <c r="C35" i="63"/>
  <c r="D16" i="63"/>
  <c r="D15" i="63"/>
  <c r="AP38" i="62"/>
  <c r="C26" i="62"/>
  <c r="AP39" i="62"/>
  <c r="C27" i="62"/>
  <c r="C31" i="62"/>
  <c r="C30" i="62"/>
  <c r="AU39" i="62"/>
  <c r="E18" i="62"/>
  <c r="E20" i="62"/>
  <c r="E21" i="62" s="1"/>
  <c r="F14" i="62"/>
  <c r="F15" i="62" s="1"/>
  <c r="AS38" i="62"/>
  <c r="AT26" i="62"/>
  <c r="D28" i="62"/>
  <c r="D21" i="62"/>
  <c r="D22" i="62"/>
  <c r="C41" i="61"/>
  <c r="C39" i="61"/>
  <c r="C42" i="61"/>
  <c r="C46" i="61"/>
  <c r="C48" i="61"/>
  <c r="C40" i="61"/>
  <c r="D18" i="61"/>
  <c r="D20" i="61"/>
  <c r="E14" i="61"/>
  <c r="D18" i="60"/>
  <c r="D20" i="60"/>
  <c r="E14" i="60"/>
  <c r="C34" i="60"/>
  <c r="C32" i="60"/>
  <c r="C35" i="60"/>
  <c r="C33" i="60"/>
  <c r="C30" i="59"/>
  <c r="C31" i="59"/>
  <c r="D14" i="59"/>
  <c r="C14" i="59"/>
  <c r="C26" i="59"/>
  <c r="C27" i="59"/>
  <c r="C36" i="59"/>
  <c r="C26" i="58"/>
  <c r="C27" i="58"/>
  <c r="AP38" i="58"/>
  <c r="AS38" i="58"/>
  <c r="AT26" i="58"/>
  <c r="AU39" i="58"/>
  <c r="D16" i="58"/>
  <c r="D15" i="58"/>
  <c r="D42" i="69"/>
  <c r="D46" i="69"/>
  <c r="D48" i="69"/>
  <c r="D41" i="69"/>
  <c r="D39" i="69"/>
  <c r="D40" i="69"/>
  <c r="D21" i="68"/>
  <c r="D22" i="68"/>
  <c r="C43" i="68"/>
  <c r="E15" i="68"/>
  <c r="E16" i="68"/>
  <c r="D35" i="67"/>
  <c r="D33" i="67"/>
  <c r="D32" i="67"/>
  <c r="D34" i="67"/>
  <c r="C39" i="67"/>
  <c r="C40" i="67"/>
  <c r="C53" i="67"/>
  <c r="C36" i="67"/>
  <c r="D18" i="66"/>
  <c r="D20" i="66"/>
  <c r="E14" i="66"/>
  <c r="C39" i="66"/>
  <c r="C40" i="66"/>
  <c r="C53" i="66"/>
  <c r="C41" i="65"/>
  <c r="C39" i="65"/>
  <c r="C40" i="65"/>
  <c r="C42" i="65"/>
  <c r="D15" i="65"/>
  <c r="D16" i="65"/>
  <c r="C42" i="64"/>
  <c r="C40" i="64"/>
  <c r="C41" i="64"/>
  <c r="C39" i="64"/>
  <c r="C43" i="64"/>
  <c r="D16" i="64"/>
  <c r="D15" i="64"/>
  <c r="C26" i="63"/>
  <c r="C27" i="63"/>
  <c r="E14" i="63"/>
  <c r="D18" i="63"/>
  <c r="D20" i="63"/>
  <c r="AU28" i="63"/>
  <c r="AT38" i="63"/>
  <c r="C31" i="63"/>
  <c r="C30" i="63"/>
  <c r="D27" i="62"/>
  <c r="D26" i="62"/>
  <c r="D36" i="62"/>
  <c r="D30" i="62"/>
  <c r="D31" i="62"/>
  <c r="E28" i="62"/>
  <c r="E31" i="62" s="1"/>
  <c r="AT38" i="62"/>
  <c r="AU26" i="62"/>
  <c r="C36" i="62"/>
  <c r="F16" i="62"/>
  <c r="AP40" i="62"/>
  <c r="E15" i="61"/>
  <c r="C43" i="61"/>
  <c r="D22" i="61"/>
  <c r="D21" i="61"/>
  <c r="C39" i="60"/>
  <c r="C40" i="60"/>
  <c r="C53" i="60"/>
  <c r="C41" i="60"/>
  <c r="C43" i="60"/>
  <c r="D21" i="60"/>
  <c r="D22" i="60"/>
  <c r="C36" i="60"/>
  <c r="E15" i="60"/>
  <c r="C41" i="59"/>
  <c r="C39" i="59"/>
  <c r="C40" i="59"/>
  <c r="C42" i="59"/>
  <c r="D15" i="59"/>
  <c r="D16" i="59"/>
  <c r="E14" i="58"/>
  <c r="D18" i="58"/>
  <c r="D20" i="58"/>
  <c r="AT38" i="58"/>
  <c r="AU26" i="58"/>
  <c r="AP39" i="58"/>
  <c r="AP40" i="58"/>
  <c r="C36" i="58"/>
  <c r="D43" i="69"/>
  <c r="E18" i="68"/>
  <c r="E20" i="68"/>
  <c r="F14" i="68"/>
  <c r="D28" i="68"/>
  <c r="D27" i="68"/>
  <c r="D26" i="68"/>
  <c r="D36" i="67"/>
  <c r="C41" i="67"/>
  <c r="C43" i="67"/>
  <c r="D39" i="67"/>
  <c r="D40" i="67"/>
  <c r="D53" i="67"/>
  <c r="E15" i="66"/>
  <c r="E16" i="66"/>
  <c r="C41" i="66"/>
  <c r="C43" i="66"/>
  <c r="D21" i="66"/>
  <c r="D22" i="66"/>
  <c r="E14" i="65"/>
  <c r="D18" i="65"/>
  <c r="D20" i="65"/>
  <c r="C43" i="65"/>
  <c r="C48" i="65"/>
  <c r="C50" i="65"/>
  <c r="C46" i="65"/>
  <c r="C47" i="65"/>
  <c r="C60" i="65"/>
  <c r="D18" i="64"/>
  <c r="D20" i="64"/>
  <c r="E14" i="64"/>
  <c r="C46" i="64"/>
  <c r="C47" i="64"/>
  <c r="C60" i="64"/>
  <c r="AV28" i="63"/>
  <c r="AV38" i="63"/>
  <c r="AU38" i="63"/>
  <c r="AP39" i="63"/>
  <c r="AP40" i="63"/>
  <c r="E15" i="63"/>
  <c r="AU39" i="63"/>
  <c r="AU40" i="63"/>
  <c r="D21" i="63"/>
  <c r="D22" i="63"/>
  <c r="D28" i="63"/>
  <c r="C36" i="63"/>
  <c r="D39" i="62"/>
  <c r="D40" i="62"/>
  <c r="D42" i="62"/>
  <c r="D41" i="62"/>
  <c r="C42" i="62"/>
  <c r="AV39" i="62"/>
  <c r="C39" i="62"/>
  <c r="C40" i="62"/>
  <c r="C41" i="62"/>
  <c r="AU38" i="62"/>
  <c r="AU40" i="62"/>
  <c r="AV26" i="62"/>
  <c r="AV38" i="62"/>
  <c r="E30" i="62"/>
  <c r="D27" i="61"/>
  <c r="D28" i="61"/>
  <c r="D26" i="61"/>
  <c r="D25" i="60"/>
  <c r="D26" i="60"/>
  <c r="D29" i="60"/>
  <c r="C46" i="59"/>
  <c r="C47" i="59"/>
  <c r="C60" i="59"/>
  <c r="C48" i="59"/>
  <c r="C50" i="59"/>
  <c r="E14" i="59"/>
  <c r="D18" i="59"/>
  <c r="D20" i="59"/>
  <c r="C43" i="59"/>
  <c r="E15" i="58"/>
  <c r="AU38" i="58"/>
  <c r="AU40" i="58"/>
  <c r="AV26" i="58"/>
  <c r="AV38" i="58"/>
  <c r="C41" i="58"/>
  <c r="C42" i="58"/>
  <c r="C40" i="58"/>
  <c r="AV39" i="58"/>
  <c r="AV40" i="58"/>
  <c r="C39" i="58"/>
  <c r="D28" i="58"/>
  <c r="D21" i="58"/>
  <c r="D22" i="58"/>
  <c r="D31" i="68"/>
  <c r="D30" i="68"/>
  <c r="D36" i="68"/>
  <c r="F15" i="68"/>
  <c r="F16" i="68"/>
  <c r="E22" i="68"/>
  <c r="E21" i="68"/>
  <c r="D41" i="67"/>
  <c r="D43" i="67"/>
  <c r="D26" i="66"/>
  <c r="D25" i="66"/>
  <c r="D29" i="66"/>
  <c r="E18" i="66"/>
  <c r="E20" i="66"/>
  <c r="F14" i="66"/>
  <c r="D28" i="65"/>
  <c r="D21" i="65"/>
  <c r="D22" i="65"/>
  <c r="E15" i="65"/>
  <c r="C48" i="64"/>
  <c r="C50" i="64"/>
  <c r="E15" i="64"/>
  <c r="E16" i="64"/>
  <c r="E18" i="64" s="1"/>
  <c r="E20" i="64" s="1"/>
  <c r="D28" i="64"/>
  <c r="D21" i="64"/>
  <c r="D22" i="64"/>
  <c r="D26" i="63"/>
  <c r="D36" i="63"/>
  <c r="D27" i="63"/>
  <c r="D30" i="63"/>
  <c r="D31" i="63"/>
  <c r="C41" i="63"/>
  <c r="AV39" i="63"/>
  <c r="AV40" i="63"/>
  <c r="C39" i="63"/>
  <c r="C42" i="63"/>
  <c r="C40" i="63"/>
  <c r="AV40" i="62"/>
  <c r="D46" i="62"/>
  <c r="D47" i="62"/>
  <c r="D60" i="62"/>
  <c r="C46" i="62"/>
  <c r="C47" i="62"/>
  <c r="C60" i="62"/>
  <c r="C43" i="62"/>
  <c r="D43" i="62"/>
  <c r="D30" i="61"/>
  <c r="D31" i="61"/>
  <c r="D34" i="60"/>
  <c r="D32" i="60"/>
  <c r="D33" i="60"/>
  <c r="D35" i="60"/>
  <c r="E15" i="59"/>
  <c r="D22" i="59"/>
  <c r="D28" i="59"/>
  <c r="D21" i="59"/>
  <c r="D26" i="58"/>
  <c r="D36" i="58"/>
  <c r="D27" i="58"/>
  <c r="D31" i="58"/>
  <c r="D30" i="58"/>
  <c r="C46" i="58"/>
  <c r="C47" i="58"/>
  <c r="C60" i="58"/>
  <c r="C43" i="58"/>
  <c r="D42" i="68"/>
  <c r="D46" i="68"/>
  <c r="D40" i="68"/>
  <c r="D41" i="68"/>
  <c r="D39" i="68"/>
  <c r="D43" i="68"/>
  <c r="F18" i="68"/>
  <c r="F20" i="68"/>
  <c r="G14" i="68"/>
  <c r="E28" i="68"/>
  <c r="E27" i="68"/>
  <c r="E26" i="68"/>
  <c r="D35" i="66"/>
  <c r="D33" i="66"/>
  <c r="D34" i="66"/>
  <c r="D32" i="66"/>
  <c r="D36" i="66"/>
  <c r="E21" i="66"/>
  <c r="E22" i="66"/>
  <c r="F15" i="66"/>
  <c r="F16" i="66"/>
  <c r="D27" i="65"/>
  <c r="D26" i="65"/>
  <c r="D36" i="65"/>
  <c r="D30" i="65"/>
  <c r="D31" i="65"/>
  <c r="D26" i="64"/>
  <c r="D36" i="64"/>
  <c r="D27" i="64"/>
  <c r="D30" i="64"/>
  <c r="D31" i="64"/>
  <c r="D41" i="63"/>
  <c r="D42" i="63"/>
  <c r="D40" i="63"/>
  <c r="D39" i="63"/>
  <c r="D43" i="63"/>
  <c r="C46" i="63"/>
  <c r="C47" i="63"/>
  <c r="C60" i="63"/>
  <c r="C43" i="63"/>
  <c r="C48" i="62"/>
  <c r="C50" i="62"/>
  <c r="D48" i="62"/>
  <c r="D36" i="61"/>
  <c r="D41" i="60"/>
  <c r="D43" i="60"/>
  <c r="D39" i="60"/>
  <c r="D40" i="60"/>
  <c r="D53" i="60"/>
  <c r="D36" i="60"/>
  <c r="D27" i="59"/>
  <c r="D26" i="59"/>
  <c r="D36" i="59"/>
  <c r="D30" i="59"/>
  <c r="D31" i="59"/>
  <c r="D42" i="58"/>
  <c r="D40" i="58"/>
  <c r="D39" i="58"/>
  <c r="D41" i="58"/>
  <c r="C48" i="58"/>
  <c r="C50" i="58"/>
  <c r="E30" i="68"/>
  <c r="E36" i="68"/>
  <c r="E31" i="68"/>
  <c r="G15" i="68"/>
  <c r="G16" i="68"/>
  <c r="F21" i="68"/>
  <c r="F22" i="68"/>
  <c r="F18" i="66"/>
  <c r="F20" i="66"/>
  <c r="G14" i="66"/>
  <c r="E26" i="66"/>
  <c r="E29" i="66"/>
  <c r="E25" i="66"/>
  <c r="D39" i="66"/>
  <c r="D40" i="66"/>
  <c r="D53" i="66"/>
  <c r="D41" i="65"/>
  <c r="D39" i="65"/>
  <c r="D40" i="65"/>
  <c r="D42" i="65"/>
  <c r="D41" i="64"/>
  <c r="D39" i="64"/>
  <c r="D42" i="64"/>
  <c r="D40" i="64"/>
  <c r="D46" i="63"/>
  <c r="D47" i="63"/>
  <c r="D60" i="63"/>
  <c r="C48" i="63"/>
  <c r="C50" i="63"/>
  <c r="E56" i="62"/>
  <c r="D42" i="61"/>
  <c r="D46" i="61"/>
  <c r="D48" i="61"/>
  <c r="D40" i="61"/>
  <c r="D41" i="61"/>
  <c r="D39" i="61"/>
  <c r="D43" i="61"/>
  <c r="D41" i="59"/>
  <c r="D39" i="59"/>
  <c r="D42" i="59"/>
  <c r="D40" i="59"/>
  <c r="D43" i="58"/>
  <c r="D46" i="58"/>
  <c r="D47" i="58"/>
  <c r="D60" i="58"/>
  <c r="H14" i="68"/>
  <c r="G18" i="68"/>
  <c r="G20" i="68"/>
  <c r="E41" i="68"/>
  <c r="E39" i="68"/>
  <c r="E43" i="68"/>
  <c r="E40" i="68"/>
  <c r="E42" i="68"/>
  <c r="E46" i="68"/>
  <c r="F28" i="68"/>
  <c r="F26" i="68"/>
  <c r="F27" i="68"/>
  <c r="E35" i="66"/>
  <c r="E33" i="66"/>
  <c r="E34" i="66"/>
  <c r="E32" i="66"/>
  <c r="E36" i="66"/>
  <c r="D41" i="66"/>
  <c r="G15" i="66"/>
  <c r="G16" i="66"/>
  <c r="F22" i="66"/>
  <c r="F21" i="66"/>
  <c r="D43" i="65"/>
  <c r="D46" i="65"/>
  <c r="D47" i="65"/>
  <c r="D60" i="65"/>
  <c r="D48" i="65"/>
  <c r="D50" i="65"/>
  <c r="D48" i="64"/>
  <c r="D46" i="64"/>
  <c r="D47" i="64"/>
  <c r="D60" i="64"/>
  <c r="D43" i="64"/>
  <c r="D48" i="63"/>
  <c r="D50" i="63"/>
  <c r="D43" i="59"/>
  <c r="D46" i="59"/>
  <c r="D47" i="59"/>
  <c r="D60" i="59"/>
  <c r="D48" i="58"/>
  <c r="D50" i="58"/>
  <c r="F30" i="68"/>
  <c r="F36" i="68"/>
  <c r="F31" i="68"/>
  <c r="G21" i="68"/>
  <c r="G22" i="68"/>
  <c r="H15" i="68"/>
  <c r="H16" i="68"/>
  <c r="F26" i="66"/>
  <c r="F25" i="66"/>
  <c r="F29" i="66"/>
  <c r="H14" i="66"/>
  <c r="G18" i="66"/>
  <c r="G20" i="66"/>
  <c r="E39" i="66"/>
  <c r="E40" i="66"/>
  <c r="E53" i="66"/>
  <c r="E41" i="66"/>
  <c r="D48" i="59"/>
  <c r="D50" i="59"/>
  <c r="I14" i="68"/>
  <c r="H18" i="68"/>
  <c r="H20" i="68"/>
  <c r="G26" i="68"/>
  <c r="G27" i="68"/>
  <c r="G28" i="68"/>
  <c r="E54" i="68"/>
  <c r="F41" i="68"/>
  <c r="F39" i="68"/>
  <c r="F42" i="68"/>
  <c r="F46" i="68"/>
  <c r="F40" i="68"/>
  <c r="F34" i="66"/>
  <c r="F32" i="66"/>
  <c r="F35" i="66"/>
  <c r="F33" i="66"/>
  <c r="H15" i="66"/>
  <c r="H16" i="66"/>
  <c r="G21" i="66"/>
  <c r="G22" i="66"/>
  <c r="F43" i="68"/>
  <c r="G31" i="68"/>
  <c r="G30" i="68"/>
  <c r="G36" i="68"/>
  <c r="H22" i="68"/>
  <c r="H21" i="68"/>
  <c r="I15" i="68"/>
  <c r="I16" i="68"/>
  <c r="G29" i="66"/>
  <c r="G25" i="66"/>
  <c r="G26" i="66"/>
  <c r="F36" i="66"/>
  <c r="F39" i="66"/>
  <c r="F40" i="66"/>
  <c r="F53" i="66"/>
  <c r="H18" i="66"/>
  <c r="H20" i="66"/>
  <c r="I14" i="66"/>
  <c r="E49" i="66"/>
  <c r="F56" i="62"/>
  <c r="G42" i="68"/>
  <c r="G46" i="68"/>
  <c r="G40" i="68"/>
  <c r="G41" i="68"/>
  <c r="G39" i="68"/>
  <c r="G43" i="68"/>
  <c r="I18" i="68"/>
  <c r="I20" i="68"/>
  <c r="J14" i="68"/>
  <c r="F69" i="68"/>
  <c r="F54" i="68"/>
  <c r="H27" i="68"/>
  <c r="H28" i="68"/>
  <c r="H26" i="68"/>
  <c r="H21" i="66"/>
  <c r="H22" i="66"/>
  <c r="F41" i="66"/>
  <c r="I15" i="66"/>
  <c r="I16" i="66"/>
  <c r="G34" i="66"/>
  <c r="G32" i="66"/>
  <c r="G35" i="66"/>
  <c r="G33" i="66"/>
  <c r="E56" i="64"/>
  <c r="J15" i="68"/>
  <c r="J16" i="68"/>
  <c r="H31" i="68"/>
  <c r="H30" i="68"/>
  <c r="H36" i="68"/>
  <c r="I22" i="68"/>
  <c r="I21" i="68"/>
  <c r="I18" i="66"/>
  <c r="I20" i="66"/>
  <c r="J14" i="66"/>
  <c r="H26" i="66"/>
  <c r="H25" i="66"/>
  <c r="H29" i="66"/>
  <c r="G36" i="66"/>
  <c r="F49" i="66"/>
  <c r="G39" i="66"/>
  <c r="G40" i="66"/>
  <c r="G53" i="66"/>
  <c r="H42" i="68"/>
  <c r="H46" i="68"/>
  <c r="H40" i="68"/>
  <c r="H41" i="68"/>
  <c r="H39" i="68"/>
  <c r="H43" i="68"/>
  <c r="J18" i="68"/>
  <c r="J20" i="68"/>
  <c r="K14" i="68"/>
  <c r="I28" i="68"/>
  <c r="I27" i="68"/>
  <c r="I26" i="68"/>
  <c r="H35" i="66"/>
  <c r="H33" i="66"/>
  <c r="H32" i="66"/>
  <c r="H34" i="66"/>
  <c r="G41" i="66"/>
  <c r="J15" i="66"/>
  <c r="J16" i="66"/>
  <c r="I21" i="66"/>
  <c r="I22" i="66"/>
  <c r="F56" i="64"/>
  <c r="I30" i="68"/>
  <c r="I36" i="68"/>
  <c r="I31" i="68"/>
  <c r="J21" i="68"/>
  <c r="J22" i="68"/>
  <c r="K15" i="68"/>
  <c r="K16" i="68"/>
  <c r="I26" i="66"/>
  <c r="I25" i="66"/>
  <c r="I29" i="66"/>
  <c r="K14" i="66"/>
  <c r="J18" i="66"/>
  <c r="J20" i="66"/>
  <c r="H36" i="66"/>
  <c r="H39" i="66"/>
  <c r="H40" i="66"/>
  <c r="H53" i="66"/>
  <c r="L14" i="68"/>
  <c r="K18" i="68"/>
  <c r="K20" i="68"/>
  <c r="I41" i="68"/>
  <c r="I39" i="68"/>
  <c r="I43" i="68"/>
  <c r="I42" i="68"/>
  <c r="I46" i="68"/>
  <c r="I40" i="68"/>
  <c r="J28" i="68"/>
  <c r="J26" i="68"/>
  <c r="J27" i="68"/>
  <c r="I35" i="66"/>
  <c r="I33" i="66"/>
  <c r="I32" i="66"/>
  <c r="I36" i="66"/>
  <c r="I34" i="66"/>
  <c r="K15" i="66"/>
  <c r="K16" i="66"/>
  <c r="H41" i="66"/>
  <c r="J21" i="66"/>
  <c r="J22" i="66"/>
  <c r="K21" i="68"/>
  <c r="K22" i="68"/>
  <c r="J31" i="68"/>
  <c r="J30" i="68"/>
  <c r="J36" i="68"/>
  <c r="L15" i="68"/>
  <c r="L16" i="68"/>
  <c r="J26" i="66"/>
  <c r="J25" i="66"/>
  <c r="J29" i="66"/>
  <c r="L14" i="66"/>
  <c r="K18" i="66"/>
  <c r="K20" i="66"/>
  <c r="I39" i="66"/>
  <c r="I40" i="66"/>
  <c r="I53" i="66"/>
  <c r="I41" i="66"/>
  <c r="K26" i="68"/>
  <c r="K28" i="68"/>
  <c r="K27" i="68"/>
  <c r="J41" i="68"/>
  <c r="J39" i="68"/>
  <c r="J42" i="68"/>
  <c r="J46" i="68"/>
  <c r="J40" i="68"/>
  <c r="M14" i="68"/>
  <c r="L18" i="68"/>
  <c r="L20" i="68"/>
  <c r="J34" i="66"/>
  <c r="J32" i="66"/>
  <c r="J33" i="66"/>
  <c r="J35" i="66"/>
  <c r="L15" i="66"/>
  <c r="L16" i="66"/>
  <c r="K21" i="66"/>
  <c r="K22" i="66"/>
  <c r="K31" i="68"/>
  <c r="K30" i="68"/>
  <c r="K36" i="68"/>
  <c r="L21" i="68"/>
  <c r="L22" i="68"/>
  <c r="J43" i="68"/>
  <c r="M15" i="68"/>
  <c r="M16" i="68"/>
  <c r="K26" i="66"/>
  <c r="K25" i="66"/>
  <c r="K29" i="66"/>
  <c r="J41" i="66"/>
  <c r="J39" i="66"/>
  <c r="J40" i="66"/>
  <c r="J53" i="66"/>
  <c r="L18" i="66"/>
  <c r="L20" i="66"/>
  <c r="M14" i="66"/>
  <c r="J36" i="66"/>
  <c r="K42" i="68"/>
  <c r="K46" i="68"/>
  <c r="K40" i="68"/>
  <c r="K39" i="68"/>
  <c r="K41" i="68"/>
  <c r="L28" i="68"/>
  <c r="L27" i="68"/>
  <c r="L26" i="68"/>
  <c r="M18" i="68"/>
  <c r="M20" i="68"/>
  <c r="N14" i="68"/>
  <c r="K34" i="66"/>
  <c r="K32" i="66"/>
  <c r="K33" i="66"/>
  <c r="K35" i="66"/>
  <c r="M15" i="66"/>
  <c r="M16" i="66"/>
  <c r="L21" i="66"/>
  <c r="L22" i="66"/>
  <c r="K43" i="68"/>
  <c r="N15" i="68"/>
  <c r="N16" i="68"/>
  <c r="L31" i="68"/>
  <c r="L30" i="68"/>
  <c r="L36" i="68"/>
  <c r="M21" i="68"/>
  <c r="M22" i="68"/>
  <c r="L26" i="66"/>
  <c r="L25" i="66"/>
  <c r="L29" i="66"/>
  <c r="M18" i="66"/>
  <c r="M20" i="66"/>
  <c r="N14" i="66"/>
  <c r="K36" i="66"/>
  <c r="K39" i="66"/>
  <c r="K40" i="66"/>
  <c r="K53" i="66"/>
  <c r="L42" i="68"/>
  <c r="L46" i="68"/>
  <c r="L40" i="68"/>
  <c r="L41" i="68"/>
  <c r="L39" i="68"/>
  <c r="L43" i="68"/>
  <c r="M28" i="68"/>
  <c r="M27" i="68"/>
  <c r="M26" i="68"/>
  <c r="N18" i="68"/>
  <c r="N20" i="68"/>
  <c r="O14" i="68"/>
  <c r="L35" i="66"/>
  <c r="L33" i="66"/>
  <c r="L34" i="66"/>
  <c r="L32" i="66"/>
  <c r="L36" i="66"/>
  <c r="M21" i="66"/>
  <c r="M22" i="66"/>
  <c r="K41" i="66"/>
  <c r="N15" i="66"/>
  <c r="N16" i="66"/>
  <c r="O15" i="68"/>
  <c r="O16" i="68"/>
  <c r="N21" i="68"/>
  <c r="N22" i="68"/>
  <c r="M30" i="68"/>
  <c r="M36" i="68"/>
  <c r="M31" i="68"/>
  <c r="N18" i="66"/>
  <c r="N20" i="66"/>
  <c r="O14" i="66"/>
  <c r="M27" i="66"/>
  <c r="M28" i="66"/>
  <c r="M29" i="66"/>
  <c r="M26" i="66"/>
  <c r="M25" i="66"/>
  <c r="L39" i="66"/>
  <c r="L40" i="66"/>
  <c r="L53" i="66"/>
  <c r="P14" i="68"/>
  <c r="O18" i="68"/>
  <c r="O20" i="68"/>
  <c r="N28" i="68"/>
  <c r="N26" i="68"/>
  <c r="N27" i="68"/>
  <c r="M42" i="68"/>
  <c r="M46" i="68"/>
  <c r="M41" i="68"/>
  <c r="M39" i="68"/>
  <c r="M40" i="68"/>
  <c r="M35" i="66"/>
  <c r="M33" i="66"/>
  <c r="M34" i="66"/>
  <c r="M32" i="66"/>
  <c r="M36" i="66"/>
  <c r="L41" i="66"/>
  <c r="O15" i="66"/>
  <c r="O16" i="66"/>
  <c r="N21" i="66"/>
  <c r="N22" i="66"/>
  <c r="N30" i="68"/>
  <c r="N36" i="68"/>
  <c r="N31" i="68"/>
  <c r="O21" i="68"/>
  <c r="O22" i="68"/>
  <c r="M43" i="68"/>
  <c r="P15" i="68"/>
  <c r="P16" i="68"/>
  <c r="N27" i="66"/>
  <c r="N28" i="66"/>
  <c r="N29" i="66"/>
  <c r="N26" i="66"/>
  <c r="N25" i="66"/>
  <c r="P14" i="66"/>
  <c r="O18" i="66"/>
  <c r="O20" i="66"/>
  <c r="M39" i="66"/>
  <c r="M40" i="66"/>
  <c r="M53" i="66"/>
  <c r="M41" i="66"/>
  <c r="O27" i="68"/>
  <c r="O26" i="68"/>
  <c r="O28" i="68"/>
  <c r="N41" i="68"/>
  <c r="N39" i="68"/>
  <c r="N43" i="68"/>
  <c r="N42" i="68"/>
  <c r="N46" i="68"/>
  <c r="N40" i="68"/>
  <c r="Q14" i="68"/>
  <c r="P18" i="68"/>
  <c r="P20" i="68"/>
  <c r="N34" i="66"/>
  <c r="N32" i="66"/>
  <c r="N35" i="66"/>
  <c r="N33" i="66"/>
  <c r="O22" i="66"/>
  <c r="O21" i="66"/>
  <c r="P15" i="66"/>
  <c r="P16" i="66"/>
  <c r="O31" i="68"/>
  <c r="O30" i="68"/>
  <c r="O36" i="68"/>
  <c r="P21" i="68"/>
  <c r="P22" i="68"/>
  <c r="Q15" i="68"/>
  <c r="Q16" i="68"/>
  <c r="P18" i="66"/>
  <c r="P20" i="66"/>
  <c r="Q14" i="66"/>
  <c r="N39" i="66"/>
  <c r="N40" i="66"/>
  <c r="N41" i="66"/>
  <c r="N36" i="66"/>
  <c r="O27" i="66"/>
  <c r="O28" i="66"/>
  <c r="O29" i="66"/>
  <c r="O26" i="66"/>
  <c r="O25" i="66"/>
  <c r="O42" i="68"/>
  <c r="O46" i="68"/>
  <c r="O40" i="68"/>
  <c r="O39" i="68"/>
  <c r="O41" i="68"/>
  <c r="P28" i="68"/>
  <c r="P27" i="68"/>
  <c r="P26" i="68"/>
  <c r="Q18" i="68"/>
  <c r="Q20" i="68"/>
  <c r="R14" i="68"/>
  <c r="O34" i="66"/>
  <c r="O32" i="66"/>
  <c r="O35" i="66"/>
  <c r="O33" i="66"/>
  <c r="Q15" i="66"/>
  <c r="Q16" i="66"/>
  <c r="P21" i="66"/>
  <c r="P22" i="66"/>
  <c r="O43" i="68"/>
  <c r="R15" i="68"/>
  <c r="R16" i="68"/>
  <c r="P31" i="68"/>
  <c r="P30" i="68"/>
  <c r="Q21" i="68"/>
  <c r="Q22" i="68"/>
  <c r="R14" i="66"/>
  <c r="Q18" i="66"/>
  <c r="Q20" i="66"/>
  <c r="P27" i="66"/>
  <c r="P28" i="66"/>
  <c r="P29" i="66"/>
  <c r="P26" i="66"/>
  <c r="P25" i="66"/>
  <c r="O39" i="66"/>
  <c r="O40" i="66"/>
  <c r="O41" i="66"/>
  <c r="O36" i="66"/>
  <c r="Q28" i="68"/>
  <c r="Q27" i="68"/>
  <c r="Q26" i="68"/>
  <c r="P36" i="68"/>
  <c r="R18" i="68"/>
  <c r="R20" i="68"/>
  <c r="S14" i="68"/>
  <c r="P35" i="66"/>
  <c r="P33" i="66"/>
  <c r="P32" i="66"/>
  <c r="P34" i="66"/>
  <c r="Q21" i="66"/>
  <c r="Q22" i="66"/>
  <c r="R15" i="66"/>
  <c r="R16" i="66"/>
  <c r="R21" i="68"/>
  <c r="R22" i="68"/>
  <c r="P42" i="68"/>
  <c r="P46" i="68"/>
  <c r="P40" i="68"/>
  <c r="P41" i="68"/>
  <c r="P39" i="68"/>
  <c r="S15" i="68"/>
  <c r="S16" i="68"/>
  <c r="Q30" i="68"/>
  <c r="Q36" i="68"/>
  <c r="Q31" i="68"/>
  <c r="Q26" i="66"/>
  <c r="Q27" i="66"/>
  <c r="Q28" i="66"/>
  <c r="Q29" i="66"/>
  <c r="Q25" i="66"/>
  <c r="P36" i="66"/>
  <c r="R18" i="66"/>
  <c r="R20" i="66"/>
  <c r="S14" i="66"/>
  <c r="P39" i="66"/>
  <c r="P40" i="66"/>
  <c r="P41" i="66"/>
  <c r="Q42" i="68"/>
  <c r="Q46" i="68"/>
  <c r="Q41" i="68"/>
  <c r="Q39" i="68"/>
  <c r="Q40" i="68"/>
  <c r="R28" i="68"/>
  <c r="R27" i="68"/>
  <c r="R26" i="68"/>
  <c r="P43" i="68"/>
  <c r="T14" i="68"/>
  <c r="S18" i="68"/>
  <c r="S20" i="68"/>
  <c r="Q35" i="66"/>
  <c r="Q33" i="66"/>
  <c r="Q32" i="66"/>
  <c r="Q34" i="66"/>
  <c r="S15" i="66"/>
  <c r="S16" i="66"/>
  <c r="R21" i="66"/>
  <c r="R22" i="66"/>
  <c r="Q43" i="68"/>
  <c r="S21" i="68"/>
  <c r="S22" i="68"/>
  <c r="T15" i="68"/>
  <c r="T16" i="68"/>
  <c r="R31" i="68"/>
  <c r="R30" i="68"/>
  <c r="R36" i="68"/>
  <c r="T14" i="66"/>
  <c r="S18" i="66"/>
  <c r="S20" i="66"/>
  <c r="R27" i="66"/>
  <c r="R28" i="66"/>
  <c r="R29" i="66"/>
  <c r="R26" i="66"/>
  <c r="R25" i="66"/>
  <c r="Q36" i="66"/>
  <c r="Q39" i="66"/>
  <c r="Q40" i="66"/>
  <c r="Q41" i="66"/>
  <c r="R42" i="68"/>
  <c r="R46" i="68"/>
  <c r="R41" i="68"/>
  <c r="R39" i="68"/>
  <c r="R40" i="68"/>
  <c r="U14" i="68"/>
  <c r="T18" i="68"/>
  <c r="T20" i="68"/>
  <c r="S27" i="68"/>
  <c r="S26" i="68"/>
  <c r="S28" i="68"/>
  <c r="R34" i="66"/>
  <c r="R32" i="66"/>
  <c r="R33" i="66"/>
  <c r="R35" i="66"/>
  <c r="S21" i="66"/>
  <c r="S22" i="66"/>
  <c r="T15" i="66"/>
  <c r="T16" i="66"/>
  <c r="R43" i="68"/>
  <c r="S31" i="68"/>
  <c r="S30" i="68"/>
  <c r="S36" i="68"/>
  <c r="T22" i="68"/>
  <c r="T21" i="68"/>
  <c r="U15" i="68"/>
  <c r="U16" i="68"/>
  <c r="S27" i="66"/>
  <c r="S28" i="66"/>
  <c r="S29" i="66"/>
  <c r="S25" i="66"/>
  <c r="S26" i="66"/>
  <c r="T18" i="66"/>
  <c r="T20" i="66"/>
  <c r="U14" i="66"/>
  <c r="R39" i="66"/>
  <c r="R40" i="66"/>
  <c r="R41" i="66"/>
  <c r="R36" i="66"/>
  <c r="T28" i="68"/>
  <c r="T27" i="68"/>
  <c r="T26" i="68"/>
  <c r="U18" i="68"/>
  <c r="U20" i="68"/>
  <c r="V14" i="68"/>
  <c r="S42" i="68"/>
  <c r="S46" i="68"/>
  <c r="S40" i="68"/>
  <c r="S39" i="68"/>
  <c r="S41" i="68"/>
  <c r="S34" i="66"/>
  <c r="S32" i="66"/>
  <c r="S33" i="66"/>
  <c r="S35" i="66"/>
  <c r="U15" i="66"/>
  <c r="U16" i="66"/>
  <c r="T21" i="66"/>
  <c r="T22" i="66"/>
  <c r="V15" i="68"/>
  <c r="V16" i="68"/>
  <c r="T31" i="68"/>
  <c r="T30" i="68"/>
  <c r="T36" i="68"/>
  <c r="S43" i="68"/>
  <c r="U21" i="68"/>
  <c r="U22" i="68"/>
  <c r="U18" i="66"/>
  <c r="U20" i="66"/>
  <c r="V14" i="66"/>
  <c r="T26" i="66"/>
  <c r="T29" i="66"/>
  <c r="T27" i="66"/>
  <c r="T28" i="66"/>
  <c r="T25" i="66"/>
  <c r="S39" i="66"/>
  <c r="S40" i="66"/>
  <c r="S41" i="66"/>
  <c r="S36" i="66"/>
  <c r="T42" i="68"/>
  <c r="T46" i="68"/>
  <c r="T40" i="68"/>
  <c r="T41" i="68"/>
  <c r="T39" i="68"/>
  <c r="U28" i="68"/>
  <c r="U27" i="68"/>
  <c r="U26" i="68"/>
  <c r="V18" i="68"/>
  <c r="V20" i="68"/>
  <c r="W14" i="68"/>
  <c r="T35" i="66"/>
  <c r="T33" i="66"/>
  <c r="T34" i="66"/>
  <c r="T32" i="66"/>
  <c r="T36" i="66"/>
  <c r="V15" i="66"/>
  <c r="V16" i="66"/>
  <c r="U21" i="66"/>
  <c r="U22" i="66"/>
  <c r="W15" i="68"/>
  <c r="W16" i="68"/>
  <c r="T43" i="68"/>
  <c r="V21" i="68"/>
  <c r="V22" i="68"/>
  <c r="U30" i="68"/>
  <c r="U36" i="68"/>
  <c r="U31" i="68"/>
  <c r="W14" i="66"/>
  <c r="V18" i="66"/>
  <c r="V20" i="66"/>
  <c r="U27" i="66"/>
  <c r="U28" i="66"/>
  <c r="U29" i="66"/>
  <c r="U26" i="66"/>
  <c r="U25" i="66"/>
  <c r="T41" i="66"/>
  <c r="T39" i="66"/>
  <c r="T40" i="66"/>
  <c r="U42" i="68"/>
  <c r="U46" i="68"/>
  <c r="U41" i="68"/>
  <c r="U39" i="68"/>
  <c r="U43" i="68"/>
  <c r="U40" i="68"/>
  <c r="X14" i="68"/>
  <c r="W18" i="68"/>
  <c r="W20" i="68"/>
  <c r="V28" i="68"/>
  <c r="V27" i="68"/>
  <c r="V26" i="68"/>
  <c r="U35" i="66"/>
  <c r="U33" i="66"/>
  <c r="U34" i="66"/>
  <c r="U32" i="66"/>
  <c r="U36" i="66"/>
  <c r="V22" i="66"/>
  <c r="V21" i="66"/>
  <c r="W15" i="66"/>
  <c r="W16" i="66"/>
  <c r="V30" i="68"/>
  <c r="V36" i="68"/>
  <c r="V31" i="68"/>
  <c r="W21" i="68"/>
  <c r="W22" i="68"/>
  <c r="X15" i="68"/>
  <c r="X16" i="68"/>
  <c r="V27" i="66"/>
  <c r="V28" i="66"/>
  <c r="V29" i="66"/>
  <c r="V26" i="66"/>
  <c r="V25" i="66"/>
  <c r="X14" i="66"/>
  <c r="W18" i="66"/>
  <c r="W20" i="66"/>
  <c r="U39" i="66"/>
  <c r="U40" i="66"/>
  <c r="U41" i="66"/>
  <c r="W27" i="68"/>
  <c r="W26" i="68"/>
  <c r="W32" i="68"/>
  <c r="W28" i="68"/>
  <c r="V41" i="68"/>
  <c r="V39" i="68"/>
  <c r="V40" i="68"/>
  <c r="V42" i="68"/>
  <c r="V46" i="68"/>
  <c r="Y14" i="68"/>
  <c r="X18" i="68"/>
  <c r="X20" i="68"/>
  <c r="V34" i="66"/>
  <c r="V32" i="66"/>
  <c r="V35" i="66"/>
  <c r="V33" i="66"/>
  <c r="W21" i="66"/>
  <c r="W22" i="66"/>
  <c r="X15" i="66"/>
  <c r="X16" i="66"/>
  <c r="Y15" i="68"/>
  <c r="Y16" i="68"/>
  <c r="W34" i="68"/>
  <c r="W35" i="68"/>
  <c r="V43" i="68"/>
  <c r="X22" i="68"/>
  <c r="X21" i="68"/>
  <c r="W31" i="68"/>
  <c r="W30" i="68"/>
  <c r="W36" i="68"/>
  <c r="W27" i="66"/>
  <c r="W28" i="66"/>
  <c r="W25" i="66"/>
  <c r="W29" i="66"/>
  <c r="W26" i="66"/>
  <c r="V39" i="66"/>
  <c r="V40" i="66"/>
  <c r="V41" i="66"/>
  <c r="X18" i="66"/>
  <c r="X20" i="66"/>
  <c r="Y14" i="66"/>
  <c r="V36" i="66"/>
  <c r="W42" i="68"/>
  <c r="W46" i="68"/>
  <c r="W40" i="68"/>
  <c r="W41" i="68"/>
  <c r="W39" i="68"/>
  <c r="W43" i="68"/>
  <c r="Y18" i="68"/>
  <c r="Y20" i="68"/>
  <c r="Z14" i="68"/>
  <c r="X32" i="68"/>
  <c r="X27" i="68"/>
  <c r="X28" i="68"/>
  <c r="X26" i="68"/>
  <c r="W34" i="66"/>
  <c r="W32" i="66"/>
  <c r="W35" i="66"/>
  <c r="W33" i="66"/>
  <c r="Y15" i="66"/>
  <c r="Y16" i="66"/>
  <c r="X21" i="66"/>
  <c r="X22" i="66"/>
  <c r="X31" i="68"/>
  <c r="X30" i="68"/>
  <c r="X36" i="68"/>
  <c r="X34" i="68"/>
  <c r="X35" i="68"/>
  <c r="Z15" i="68"/>
  <c r="Z16" i="68"/>
  <c r="Y22" i="68"/>
  <c r="Y21" i="68"/>
  <c r="Y18" i="66"/>
  <c r="Y20" i="66"/>
  <c r="Z14" i="66"/>
  <c r="X27" i="66"/>
  <c r="X28" i="66"/>
  <c r="X29" i="66"/>
  <c r="X26" i="66"/>
  <c r="X25" i="66"/>
  <c r="W39" i="66"/>
  <c r="W40" i="66"/>
  <c r="W41" i="66"/>
  <c r="W36" i="66"/>
  <c r="X42" i="68"/>
  <c r="X46" i="68"/>
  <c r="X40" i="68"/>
  <c r="X41" i="68"/>
  <c r="X39" i="68"/>
  <c r="Z18" i="68"/>
  <c r="Z20" i="68"/>
  <c r="AA14" i="68"/>
  <c r="Y32" i="68"/>
  <c r="Y28" i="68"/>
  <c r="Y27" i="68"/>
  <c r="Y26" i="68"/>
  <c r="Z15" i="66"/>
  <c r="Z16" i="66"/>
  <c r="X35" i="66"/>
  <c r="X33" i="66"/>
  <c r="X32" i="66"/>
  <c r="X36" i="66"/>
  <c r="X34" i="66"/>
  <c r="Y21" i="66"/>
  <c r="Y22" i="66"/>
  <c r="Y30" i="68"/>
  <c r="Y36" i="68"/>
  <c r="Y31" i="68"/>
  <c r="X43" i="68"/>
  <c r="Z21" i="68"/>
  <c r="Z22" i="68"/>
  <c r="AA15" i="68"/>
  <c r="AA16" i="68"/>
  <c r="Y35" i="68"/>
  <c r="Y34" i="68"/>
  <c r="Z18" i="66"/>
  <c r="Z20" i="66"/>
  <c r="AA14" i="66"/>
  <c r="Y26" i="66"/>
  <c r="Y27" i="66"/>
  <c r="Y28" i="66"/>
  <c r="Y29" i="66"/>
  <c r="Y25" i="66"/>
  <c r="X39" i="66"/>
  <c r="X40" i="66"/>
  <c r="X41" i="66"/>
  <c r="AB14" i="68"/>
  <c r="AA18" i="68"/>
  <c r="AA20" i="68"/>
  <c r="Z32" i="68"/>
  <c r="Z28" i="68"/>
  <c r="Z27" i="68"/>
  <c r="Z26" i="68"/>
  <c r="Y42" i="68"/>
  <c r="Y46" i="68"/>
  <c r="Y41" i="68"/>
  <c r="Y39" i="68"/>
  <c r="Y40" i="68"/>
  <c r="Y35" i="66"/>
  <c r="Y33" i="66"/>
  <c r="Y32" i="66"/>
  <c r="Y34" i="66"/>
  <c r="AA15" i="66"/>
  <c r="AA16" i="66"/>
  <c r="Z21" i="66"/>
  <c r="Z22" i="66"/>
  <c r="Y43" i="68"/>
  <c r="Z31" i="68"/>
  <c r="Z36" i="68"/>
  <c r="Z30" i="68"/>
  <c r="Z35" i="68"/>
  <c r="Z34" i="68"/>
  <c r="AA21" i="68"/>
  <c r="AA22" i="68"/>
  <c r="AB15" i="68"/>
  <c r="AB16" i="68"/>
  <c r="AB14" i="66"/>
  <c r="AA18" i="66"/>
  <c r="AA20" i="66"/>
  <c r="Z26" i="66"/>
  <c r="Z27" i="66"/>
  <c r="Z28" i="66"/>
  <c r="Z29" i="66"/>
  <c r="Z25" i="66"/>
  <c r="Y36" i="66"/>
  <c r="Y39" i="66"/>
  <c r="Y40" i="66"/>
  <c r="Y41" i="66"/>
  <c r="Z41" i="68"/>
  <c r="Z39" i="68"/>
  <c r="Z43" i="68"/>
  <c r="Z42" i="68"/>
  <c r="Z46" i="68"/>
  <c r="Z40" i="68"/>
  <c r="AC14" i="68"/>
  <c r="AB18" i="68"/>
  <c r="AB20" i="68"/>
  <c r="AA27" i="68"/>
  <c r="AA26" i="68"/>
  <c r="AA28" i="68"/>
  <c r="AA32" i="68"/>
  <c r="Z35" i="66"/>
  <c r="Z34" i="66"/>
  <c r="Z32" i="66"/>
  <c r="Z33" i="66"/>
  <c r="AB15" i="66"/>
  <c r="AB16" i="66"/>
  <c r="AA21" i="66"/>
  <c r="AA22" i="66"/>
  <c r="AA31" i="68"/>
  <c r="AA30" i="68"/>
  <c r="AA36" i="68"/>
  <c r="AB21" i="68"/>
  <c r="AB22" i="68"/>
  <c r="AA34" i="68"/>
  <c r="AA35" i="68"/>
  <c r="AC15" i="68"/>
  <c r="AC16" i="68"/>
  <c r="AB18" i="66"/>
  <c r="AB20" i="66"/>
  <c r="AC14" i="66"/>
  <c r="AA27" i="66"/>
  <c r="AA28" i="66"/>
  <c r="AA29" i="66"/>
  <c r="AA26" i="66"/>
  <c r="AA25" i="66"/>
  <c r="Z36" i="66"/>
  <c r="Z41" i="66"/>
  <c r="Z39" i="66"/>
  <c r="Z40" i="66"/>
  <c r="AB28" i="68"/>
  <c r="AB32" i="68"/>
  <c r="AB26" i="68"/>
  <c r="AB27" i="68"/>
  <c r="AA42" i="68"/>
  <c r="AA46" i="68"/>
  <c r="AA40" i="68"/>
  <c r="AA39" i="68"/>
  <c r="AA43" i="68"/>
  <c r="AA41" i="68"/>
  <c r="AC18" i="68"/>
  <c r="AC20" i="68"/>
  <c r="AD14" i="68"/>
  <c r="AA34" i="66"/>
  <c r="AA32" i="66"/>
  <c r="AA33" i="66"/>
  <c r="AA35" i="66"/>
  <c r="AC15" i="66"/>
  <c r="AC16" i="66"/>
  <c r="AB21" i="66"/>
  <c r="AB22" i="66"/>
  <c r="AC22" i="68"/>
  <c r="AC21" i="68"/>
  <c r="AB34" i="68"/>
  <c r="AB35" i="68"/>
  <c r="AB31" i="68"/>
  <c r="AB30" i="68"/>
  <c r="AB36" i="68"/>
  <c r="AD15" i="68"/>
  <c r="AD16" i="68"/>
  <c r="AB27" i="66"/>
  <c r="AB28" i="66"/>
  <c r="AB26" i="66"/>
  <c r="AB25" i="66"/>
  <c r="AB29" i="66"/>
  <c r="AA39" i="66"/>
  <c r="AA40" i="66"/>
  <c r="AA41" i="66"/>
  <c r="AC18" i="66"/>
  <c r="AC20" i="66"/>
  <c r="AD14" i="66"/>
  <c r="AA36" i="66"/>
  <c r="AB42" i="68"/>
  <c r="AB46" i="68"/>
  <c r="AB40" i="68"/>
  <c r="AB41" i="68"/>
  <c r="AB39" i="68"/>
  <c r="AB43" i="68"/>
  <c r="AD18" i="68"/>
  <c r="AD20" i="68"/>
  <c r="AE14" i="68"/>
  <c r="AC32" i="68"/>
  <c r="AC28" i="68"/>
  <c r="AC27" i="68"/>
  <c r="AC26" i="68"/>
  <c r="AB33" i="66"/>
  <c r="AB34" i="66"/>
  <c r="AB32" i="66"/>
  <c r="AB35" i="66"/>
  <c r="AD15" i="66"/>
  <c r="AD16" i="66"/>
  <c r="AC21" i="66"/>
  <c r="AC22" i="66"/>
  <c r="AC30" i="68"/>
  <c r="AC36" i="68"/>
  <c r="AC31" i="68"/>
  <c r="AE15" i="68"/>
  <c r="AE16" i="68"/>
  <c r="AC35" i="68"/>
  <c r="AC34" i="68"/>
  <c r="AD21" i="68"/>
  <c r="AD22" i="68"/>
  <c r="AD18" i="66"/>
  <c r="AD20" i="66"/>
  <c r="AE14" i="66"/>
  <c r="AC29" i="66"/>
  <c r="AC27" i="66"/>
  <c r="AC28" i="66"/>
  <c r="AC26" i="66"/>
  <c r="AC25" i="66"/>
  <c r="AB36" i="66"/>
  <c r="AB41" i="66"/>
  <c r="AB39" i="66"/>
  <c r="AB40" i="66"/>
  <c r="AD32" i="68"/>
  <c r="AD28" i="68"/>
  <c r="AD27" i="68"/>
  <c r="AD26" i="68"/>
  <c r="AC42" i="68"/>
  <c r="AC46" i="68"/>
  <c r="AC41" i="68"/>
  <c r="AC39" i="68"/>
  <c r="AC43" i="68"/>
  <c r="AC40" i="68"/>
  <c r="AF14" i="68"/>
  <c r="AE18" i="68"/>
  <c r="AE20" i="68"/>
  <c r="AC33" i="66"/>
  <c r="AC35" i="66"/>
  <c r="AC34" i="66"/>
  <c r="AC32" i="66"/>
  <c r="AC36" i="66"/>
  <c r="AE15" i="66"/>
  <c r="AE16" i="66"/>
  <c r="AD21" i="66"/>
  <c r="AD22" i="66"/>
  <c r="AE21" i="68"/>
  <c r="AE22" i="68"/>
  <c r="AF15" i="68"/>
  <c r="AF16" i="68"/>
  <c r="AF18" i="68"/>
  <c r="AF20" i="68"/>
  <c r="AD30" i="68"/>
  <c r="AD36" i="68"/>
  <c r="AD31" i="68"/>
  <c r="AD35" i="68"/>
  <c r="AD34" i="68"/>
  <c r="AF14" i="66"/>
  <c r="AE18" i="66"/>
  <c r="AE20" i="66"/>
  <c r="AD26" i="66"/>
  <c r="AD29" i="66"/>
  <c r="AD27" i="66"/>
  <c r="AD28" i="66"/>
  <c r="AD25" i="66"/>
  <c r="AC39" i="66"/>
  <c r="AC40" i="66"/>
  <c r="AC41" i="66"/>
  <c r="AF21" i="68"/>
  <c r="AF22" i="68"/>
  <c r="AE27" i="68"/>
  <c r="AE26" i="68"/>
  <c r="AE32" i="68"/>
  <c r="AE28" i="68"/>
  <c r="AD41" i="68"/>
  <c r="AD39" i="68"/>
  <c r="AD42" i="68"/>
  <c r="AD46" i="68"/>
  <c r="AD40" i="68"/>
  <c r="AD35" i="66"/>
  <c r="AD34" i="66"/>
  <c r="AD32" i="66"/>
  <c r="AD33" i="66"/>
  <c r="AE21" i="66"/>
  <c r="AE22" i="66"/>
  <c r="AF15" i="66"/>
  <c r="AF16" i="66"/>
  <c r="AF18" i="66"/>
  <c r="AF20" i="66"/>
  <c r="AF32" i="68"/>
  <c r="AF27" i="68"/>
  <c r="AF28" i="68"/>
  <c r="AF26" i="68"/>
  <c r="AE31" i="68"/>
  <c r="AE30" i="68"/>
  <c r="AE36" i="68"/>
  <c r="AE34" i="68"/>
  <c r="AE35" i="68"/>
  <c r="AD43" i="68"/>
  <c r="AE27" i="66"/>
  <c r="AE28" i="66"/>
  <c r="AE29" i="66"/>
  <c r="AE26" i="66"/>
  <c r="AE25" i="66"/>
  <c r="AD36" i="66"/>
  <c r="AF21" i="66"/>
  <c r="AF22" i="66"/>
  <c r="AD39" i="66"/>
  <c r="AD40" i="66"/>
  <c r="AD41" i="66"/>
  <c r="AE42" i="68"/>
  <c r="AE46" i="68"/>
  <c r="AE40" i="68"/>
  <c r="AE39" i="68"/>
  <c r="AE43" i="68"/>
  <c r="AE41" i="68"/>
  <c r="AF31" i="68"/>
  <c r="AF30" i="68"/>
  <c r="AF36" i="68"/>
  <c r="AF34" i="68"/>
  <c r="AF35" i="68"/>
  <c r="AE35" i="66"/>
  <c r="AE34" i="66"/>
  <c r="AE32" i="66"/>
  <c r="AE33" i="66"/>
  <c r="AF27" i="66"/>
  <c r="AF28" i="66"/>
  <c r="AF29" i="66"/>
  <c r="AF26" i="66"/>
  <c r="AF25" i="66"/>
  <c r="AF42" i="68"/>
  <c r="AF46" i="68"/>
  <c r="AF40" i="68"/>
  <c r="AF41" i="68"/>
  <c r="AF39" i="68"/>
  <c r="AF43" i="68"/>
  <c r="AF33" i="66"/>
  <c r="AF35" i="66"/>
  <c r="AF32" i="66"/>
  <c r="AF34" i="66"/>
  <c r="AE39" i="66"/>
  <c r="AE40" i="66"/>
  <c r="AE41" i="66"/>
  <c r="AE36" i="66"/>
  <c r="AF36" i="66"/>
  <c r="AF39" i="66"/>
  <c r="AF40" i="66"/>
  <c r="AF41" i="66"/>
  <c r="D36" i="40"/>
  <c r="C36" i="40"/>
  <c r="M35" i="40"/>
  <c r="I35" i="40"/>
  <c r="E35" i="40"/>
  <c r="B35" i="40"/>
  <c r="L34" i="40"/>
  <c r="H34" i="40"/>
  <c r="D34" i="40"/>
  <c r="B34" i="40"/>
  <c r="N34" i="40"/>
  <c r="M34" i="40"/>
  <c r="L35" i="40"/>
  <c r="K34" i="40"/>
  <c r="J34" i="40"/>
  <c r="I34" i="40"/>
  <c r="H35" i="40"/>
  <c r="G34" i="40"/>
  <c r="F34" i="40"/>
  <c r="E34" i="40"/>
  <c r="D35" i="40"/>
  <c r="C34" i="40"/>
  <c r="N17" i="40"/>
  <c r="O17" i="40"/>
  <c r="P17" i="40"/>
  <c r="Q17" i="40"/>
  <c r="R17" i="40"/>
  <c r="S17" i="40"/>
  <c r="T17" i="40"/>
  <c r="U17" i="40"/>
  <c r="V17" i="40"/>
  <c r="W17" i="40"/>
  <c r="X17" i="40"/>
  <c r="Y17" i="40"/>
  <c r="Z17" i="40"/>
  <c r="AA17" i="40"/>
  <c r="AB17" i="40"/>
  <c r="AC17" i="40"/>
  <c r="AD17" i="40"/>
  <c r="AE17" i="40"/>
  <c r="AF17" i="40"/>
  <c r="N13" i="40"/>
  <c r="O13" i="40"/>
  <c r="P13" i="40"/>
  <c r="Q13" i="40"/>
  <c r="R13" i="40"/>
  <c r="S13" i="40"/>
  <c r="T13" i="40"/>
  <c r="U13" i="40"/>
  <c r="V13" i="40"/>
  <c r="W13" i="40"/>
  <c r="X13" i="40"/>
  <c r="Y13" i="40"/>
  <c r="Z13" i="40"/>
  <c r="AA13" i="40"/>
  <c r="AB13" i="40"/>
  <c r="AC13" i="40"/>
  <c r="AD13" i="40"/>
  <c r="AE13" i="40"/>
  <c r="AF13" i="40"/>
  <c r="O7" i="40"/>
  <c r="P7" i="40"/>
  <c r="Q7" i="40"/>
  <c r="R7" i="40"/>
  <c r="S7" i="40"/>
  <c r="T7" i="40"/>
  <c r="U7" i="40"/>
  <c r="V7" i="40"/>
  <c r="W7" i="40"/>
  <c r="X7" i="40"/>
  <c r="Y7" i="40"/>
  <c r="Z7" i="40"/>
  <c r="AA7" i="40"/>
  <c r="AB7" i="40"/>
  <c r="AC7" i="40"/>
  <c r="AD7" i="40"/>
  <c r="AE7" i="40"/>
  <c r="AF7" i="40"/>
  <c r="N7" i="40"/>
  <c r="P48" i="11"/>
  <c r="Q48" i="11"/>
  <c r="O48" i="11"/>
  <c r="O49" i="11"/>
  <c r="P49" i="11"/>
  <c r="M7" i="13"/>
  <c r="N7" i="13"/>
  <c r="O7" i="13"/>
  <c r="P7" i="13"/>
  <c r="Q7" i="13"/>
  <c r="R7" i="13"/>
  <c r="S7" i="13"/>
  <c r="T7" i="13"/>
  <c r="U7" i="13"/>
  <c r="V7" i="13"/>
  <c r="W7" i="13"/>
  <c r="X7" i="13"/>
  <c r="Y7" i="13"/>
  <c r="Z7" i="13"/>
  <c r="AA7" i="13"/>
  <c r="AB7" i="13"/>
  <c r="AC7" i="13"/>
  <c r="AD7" i="13"/>
  <c r="AE7" i="13"/>
  <c r="AF7" i="13"/>
  <c r="C39" i="13"/>
  <c r="N34" i="13"/>
  <c r="D36" i="13"/>
  <c r="C36" i="13"/>
  <c r="N35" i="13"/>
  <c r="M35" i="13"/>
  <c r="L35" i="13"/>
  <c r="K35" i="13"/>
  <c r="J35" i="13"/>
  <c r="I35" i="13"/>
  <c r="H35" i="13"/>
  <c r="G35" i="13"/>
  <c r="F35" i="13"/>
  <c r="E35" i="13"/>
  <c r="M34" i="13"/>
  <c r="L34" i="13"/>
  <c r="K34" i="13"/>
  <c r="J34" i="13"/>
  <c r="I34" i="13"/>
  <c r="H34" i="13"/>
  <c r="G34" i="13"/>
  <c r="F34" i="13"/>
  <c r="E34" i="13"/>
  <c r="D35" i="13"/>
  <c r="D34" i="13"/>
  <c r="C35" i="13"/>
  <c r="C34" i="13"/>
  <c r="B35" i="13"/>
  <c r="B34" i="13"/>
  <c r="AR35" i="13"/>
  <c r="AW35" i="13"/>
  <c r="AO35" i="13"/>
  <c r="AP35" i="13"/>
  <c r="AN35" i="13"/>
  <c r="AT34" i="13"/>
  <c r="AU34" i="13"/>
  <c r="AS34" i="13"/>
  <c r="AR34" i="13"/>
  <c r="AW34" i="13"/>
  <c r="AO34" i="13"/>
  <c r="AP34" i="13"/>
  <c r="AN34" i="13"/>
  <c r="AR33" i="13"/>
  <c r="AW33" i="13"/>
  <c r="AO33" i="13"/>
  <c r="AN33" i="13"/>
  <c r="AR32" i="13"/>
  <c r="AN32" i="13"/>
  <c r="AO32" i="13"/>
  <c r="D20" i="13"/>
  <c r="C20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W36" i="42"/>
  <c r="F35" i="40"/>
  <c r="J35" i="40"/>
  <c r="N35" i="40"/>
  <c r="C35" i="40"/>
  <c r="G35" i="40"/>
  <c r="K35" i="40"/>
  <c r="Q49" i="11"/>
  <c r="R48" i="11"/>
  <c r="AP32" i="13"/>
  <c r="AT32" i="13"/>
  <c r="AU32" i="13"/>
  <c r="AV32" i="13"/>
  <c r="AP33" i="13"/>
  <c r="AV33" i="13"/>
  <c r="AS32" i="13"/>
  <c r="AW32" i="13"/>
  <c r="AV34" i="13"/>
  <c r="AS33" i="13"/>
  <c r="AT33" i="13"/>
  <c r="AU33" i="13"/>
  <c r="AS35" i="13"/>
  <c r="AT35" i="13"/>
  <c r="AU35" i="13"/>
  <c r="AV35" i="13"/>
  <c r="C8" i="25"/>
  <c r="D8" i="25"/>
  <c r="E8" i="25"/>
  <c r="F8" i="25"/>
  <c r="G8" i="25"/>
  <c r="H8" i="25"/>
  <c r="I8" i="25"/>
  <c r="J8" i="25"/>
  <c r="K8" i="25"/>
  <c r="B8" i="25"/>
  <c r="B57" i="42"/>
  <c r="B70" i="42"/>
  <c r="A69" i="42"/>
  <c r="N46" i="42"/>
  <c r="O46" i="42"/>
  <c r="P46" i="42"/>
  <c r="Q46" i="42"/>
  <c r="R46" i="42"/>
  <c r="S46" i="42"/>
  <c r="T46" i="42"/>
  <c r="U46" i="42"/>
  <c r="V46" i="42"/>
  <c r="X46" i="42"/>
  <c r="Y46" i="42"/>
  <c r="Z46" i="42"/>
  <c r="AA46" i="42"/>
  <c r="AB46" i="42"/>
  <c r="AC46" i="42"/>
  <c r="AD46" i="42"/>
  <c r="AE46" i="42"/>
  <c r="AF46" i="42"/>
  <c r="M46" i="42"/>
  <c r="M52" i="11"/>
  <c r="A9" i="11"/>
  <c r="N43" i="42"/>
  <c r="O43" i="42"/>
  <c r="P43" i="42"/>
  <c r="Q43" i="42"/>
  <c r="R43" i="42"/>
  <c r="S43" i="42"/>
  <c r="T43" i="42"/>
  <c r="U43" i="42"/>
  <c r="V43" i="42"/>
  <c r="X43" i="42"/>
  <c r="Y43" i="42"/>
  <c r="Z43" i="42"/>
  <c r="AA43" i="42"/>
  <c r="AB43" i="42"/>
  <c r="AC43" i="42"/>
  <c r="AD43" i="42"/>
  <c r="AE43" i="42"/>
  <c r="AF43" i="42"/>
  <c r="N42" i="42"/>
  <c r="O42" i="42"/>
  <c r="P42" i="42"/>
  <c r="Q42" i="42"/>
  <c r="R42" i="42"/>
  <c r="S42" i="42"/>
  <c r="T42" i="42"/>
  <c r="U42" i="42"/>
  <c r="V42" i="42"/>
  <c r="W42" i="42"/>
  <c r="W46" i="42"/>
  <c r="X42" i="42"/>
  <c r="Y42" i="42"/>
  <c r="Z42" i="42"/>
  <c r="AA42" i="42"/>
  <c r="AB42" i="42"/>
  <c r="AC42" i="42"/>
  <c r="AD42" i="42"/>
  <c r="AE42" i="42"/>
  <c r="AF42" i="42"/>
  <c r="N41" i="42"/>
  <c r="O41" i="42"/>
  <c r="P41" i="42"/>
  <c r="Q41" i="42"/>
  <c r="R41" i="42"/>
  <c r="S41" i="42"/>
  <c r="T41" i="42"/>
  <c r="U41" i="42"/>
  <c r="V41" i="42"/>
  <c r="W41" i="42"/>
  <c r="X41" i="42"/>
  <c r="Y41" i="42"/>
  <c r="Z41" i="42"/>
  <c r="AA41" i="42"/>
  <c r="AB41" i="42"/>
  <c r="AC41" i="42"/>
  <c r="AD41" i="42"/>
  <c r="AE41" i="42"/>
  <c r="AF41" i="42"/>
  <c r="N40" i="42"/>
  <c r="O40" i="42"/>
  <c r="P40" i="42"/>
  <c r="Q40" i="42"/>
  <c r="R40" i="42"/>
  <c r="S40" i="42"/>
  <c r="T40" i="42"/>
  <c r="U40" i="42"/>
  <c r="V40" i="42"/>
  <c r="W40" i="42"/>
  <c r="X40" i="42"/>
  <c r="Y40" i="42"/>
  <c r="Z40" i="42"/>
  <c r="AA40" i="42"/>
  <c r="AB40" i="42"/>
  <c r="AC40" i="42"/>
  <c r="AD40" i="42"/>
  <c r="AE40" i="42"/>
  <c r="AF40" i="42"/>
  <c r="N39" i="42"/>
  <c r="O39" i="42"/>
  <c r="P39" i="42"/>
  <c r="Q39" i="42"/>
  <c r="R39" i="42"/>
  <c r="S39" i="42"/>
  <c r="T39" i="42"/>
  <c r="U39" i="42"/>
  <c r="V39" i="42"/>
  <c r="W39" i="42"/>
  <c r="W43" i="42"/>
  <c r="X39" i="42"/>
  <c r="Y39" i="42"/>
  <c r="Z39" i="42"/>
  <c r="AA39" i="42"/>
  <c r="AB39" i="42"/>
  <c r="AC39" i="42"/>
  <c r="AD39" i="42"/>
  <c r="AE39" i="42"/>
  <c r="AF39" i="42"/>
  <c r="M39" i="42"/>
  <c r="N36" i="42"/>
  <c r="O36" i="42"/>
  <c r="P36" i="42"/>
  <c r="Q36" i="42"/>
  <c r="R36" i="42"/>
  <c r="S36" i="42"/>
  <c r="T36" i="42"/>
  <c r="U36" i="42"/>
  <c r="V36" i="42"/>
  <c r="X36" i="42"/>
  <c r="Y36" i="42"/>
  <c r="Z36" i="42"/>
  <c r="AA36" i="42"/>
  <c r="AB36" i="42"/>
  <c r="AC36" i="42"/>
  <c r="AD36" i="42"/>
  <c r="AE36" i="42"/>
  <c r="AF36" i="42"/>
  <c r="N35" i="42"/>
  <c r="O35" i="42"/>
  <c r="P35" i="42"/>
  <c r="Q35" i="42"/>
  <c r="R35" i="42"/>
  <c r="S35" i="42"/>
  <c r="T35" i="42"/>
  <c r="U35" i="42"/>
  <c r="V35" i="42"/>
  <c r="W35" i="42"/>
  <c r="X35" i="42"/>
  <c r="Y35" i="42"/>
  <c r="Z35" i="42"/>
  <c r="AA35" i="42"/>
  <c r="AB35" i="42"/>
  <c r="AC35" i="42"/>
  <c r="AD35" i="42"/>
  <c r="AE35" i="42"/>
  <c r="AF35" i="42"/>
  <c r="N34" i="42"/>
  <c r="O34" i="42"/>
  <c r="P34" i="42"/>
  <c r="Q34" i="42"/>
  <c r="R34" i="42"/>
  <c r="S34" i="42"/>
  <c r="T34" i="42"/>
  <c r="U34" i="42"/>
  <c r="V34" i="42"/>
  <c r="W34" i="42"/>
  <c r="X34" i="42"/>
  <c r="Y34" i="42"/>
  <c r="Z34" i="42"/>
  <c r="AA34" i="42"/>
  <c r="AB34" i="42"/>
  <c r="AC34" i="42"/>
  <c r="AD34" i="42"/>
  <c r="AE34" i="42"/>
  <c r="AF34" i="42"/>
  <c r="M34" i="42"/>
  <c r="X32" i="42"/>
  <c r="Y32" i="42"/>
  <c r="Z32" i="42"/>
  <c r="AA32" i="42"/>
  <c r="AB32" i="42"/>
  <c r="AC32" i="42"/>
  <c r="AD32" i="42"/>
  <c r="AE32" i="42"/>
  <c r="AF32" i="42"/>
  <c r="W32" i="42"/>
  <c r="W28" i="42"/>
  <c r="D35" i="42"/>
  <c r="E35" i="42"/>
  <c r="F35" i="42"/>
  <c r="G35" i="42"/>
  <c r="H35" i="42"/>
  <c r="I35" i="42"/>
  <c r="J35" i="42"/>
  <c r="K35" i="42"/>
  <c r="L35" i="42"/>
  <c r="M35" i="42"/>
  <c r="D34" i="42"/>
  <c r="E34" i="42"/>
  <c r="F34" i="42"/>
  <c r="G34" i="42"/>
  <c r="H34" i="42"/>
  <c r="I34" i="42"/>
  <c r="J34" i="42"/>
  <c r="K34" i="42"/>
  <c r="L34" i="42"/>
  <c r="C35" i="42"/>
  <c r="C34" i="42"/>
  <c r="C36" i="42"/>
  <c r="C39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U28" i="42"/>
  <c r="N28" i="42"/>
  <c r="O28" i="42"/>
  <c r="P28" i="42"/>
  <c r="Q28" i="42"/>
  <c r="R28" i="42"/>
  <c r="S28" i="42"/>
  <c r="T28" i="42"/>
  <c r="V28" i="42"/>
  <c r="X28" i="42"/>
  <c r="Y28" i="42"/>
  <c r="Z28" i="42"/>
  <c r="AA28" i="42"/>
  <c r="AB28" i="42"/>
  <c r="AC28" i="42"/>
  <c r="AD28" i="42"/>
  <c r="AE28" i="42"/>
  <c r="AF28" i="42"/>
  <c r="M28" i="42"/>
  <c r="N27" i="42"/>
  <c r="O27" i="42"/>
  <c r="P27" i="42"/>
  <c r="Q27" i="42"/>
  <c r="R27" i="42"/>
  <c r="S27" i="42"/>
  <c r="T27" i="42"/>
  <c r="U27" i="42"/>
  <c r="V27" i="42"/>
  <c r="W27" i="42"/>
  <c r="X27" i="42"/>
  <c r="Y27" i="42"/>
  <c r="Z27" i="42"/>
  <c r="AA27" i="42"/>
  <c r="AB27" i="42"/>
  <c r="AC27" i="42"/>
  <c r="AD27" i="42"/>
  <c r="AE27" i="42"/>
  <c r="AF27" i="42"/>
  <c r="N26" i="42"/>
  <c r="O26" i="42"/>
  <c r="P26" i="42"/>
  <c r="Q26" i="42"/>
  <c r="R26" i="42"/>
  <c r="S26" i="42"/>
  <c r="T26" i="42"/>
  <c r="U26" i="42"/>
  <c r="V26" i="42"/>
  <c r="W26" i="42"/>
  <c r="X26" i="42"/>
  <c r="Y26" i="42"/>
  <c r="Z26" i="42"/>
  <c r="AA26" i="42"/>
  <c r="AB26" i="42"/>
  <c r="AC26" i="42"/>
  <c r="AD26" i="42"/>
  <c r="AE26" i="42"/>
  <c r="AF26" i="42"/>
  <c r="D36" i="42"/>
  <c r="D39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N13" i="42"/>
  <c r="O13" i="42"/>
  <c r="P13" i="42"/>
  <c r="Q13" i="42"/>
  <c r="R13" i="42"/>
  <c r="S13" i="42"/>
  <c r="T13" i="42"/>
  <c r="U13" i="42"/>
  <c r="V13" i="42"/>
  <c r="W13" i="42"/>
  <c r="X13" i="42"/>
  <c r="Y13" i="42"/>
  <c r="Z13" i="42"/>
  <c r="AA13" i="42"/>
  <c r="AB13" i="42"/>
  <c r="AC13" i="42"/>
  <c r="AD13" i="42"/>
  <c r="AE13" i="42"/>
  <c r="AF13" i="42"/>
  <c r="M13" i="42"/>
  <c r="O7" i="42"/>
  <c r="P7" i="42"/>
  <c r="Q7" i="42"/>
  <c r="R7" i="42"/>
  <c r="S7" i="42"/>
  <c r="T7" i="42"/>
  <c r="U7" i="42"/>
  <c r="V7" i="42"/>
  <c r="W7" i="42"/>
  <c r="X7" i="42"/>
  <c r="Y7" i="42"/>
  <c r="Z7" i="42"/>
  <c r="AA7" i="42"/>
  <c r="AB7" i="42"/>
  <c r="AC7" i="42"/>
  <c r="AD7" i="42"/>
  <c r="AE7" i="42"/>
  <c r="AF7" i="42"/>
  <c r="N7" i="42"/>
  <c r="R49" i="11"/>
  <c r="S48" i="11"/>
  <c r="C64" i="11"/>
  <c r="E64" i="11"/>
  <c r="F62" i="11"/>
  <c r="G63" i="11"/>
  <c r="F63" i="11"/>
  <c r="T48" i="11"/>
  <c r="S49" i="11"/>
  <c r="D27" i="25"/>
  <c r="U48" i="11"/>
  <c r="T49" i="11"/>
  <c r="D24" i="25"/>
  <c r="D25" i="25"/>
  <c r="D26" i="25"/>
  <c r="D23" i="25"/>
  <c r="C24" i="25"/>
  <c r="C25" i="25"/>
  <c r="C26" i="25"/>
  <c r="C27" i="25"/>
  <c r="C23" i="25"/>
  <c r="B28" i="25"/>
  <c r="U49" i="11"/>
  <c r="V48" i="11"/>
  <c r="G23" i="25"/>
  <c r="F25" i="25"/>
  <c r="F26" i="25"/>
  <c r="G26" i="25"/>
  <c r="F24" i="25"/>
  <c r="G24" i="25"/>
  <c r="H23" i="25"/>
  <c r="W48" i="11"/>
  <c r="V49" i="11"/>
  <c r="G25" i="25"/>
  <c r="H25" i="25"/>
  <c r="H24" i="25"/>
  <c r="F27" i="25"/>
  <c r="G27" i="25"/>
  <c r="H26" i="25"/>
  <c r="X48" i="11"/>
  <c r="W49" i="11"/>
  <c r="F28" i="25"/>
  <c r="G28" i="25"/>
  <c r="H27" i="25"/>
  <c r="X49" i="11"/>
  <c r="Y48" i="11"/>
  <c r="F29" i="25"/>
  <c r="G29" i="25"/>
  <c r="H28" i="25"/>
  <c r="C16" i="41"/>
  <c r="D14" i="41"/>
  <c r="C20" i="41"/>
  <c r="C21" i="41"/>
  <c r="C22" i="41"/>
  <c r="Y49" i="11"/>
  <c r="Z48" i="11"/>
  <c r="F30" i="25"/>
  <c r="G30" i="25"/>
  <c r="H29" i="25"/>
  <c r="C16" i="42"/>
  <c r="C61" i="42"/>
  <c r="D61" i="42"/>
  <c r="C62" i="42"/>
  <c r="D62" i="42"/>
  <c r="C63" i="42"/>
  <c r="D63" i="42"/>
  <c r="C22" i="40"/>
  <c r="C16" i="40"/>
  <c r="AA48" i="11"/>
  <c r="Z49" i="11"/>
  <c r="F31" i="25"/>
  <c r="G31" i="25"/>
  <c r="H30" i="25"/>
  <c r="C31" i="40"/>
  <c r="C30" i="40"/>
  <c r="C28" i="40"/>
  <c r="C20" i="40"/>
  <c r="A61" i="13"/>
  <c r="B31" i="40"/>
  <c r="B30" i="40"/>
  <c r="AB48" i="11"/>
  <c r="AA49" i="11"/>
  <c r="H31" i="25"/>
  <c r="F32" i="25"/>
  <c r="G32" i="25"/>
  <c r="AJ41" i="13"/>
  <c r="AB49" i="11"/>
  <c r="AC48" i="11"/>
  <c r="F33" i="25"/>
  <c r="G33" i="25"/>
  <c r="H32" i="25"/>
  <c r="C16" i="13"/>
  <c r="AR11" i="13"/>
  <c r="AR10" i="13"/>
  <c r="AR9" i="13"/>
  <c r="AR36" i="13"/>
  <c r="AR31" i="13"/>
  <c r="AR30" i="13"/>
  <c r="AR27" i="13"/>
  <c r="AR26" i="13"/>
  <c r="AW26" i="13"/>
  <c r="AN26" i="13"/>
  <c r="AC49" i="11"/>
  <c r="AD48" i="11"/>
  <c r="C28" i="13"/>
  <c r="F34" i="25"/>
  <c r="G34" i="25"/>
  <c r="H33" i="25"/>
  <c r="AS27" i="13"/>
  <c r="AS30" i="13"/>
  <c r="AT30" i="13"/>
  <c r="AU30" i="13"/>
  <c r="AS31" i="13"/>
  <c r="AT31" i="13"/>
  <c r="AU31" i="13"/>
  <c r="AS36" i="13"/>
  <c r="AT36" i="13"/>
  <c r="AU36" i="13"/>
  <c r="AS26" i="13"/>
  <c r="AT26" i="13"/>
  <c r="AU26" i="13"/>
  <c r="AR28" i="13"/>
  <c r="AR29" i="13"/>
  <c r="AJ42" i="13"/>
  <c r="B27" i="13"/>
  <c r="B30" i="13"/>
  <c r="AN27" i="13"/>
  <c r="AO27" i="13"/>
  <c r="AN28" i="13"/>
  <c r="AO28" i="13"/>
  <c r="AN29" i="13"/>
  <c r="AO29" i="13"/>
  <c r="AN30" i="13"/>
  <c r="AO30" i="13"/>
  <c r="AN31" i="13"/>
  <c r="AO31" i="13"/>
  <c r="AN36" i="13"/>
  <c r="AO36" i="13"/>
  <c r="AW31" i="13"/>
  <c r="AW29" i="13"/>
  <c r="AW30" i="13"/>
  <c r="AW36" i="13"/>
  <c r="C15" i="13"/>
  <c r="AE48" i="11"/>
  <c r="AD49" i="11"/>
  <c r="B31" i="13"/>
  <c r="AP36" i="13"/>
  <c r="AV36" i="13"/>
  <c r="AP28" i="13"/>
  <c r="AT27" i="13"/>
  <c r="AP31" i="13"/>
  <c r="AV31" i="13"/>
  <c r="AP27" i="13"/>
  <c r="AR38" i="13"/>
  <c r="AW28" i="13"/>
  <c r="AP30" i="13"/>
  <c r="AV30" i="13"/>
  <c r="AS29" i="13"/>
  <c r="AT29" i="13"/>
  <c r="AU29" i="13"/>
  <c r="AV29" i="13"/>
  <c r="AN38" i="13"/>
  <c r="AP29" i="13"/>
  <c r="AS28" i="13"/>
  <c r="AT28" i="13"/>
  <c r="AU28" i="13"/>
  <c r="AV28" i="13"/>
  <c r="C30" i="13"/>
  <c r="C31" i="13"/>
  <c r="AU39" i="13"/>
  <c r="H34" i="25"/>
  <c r="F35" i="25"/>
  <c r="G35" i="25"/>
  <c r="AO26" i="13"/>
  <c r="AW27" i="13"/>
  <c r="AW38" i="13"/>
  <c r="C18" i="13"/>
  <c r="E13" i="42"/>
  <c r="AF48" i="11"/>
  <c r="AE49" i="11"/>
  <c r="AP26" i="13"/>
  <c r="AV26" i="13"/>
  <c r="AT38" i="13"/>
  <c r="AU27" i="13"/>
  <c r="AS38" i="13"/>
  <c r="H35" i="25"/>
  <c r="F36" i="25"/>
  <c r="G36" i="25"/>
  <c r="AP38" i="13"/>
  <c r="AO38" i="13"/>
  <c r="D14" i="42"/>
  <c r="AF49" i="11"/>
  <c r="AG48" i="11"/>
  <c r="AU38" i="13"/>
  <c r="AU40" i="13"/>
  <c r="AV27" i="13"/>
  <c r="AV38" i="13"/>
  <c r="F37" i="25"/>
  <c r="G37" i="25"/>
  <c r="H36" i="25"/>
  <c r="D15" i="42"/>
  <c r="D16" i="42"/>
  <c r="C14" i="42"/>
  <c r="D54" i="41"/>
  <c r="C54" i="41"/>
  <c r="D61" i="40"/>
  <c r="C61" i="40"/>
  <c r="D61" i="13"/>
  <c r="C61" i="13"/>
  <c r="AG49" i="11"/>
  <c r="AH48" i="11"/>
  <c r="F38" i="25"/>
  <c r="G38" i="25"/>
  <c r="H37" i="25"/>
  <c r="B52" i="41"/>
  <c r="B59" i="13"/>
  <c r="D8" i="24"/>
  <c r="AH49" i="11"/>
  <c r="AI48" i="11"/>
  <c r="F39" i="25"/>
  <c r="G39" i="25"/>
  <c r="H38" i="25"/>
  <c r="F13" i="42"/>
  <c r="G13" i="42"/>
  <c r="H13" i="42"/>
  <c r="I13" i="42"/>
  <c r="J13" i="42"/>
  <c r="K13" i="42"/>
  <c r="L13" i="42"/>
  <c r="A58" i="42"/>
  <c r="A56" i="42"/>
  <c r="D54" i="42"/>
  <c r="C54" i="42"/>
  <c r="B54" i="42"/>
  <c r="A47" i="42"/>
  <c r="B43" i="42"/>
  <c r="M17" i="42"/>
  <c r="L17" i="42"/>
  <c r="K17" i="42"/>
  <c r="J17" i="42"/>
  <c r="I17" i="42"/>
  <c r="H17" i="42"/>
  <c r="G17" i="42"/>
  <c r="F17" i="42"/>
  <c r="E17" i="42"/>
  <c r="D17" i="42"/>
  <c r="C17" i="42"/>
  <c r="D7" i="42"/>
  <c r="E7" i="42"/>
  <c r="F7" i="42"/>
  <c r="G7" i="42"/>
  <c r="H7" i="42"/>
  <c r="I7" i="42"/>
  <c r="J7" i="42"/>
  <c r="K7" i="42"/>
  <c r="L7" i="42"/>
  <c r="M7" i="42"/>
  <c r="A54" i="41"/>
  <c r="A53" i="41"/>
  <c r="A51" i="41"/>
  <c r="D49" i="41"/>
  <c r="C49" i="41"/>
  <c r="B49" i="41"/>
  <c r="A42" i="41"/>
  <c r="A40" i="41"/>
  <c r="B36" i="41"/>
  <c r="M17" i="41"/>
  <c r="L17" i="41"/>
  <c r="K17" i="41"/>
  <c r="J17" i="41"/>
  <c r="I17" i="41"/>
  <c r="H17" i="41"/>
  <c r="G17" i="41"/>
  <c r="F17" i="41"/>
  <c r="E17" i="41"/>
  <c r="D17" i="41"/>
  <c r="C17" i="41"/>
  <c r="D7" i="41"/>
  <c r="E7" i="41"/>
  <c r="F7" i="41"/>
  <c r="G7" i="41"/>
  <c r="H7" i="41"/>
  <c r="I7" i="41"/>
  <c r="J7" i="41"/>
  <c r="K7" i="41"/>
  <c r="L7" i="41"/>
  <c r="M7" i="41"/>
  <c r="N7" i="41"/>
  <c r="O7" i="41"/>
  <c r="P7" i="41"/>
  <c r="Q7" i="41"/>
  <c r="R7" i="41"/>
  <c r="S7" i="41"/>
  <c r="T7" i="41"/>
  <c r="U7" i="41"/>
  <c r="V7" i="41"/>
  <c r="W7" i="41"/>
  <c r="X7" i="41"/>
  <c r="Y7" i="41"/>
  <c r="Z7" i="41"/>
  <c r="AA7" i="41"/>
  <c r="AB7" i="41"/>
  <c r="AC7" i="41"/>
  <c r="AD7" i="41"/>
  <c r="AE7" i="41"/>
  <c r="AF7" i="41"/>
  <c r="A61" i="40"/>
  <c r="A60" i="40"/>
  <c r="A58" i="40"/>
  <c r="D56" i="40"/>
  <c r="C56" i="40"/>
  <c r="B56" i="40"/>
  <c r="A49" i="40"/>
  <c r="A47" i="40"/>
  <c r="B43" i="40"/>
  <c r="M17" i="40"/>
  <c r="L17" i="40"/>
  <c r="K17" i="40"/>
  <c r="J17" i="40"/>
  <c r="I17" i="40"/>
  <c r="H17" i="40"/>
  <c r="G17" i="40"/>
  <c r="F17" i="40"/>
  <c r="E17" i="40"/>
  <c r="D17" i="40"/>
  <c r="C17" i="40"/>
  <c r="M13" i="40"/>
  <c r="L13" i="40"/>
  <c r="K13" i="40"/>
  <c r="J13" i="40"/>
  <c r="I13" i="40"/>
  <c r="H13" i="40"/>
  <c r="G13" i="40"/>
  <c r="D7" i="40"/>
  <c r="E7" i="40"/>
  <c r="F7" i="40"/>
  <c r="G7" i="40"/>
  <c r="H7" i="40"/>
  <c r="I7" i="40"/>
  <c r="J7" i="40"/>
  <c r="K7" i="40"/>
  <c r="L7" i="40"/>
  <c r="M7" i="40"/>
  <c r="A58" i="13"/>
  <c r="D56" i="13"/>
  <c r="C56" i="13"/>
  <c r="B56" i="13"/>
  <c r="B43" i="13"/>
  <c r="AJ48" i="11"/>
  <c r="AI49" i="11"/>
  <c r="H39" i="25"/>
  <c r="F40" i="25"/>
  <c r="G40" i="25"/>
  <c r="C69" i="42"/>
  <c r="D69" i="42"/>
  <c r="D14" i="13"/>
  <c r="D15" i="13"/>
  <c r="AJ49" i="11"/>
  <c r="AK48" i="11"/>
  <c r="F41" i="25"/>
  <c r="G41" i="25"/>
  <c r="H40" i="25"/>
  <c r="C18" i="41"/>
  <c r="C18" i="40"/>
  <c r="D14" i="40"/>
  <c r="C21" i="40"/>
  <c r="AK49" i="11"/>
  <c r="AL48" i="11"/>
  <c r="F42" i="25"/>
  <c r="G42" i="25"/>
  <c r="H41" i="25"/>
  <c r="C21" i="42"/>
  <c r="C22" i="42"/>
  <c r="C18" i="42"/>
  <c r="D15" i="40"/>
  <c r="D16" i="40"/>
  <c r="AM48" i="11"/>
  <c r="AL49" i="11"/>
  <c r="F43" i="25"/>
  <c r="G43" i="25"/>
  <c r="H42" i="25"/>
  <c r="C26" i="42"/>
  <c r="C27" i="42"/>
  <c r="D15" i="41"/>
  <c r="E14" i="40"/>
  <c r="E15" i="40"/>
  <c r="D18" i="40"/>
  <c r="D20" i="40"/>
  <c r="D16" i="41"/>
  <c r="E14" i="41"/>
  <c r="E15" i="41"/>
  <c r="D28" i="40"/>
  <c r="D22" i="40"/>
  <c r="AN48" i="11"/>
  <c r="AM49" i="11"/>
  <c r="H43" i="25"/>
  <c r="F44" i="25"/>
  <c r="G44" i="25"/>
  <c r="D31" i="40"/>
  <c r="D30" i="40"/>
  <c r="C42" i="42"/>
  <c r="C41" i="42"/>
  <c r="C40" i="42"/>
  <c r="D18" i="41"/>
  <c r="D20" i="41"/>
  <c r="D21" i="40"/>
  <c r="AN49" i="11"/>
  <c r="AO48" i="11"/>
  <c r="F45" i="25"/>
  <c r="G45" i="25"/>
  <c r="H44" i="25"/>
  <c r="D27" i="40"/>
  <c r="D26" i="40"/>
  <c r="C43" i="42"/>
  <c r="C46" i="42"/>
  <c r="C58" i="42"/>
  <c r="D18" i="42"/>
  <c r="D20" i="42"/>
  <c r="D21" i="42"/>
  <c r="D22" i="42"/>
  <c r="D28" i="42"/>
  <c r="E14" i="42"/>
  <c r="E15" i="42"/>
  <c r="E16" i="42"/>
  <c r="D21" i="41"/>
  <c r="D22" i="41"/>
  <c r="E16" i="41"/>
  <c r="D25" i="41"/>
  <c r="D26" i="41"/>
  <c r="AO49" i="11"/>
  <c r="AP48" i="11"/>
  <c r="F46" i="25"/>
  <c r="G46" i="25"/>
  <c r="H45" i="25"/>
  <c r="D27" i="42"/>
  <c r="D26" i="42"/>
  <c r="F14" i="42"/>
  <c r="E18" i="42"/>
  <c r="E20" i="42"/>
  <c r="E21" i="42"/>
  <c r="E22" i="42"/>
  <c r="F14" i="41"/>
  <c r="F15" i="41"/>
  <c r="E18" i="41"/>
  <c r="E20" i="41"/>
  <c r="D33" i="41"/>
  <c r="AP49" i="11"/>
  <c r="AQ48" i="11"/>
  <c r="AQ49" i="11"/>
  <c r="F47" i="25"/>
  <c r="G47" i="25"/>
  <c r="H46" i="25"/>
  <c r="D31" i="42"/>
  <c r="D30" i="42"/>
  <c r="E28" i="42"/>
  <c r="E27" i="42"/>
  <c r="E26" i="42"/>
  <c r="F15" i="42"/>
  <c r="F16" i="42"/>
  <c r="E21" i="41"/>
  <c r="E22" i="41"/>
  <c r="F16" i="41"/>
  <c r="D40" i="40"/>
  <c r="D41" i="40"/>
  <c r="D42" i="40"/>
  <c r="D39" i="40"/>
  <c r="E25" i="41"/>
  <c r="E26" i="41"/>
  <c r="D34" i="41"/>
  <c r="H47" i="25"/>
  <c r="F48" i="25"/>
  <c r="G48" i="25"/>
  <c r="D32" i="41"/>
  <c r="D35" i="41"/>
  <c r="D39" i="41"/>
  <c r="D40" i="41"/>
  <c r="D53" i="41"/>
  <c r="E31" i="42"/>
  <c r="E30" i="42"/>
  <c r="E36" i="42"/>
  <c r="E39" i="42"/>
  <c r="G14" i="42"/>
  <c r="G15" i="42"/>
  <c r="G16" i="42"/>
  <c r="F18" i="42"/>
  <c r="F20" i="42"/>
  <c r="D40" i="42"/>
  <c r="D41" i="42"/>
  <c r="D42" i="42"/>
  <c r="F18" i="41"/>
  <c r="F20" i="41"/>
  <c r="G14" i="41"/>
  <c r="G15" i="41"/>
  <c r="D43" i="40"/>
  <c r="D46" i="40"/>
  <c r="D47" i="40"/>
  <c r="D60" i="40"/>
  <c r="E33" i="41"/>
  <c r="D36" i="41"/>
  <c r="E41" i="42"/>
  <c r="H48" i="25"/>
  <c r="F21" i="42"/>
  <c r="F22" i="42"/>
  <c r="D43" i="42"/>
  <c r="D46" i="42"/>
  <c r="D58" i="42"/>
  <c r="H14" i="42"/>
  <c r="H15" i="42"/>
  <c r="H16" i="42"/>
  <c r="H18" i="42"/>
  <c r="H20" i="42"/>
  <c r="G18" i="42"/>
  <c r="G20" i="42"/>
  <c r="D41" i="41"/>
  <c r="F21" i="41"/>
  <c r="F22" i="41"/>
  <c r="G16" i="41"/>
  <c r="D48" i="40"/>
  <c r="F25" i="41"/>
  <c r="F29" i="41"/>
  <c r="F26" i="41"/>
  <c r="E40" i="42"/>
  <c r="E42" i="42"/>
  <c r="E46" i="42"/>
  <c r="C9" i="25"/>
  <c r="C7" i="25"/>
  <c r="F28" i="42"/>
  <c r="F27" i="42"/>
  <c r="F26" i="42"/>
  <c r="I14" i="42"/>
  <c r="I15" i="42"/>
  <c r="I16" i="42"/>
  <c r="G21" i="42"/>
  <c r="G22" i="42"/>
  <c r="E43" i="42"/>
  <c r="H21" i="42"/>
  <c r="H22" i="42"/>
  <c r="E35" i="41"/>
  <c r="E39" i="41"/>
  <c r="E40" i="41"/>
  <c r="E53" i="41"/>
  <c r="E34" i="41"/>
  <c r="E32" i="41"/>
  <c r="H14" i="41"/>
  <c r="H15" i="41"/>
  <c r="G18" i="41"/>
  <c r="G20" i="41"/>
  <c r="E36" i="41"/>
  <c r="H28" i="42"/>
  <c r="G28" i="42"/>
  <c r="F30" i="42"/>
  <c r="F36" i="42"/>
  <c r="F39" i="42"/>
  <c r="F31" i="42"/>
  <c r="H26" i="42"/>
  <c r="H27" i="42"/>
  <c r="G27" i="42"/>
  <c r="G26" i="42"/>
  <c r="E58" i="42"/>
  <c r="J14" i="42"/>
  <c r="I18" i="42"/>
  <c r="I20" i="42"/>
  <c r="E41" i="41"/>
  <c r="G21" i="41"/>
  <c r="G22" i="41"/>
  <c r="H16" i="41"/>
  <c r="G25" i="41"/>
  <c r="G26" i="41"/>
  <c r="F33" i="41"/>
  <c r="D9" i="25"/>
  <c r="F42" i="42"/>
  <c r="F46" i="42"/>
  <c r="F58" i="42"/>
  <c r="G31" i="42"/>
  <c r="G30" i="42"/>
  <c r="G36" i="42"/>
  <c r="G39" i="42"/>
  <c r="H31" i="42"/>
  <c r="H30" i="42"/>
  <c r="I21" i="42"/>
  <c r="I22" i="42"/>
  <c r="J15" i="42"/>
  <c r="J16" i="42"/>
  <c r="I14" i="41"/>
  <c r="I15" i="41"/>
  <c r="H18" i="41"/>
  <c r="H20" i="41"/>
  <c r="F34" i="41"/>
  <c r="F35" i="41"/>
  <c r="F39" i="41"/>
  <c r="F40" i="41"/>
  <c r="F53" i="41"/>
  <c r="F32" i="41"/>
  <c r="H36" i="42"/>
  <c r="H39" i="42"/>
  <c r="F41" i="42"/>
  <c r="F40" i="42"/>
  <c r="F43" i="42"/>
  <c r="G41" i="42"/>
  <c r="I28" i="42"/>
  <c r="I27" i="42"/>
  <c r="I26" i="42"/>
  <c r="H41" i="42"/>
  <c r="H40" i="42"/>
  <c r="G40" i="42"/>
  <c r="G42" i="42"/>
  <c r="J18" i="42"/>
  <c r="J20" i="42"/>
  <c r="K14" i="42"/>
  <c r="I16" i="41"/>
  <c r="H21" i="41"/>
  <c r="H22" i="41"/>
  <c r="F36" i="41"/>
  <c r="F41" i="41"/>
  <c r="H25" i="41"/>
  <c r="H29" i="41"/>
  <c r="H26" i="41"/>
  <c r="G33" i="41"/>
  <c r="H42" i="42"/>
  <c r="H46" i="42"/>
  <c r="H58" i="42"/>
  <c r="E9" i="25"/>
  <c r="I31" i="42"/>
  <c r="I30" i="42"/>
  <c r="I36" i="42"/>
  <c r="I39" i="42"/>
  <c r="H43" i="42"/>
  <c r="G43" i="42"/>
  <c r="G46" i="42"/>
  <c r="G58" i="42"/>
  <c r="K15" i="42"/>
  <c r="K16" i="42"/>
  <c r="J21" i="42"/>
  <c r="J22" i="42"/>
  <c r="J14" i="41"/>
  <c r="J15" i="41"/>
  <c r="I18" i="41"/>
  <c r="I20" i="41"/>
  <c r="G32" i="41"/>
  <c r="G34" i="41"/>
  <c r="G35" i="41"/>
  <c r="G39" i="41"/>
  <c r="G40" i="41"/>
  <c r="G53" i="41"/>
  <c r="I41" i="42"/>
  <c r="J28" i="42"/>
  <c r="J26" i="42"/>
  <c r="J27" i="42"/>
  <c r="L14" i="42"/>
  <c r="K18" i="42"/>
  <c r="K20" i="42"/>
  <c r="J16" i="41"/>
  <c r="I21" i="41"/>
  <c r="I22" i="41"/>
  <c r="I26" i="41"/>
  <c r="I29" i="41"/>
  <c r="I25" i="41"/>
  <c r="H35" i="41"/>
  <c r="H39" i="41"/>
  <c r="H40" i="41"/>
  <c r="H53" i="41"/>
  <c r="G41" i="41"/>
  <c r="F9" i="25"/>
  <c r="G36" i="41"/>
  <c r="I40" i="42"/>
  <c r="I42" i="42"/>
  <c r="I46" i="42"/>
  <c r="I58" i="42"/>
  <c r="J30" i="42"/>
  <c r="J36" i="42"/>
  <c r="J39" i="42"/>
  <c r="J31" i="42"/>
  <c r="K21" i="42"/>
  <c r="K22" i="42"/>
  <c r="L15" i="42"/>
  <c r="L16" i="42"/>
  <c r="M14" i="42"/>
  <c r="M15" i="42"/>
  <c r="J18" i="41"/>
  <c r="J20" i="41"/>
  <c r="K14" i="41"/>
  <c r="K15" i="41"/>
  <c r="H34" i="41"/>
  <c r="H32" i="41"/>
  <c r="H33" i="41"/>
  <c r="I43" i="42"/>
  <c r="J42" i="42"/>
  <c r="J46" i="42"/>
  <c r="J58" i="42"/>
  <c r="K28" i="42"/>
  <c r="K26" i="42"/>
  <c r="K27" i="42"/>
  <c r="L18" i="42"/>
  <c r="L20" i="42"/>
  <c r="H41" i="41"/>
  <c r="J21" i="41"/>
  <c r="J22" i="41"/>
  <c r="K16" i="41"/>
  <c r="J26" i="41"/>
  <c r="H36" i="41"/>
  <c r="J25" i="41"/>
  <c r="J29" i="41"/>
  <c r="I32" i="41"/>
  <c r="K36" i="42"/>
  <c r="K39" i="42"/>
  <c r="J41" i="42"/>
  <c r="J40" i="42"/>
  <c r="G9" i="25"/>
  <c r="K30" i="42"/>
  <c r="K31" i="42"/>
  <c r="L21" i="42"/>
  <c r="L22" i="42"/>
  <c r="M16" i="42"/>
  <c r="L14" i="41"/>
  <c r="L15" i="41"/>
  <c r="K18" i="41"/>
  <c r="K20" i="41"/>
  <c r="I34" i="41"/>
  <c r="I35" i="41"/>
  <c r="I39" i="41"/>
  <c r="I40" i="41"/>
  <c r="I53" i="41"/>
  <c r="I33" i="41"/>
  <c r="I36" i="41"/>
  <c r="M18" i="42"/>
  <c r="M20" i="42"/>
  <c r="N14" i="42"/>
  <c r="J43" i="42"/>
  <c r="K40" i="42"/>
  <c r="L28" i="42"/>
  <c r="L26" i="42"/>
  <c r="L27" i="42"/>
  <c r="M21" i="42"/>
  <c r="M22" i="42"/>
  <c r="L16" i="41"/>
  <c r="M14" i="41"/>
  <c r="K21" i="41"/>
  <c r="K22" i="41"/>
  <c r="K26" i="41"/>
  <c r="I41" i="41"/>
  <c r="K25" i="41"/>
  <c r="K29" i="41"/>
  <c r="J33" i="41"/>
  <c r="N15" i="42"/>
  <c r="N16" i="42"/>
  <c r="K41" i="42"/>
  <c r="K42" i="42"/>
  <c r="K46" i="42"/>
  <c r="K58" i="42"/>
  <c r="H9" i="25"/>
  <c r="L31" i="42"/>
  <c r="L30" i="42"/>
  <c r="M27" i="42"/>
  <c r="M26" i="42"/>
  <c r="M15" i="41"/>
  <c r="L18" i="41"/>
  <c r="L20" i="41"/>
  <c r="J34" i="41"/>
  <c r="J35" i="41"/>
  <c r="J39" i="41"/>
  <c r="J40" i="41"/>
  <c r="J53" i="41"/>
  <c r="J32" i="41"/>
  <c r="J36" i="41"/>
  <c r="O14" i="42"/>
  <c r="N18" i="42"/>
  <c r="N20" i="42"/>
  <c r="L42" i="42"/>
  <c r="L46" i="42"/>
  <c r="L58" i="42"/>
  <c r="L36" i="42"/>
  <c r="L39" i="42"/>
  <c r="O15" i="42"/>
  <c r="O16" i="42"/>
  <c r="K43" i="42"/>
  <c r="M31" i="42"/>
  <c r="M30" i="42"/>
  <c r="M36" i="42"/>
  <c r="L40" i="42"/>
  <c r="L21" i="41"/>
  <c r="L22" i="41"/>
  <c r="M16" i="41"/>
  <c r="J41" i="41"/>
  <c r="L26" i="41"/>
  <c r="L25" i="41"/>
  <c r="L29" i="41"/>
  <c r="K34" i="41"/>
  <c r="M18" i="41"/>
  <c r="M20" i="41"/>
  <c r="N14" i="41"/>
  <c r="P14" i="42"/>
  <c r="O18" i="42"/>
  <c r="O20" i="42"/>
  <c r="N21" i="42"/>
  <c r="N22" i="42"/>
  <c r="L41" i="42"/>
  <c r="P15" i="42"/>
  <c r="P16" i="42"/>
  <c r="I9" i="25"/>
  <c r="L43" i="42"/>
  <c r="M42" i="42"/>
  <c r="M58" i="42"/>
  <c r="M41" i="42"/>
  <c r="M40" i="42"/>
  <c r="K33" i="41"/>
  <c r="K35" i="41"/>
  <c r="K39" i="41"/>
  <c r="K40" i="41"/>
  <c r="K53" i="41"/>
  <c r="K32" i="41"/>
  <c r="N15" i="41"/>
  <c r="N16" i="41"/>
  <c r="M21" i="41"/>
  <c r="M22" i="41"/>
  <c r="Q14" i="42"/>
  <c r="Q15" i="42"/>
  <c r="Q16" i="42"/>
  <c r="P18" i="42"/>
  <c r="P20" i="42"/>
  <c r="O21" i="42"/>
  <c r="O22" i="42"/>
  <c r="M43" i="42"/>
  <c r="M25" i="41"/>
  <c r="M26" i="41"/>
  <c r="M27" i="41"/>
  <c r="M28" i="41"/>
  <c r="K36" i="41"/>
  <c r="K41" i="41"/>
  <c r="J9" i="25"/>
  <c r="L35" i="41"/>
  <c r="L39" i="41"/>
  <c r="L40" i="41"/>
  <c r="L53" i="41"/>
  <c r="N18" i="41"/>
  <c r="N20" i="41"/>
  <c r="O14" i="41"/>
  <c r="P21" i="42"/>
  <c r="P22" i="42"/>
  <c r="R14" i="42"/>
  <c r="R15" i="42"/>
  <c r="R16" i="42"/>
  <c r="Q18" i="42"/>
  <c r="Q20" i="42"/>
  <c r="L33" i="41"/>
  <c r="L34" i="41"/>
  <c r="L32" i="41"/>
  <c r="O15" i="41"/>
  <c r="O16" i="41"/>
  <c r="N21" i="41"/>
  <c r="N22" i="41"/>
  <c r="S14" i="42"/>
  <c r="R18" i="42"/>
  <c r="R20" i="42"/>
  <c r="Q21" i="42"/>
  <c r="Q22" i="42"/>
  <c r="L41" i="41"/>
  <c r="N25" i="41"/>
  <c r="N26" i="41"/>
  <c r="N27" i="41"/>
  <c r="N28" i="41"/>
  <c r="M35" i="41"/>
  <c r="M53" i="41"/>
  <c r="L36" i="41"/>
  <c r="M34" i="41"/>
  <c r="P14" i="41"/>
  <c r="P15" i="41"/>
  <c r="P16" i="41"/>
  <c r="O18" i="41"/>
  <c r="O20" i="41"/>
  <c r="R21" i="42"/>
  <c r="R22" i="42"/>
  <c r="S15" i="42"/>
  <c r="S16" i="42"/>
  <c r="K9" i="25"/>
  <c r="M41" i="41"/>
  <c r="N29" i="41"/>
  <c r="M36" i="41"/>
  <c r="Q14" i="41"/>
  <c r="P18" i="41"/>
  <c r="P20" i="41"/>
  <c r="O21" i="41"/>
  <c r="O22" i="41"/>
  <c r="T14" i="42"/>
  <c r="S18" i="42"/>
  <c r="S20" i="42"/>
  <c r="O25" i="41"/>
  <c r="O26" i="41"/>
  <c r="O27" i="41"/>
  <c r="O28" i="41"/>
  <c r="P21" i="41"/>
  <c r="P22" i="41"/>
  <c r="Q15" i="41"/>
  <c r="Q16" i="41"/>
  <c r="S21" i="42"/>
  <c r="S22" i="42"/>
  <c r="T15" i="42"/>
  <c r="T16" i="42"/>
  <c r="O29" i="41"/>
  <c r="P25" i="41"/>
  <c r="P26" i="41"/>
  <c r="P27" i="41"/>
  <c r="P28" i="41"/>
  <c r="R14" i="41"/>
  <c r="R15" i="41"/>
  <c r="R16" i="41"/>
  <c r="Q18" i="41"/>
  <c r="Q20" i="41"/>
  <c r="U14" i="42"/>
  <c r="U15" i="42"/>
  <c r="U16" i="42"/>
  <c r="T18" i="42"/>
  <c r="T20" i="42"/>
  <c r="A60" i="13"/>
  <c r="P29" i="41"/>
  <c r="Q21" i="41"/>
  <c r="Q22" i="41"/>
  <c r="S14" i="41"/>
  <c r="R18" i="41"/>
  <c r="R20" i="41"/>
  <c r="T21" i="42"/>
  <c r="T22" i="42"/>
  <c r="V14" i="42"/>
  <c r="V15" i="42"/>
  <c r="V16" i="42"/>
  <c r="U18" i="42"/>
  <c r="U20" i="42"/>
  <c r="D5" i="25"/>
  <c r="E5" i="25"/>
  <c r="F5" i="25"/>
  <c r="G5" i="25"/>
  <c r="H5" i="25"/>
  <c r="I5" i="25"/>
  <c r="J5" i="25"/>
  <c r="K5" i="25"/>
  <c r="C5" i="25"/>
  <c r="Q25" i="41"/>
  <c r="Q26" i="41"/>
  <c r="Q27" i="41"/>
  <c r="Q28" i="41"/>
  <c r="R21" i="41"/>
  <c r="R22" i="41"/>
  <c r="S15" i="41"/>
  <c r="S16" i="41"/>
  <c r="U21" i="42"/>
  <c r="U22" i="42"/>
  <c r="W14" i="42"/>
  <c r="V18" i="42"/>
  <c r="V20" i="42"/>
  <c r="C18" i="20"/>
  <c r="C19" i="20"/>
  <c r="C20" i="20"/>
  <c r="C22" i="20"/>
  <c r="C23" i="20"/>
  <c r="C17" i="13"/>
  <c r="Q29" i="41"/>
  <c r="R25" i="41"/>
  <c r="R26" i="41"/>
  <c r="R27" i="41"/>
  <c r="R28" i="41"/>
  <c r="T14" i="41"/>
  <c r="S18" i="41"/>
  <c r="S20" i="41"/>
  <c r="W15" i="42"/>
  <c r="W16" i="42"/>
  <c r="V21" i="42"/>
  <c r="V22" i="42"/>
  <c r="C24" i="20"/>
  <c r="A45" i="20"/>
  <c r="F18" i="20"/>
  <c r="G18" i="20"/>
  <c r="H18" i="20"/>
  <c r="I18" i="20"/>
  <c r="J18" i="20"/>
  <c r="K18" i="20"/>
  <c r="L18" i="20"/>
  <c r="M18" i="20"/>
  <c r="E18" i="20"/>
  <c r="D18" i="20"/>
  <c r="C14" i="20"/>
  <c r="D14" i="20"/>
  <c r="D34" i="20"/>
  <c r="E34" i="20"/>
  <c r="F34" i="20"/>
  <c r="G34" i="20"/>
  <c r="H34" i="20"/>
  <c r="I34" i="20"/>
  <c r="J34" i="20"/>
  <c r="K34" i="20"/>
  <c r="L34" i="20"/>
  <c r="M34" i="20"/>
  <c r="A49" i="20"/>
  <c r="A46" i="20"/>
  <c r="A32" i="20"/>
  <c r="A34" i="20"/>
  <c r="M19" i="20"/>
  <c r="L19" i="20"/>
  <c r="K19" i="20"/>
  <c r="J19" i="20"/>
  <c r="I19" i="20"/>
  <c r="H19" i="20"/>
  <c r="G19" i="20"/>
  <c r="F19" i="20"/>
  <c r="E19" i="20"/>
  <c r="D19" i="20"/>
  <c r="O15" i="20"/>
  <c r="M14" i="20"/>
  <c r="L14" i="20"/>
  <c r="L20" i="20"/>
  <c r="L22" i="20"/>
  <c r="K14" i="20"/>
  <c r="J14" i="20"/>
  <c r="I14" i="20"/>
  <c r="H14" i="20"/>
  <c r="H20" i="20"/>
  <c r="H22" i="20"/>
  <c r="G14" i="20"/>
  <c r="F14" i="20"/>
  <c r="E14" i="20"/>
  <c r="O13" i="20"/>
  <c r="O12" i="20"/>
  <c r="O11" i="20"/>
  <c r="O10" i="20"/>
  <c r="O9" i="20"/>
  <c r="D8" i="20"/>
  <c r="E8" i="20"/>
  <c r="F8" i="20"/>
  <c r="G8" i="20"/>
  <c r="H8" i="20"/>
  <c r="I8" i="20"/>
  <c r="J8" i="20"/>
  <c r="K8" i="20"/>
  <c r="L8" i="20"/>
  <c r="M8" i="20"/>
  <c r="A5" i="20"/>
  <c r="R29" i="41"/>
  <c r="S21" i="41"/>
  <c r="S22" i="41"/>
  <c r="T15" i="41"/>
  <c r="T16" i="41"/>
  <c r="X14" i="42"/>
  <c r="W18" i="42"/>
  <c r="W20" i="42"/>
  <c r="C26" i="20"/>
  <c r="C29" i="20"/>
  <c r="C35" i="20"/>
  <c r="C31" i="20"/>
  <c r="C27" i="20"/>
  <c r="K20" i="20"/>
  <c r="K22" i="20"/>
  <c r="K23" i="20"/>
  <c r="K24" i="20"/>
  <c r="G20" i="20"/>
  <c r="G22" i="20"/>
  <c r="J20" i="20"/>
  <c r="J22" i="20"/>
  <c r="F20" i="20"/>
  <c r="F22" i="20"/>
  <c r="F23" i="20"/>
  <c r="F24" i="20"/>
  <c r="E20" i="20"/>
  <c r="E22" i="20"/>
  <c r="E23" i="20"/>
  <c r="E24" i="20"/>
  <c r="I20" i="20"/>
  <c r="I22" i="20"/>
  <c r="I23" i="20"/>
  <c r="I24" i="20"/>
  <c r="M20" i="20"/>
  <c r="M22" i="20"/>
  <c r="M23" i="20"/>
  <c r="M24" i="20"/>
  <c r="M28" i="20"/>
  <c r="D20" i="20"/>
  <c r="D22" i="20"/>
  <c r="D23" i="20"/>
  <c r="D24" i="20"/>
  <c r="O14" i="20"/>
  <c r="P15" i="20"/>
  <c r="L23" i="20"/>
  <c r="L24" i="20"/>
  <c r="G23" i="20"/>
  <c r="G24" i="20"/>
  <c r="J23" i="20"/>
  <c r="J24" i="20"/>
  <c r="H23" i="20"/>
  <c r="H24" i="20"/>
  <c r="S25" i="41"/>
  <c r="S26" i="41"/>
  <c r="S27" i="41"/>
  <c r="S28" i="41"/>
  <c r="U14" i="41"/>
  <c r="T18" i="41"/>
  <c r="T20" i="41"/>
  <c r="W21" i="42"/>
  <c r="W22" i="42"/>
  <c r="X15" i="42"/>
  <c r="X16" i="42"/>
  <c r="C32" i="20"/>
  <c r="C33" i="20"/>
  <c r="C21" i="13"/>
  <c r="C22" i="13"/>
  <c r="H26" i="20"/>
  <c r="H27" i="20"/>
  <c r="H29" i="20"/>
  <c r="H35" i="20"/>
  <c r="J27" i="20"/>
  <c r="J26" i="20"/>
  <c r="L26" i="20"/>
  <c r="L27" i="20"/>
  <c r="I26" i="20"/>
  <c r="I27" i="20"/>
  <c r="I29" i="20"/>
  <c r="I35" i="20"/>
  <c r="E26" i="20"/>
  <c r="E27" i="20"/>
  <c r="M26" i="20"/>
  <c r="M27" i="20"/>
  <c r="D26" i="20"/>
  <c r="D27" i="20"/>
  <c r="D29" i="20"/>
  <c r="D35" i="20"/>
  <c r="F27" i="20"/>
  <c r="F26" i="20"/>
  <c r="K27" i="20"/>
  <c r="K26" i="20"/>
  <c r="G27" i="20"/>
  <c r="G26" i="20"/>
  <c r="S29" i="41"/>
  <c r="U15" i="41"/>
  <c r="U16" i="41"/>
  <c r="T21" i="41"/>
  <c r="T22" i="41"/>
  <c r="Y14" i="42"/>
  <c r="X18" i="42"/>
  <c r="X20" i="42"/>
  <c r="C26" i="13"/>
  <c r="C27" i="13"/>
  <c r="D16" i="13"/>
  <c r="G29" i="20"/>
  <c r="G35" i="20"/>
  <c r="G42" i="20"/>
  <c r="E29" i="20"/>
  <c r="E35" i="20"/>
  <c r="E45" i="20"/>
  <c r="F29" i="20"/>
  <c r="F35" i="20"/>
  <c r="F42" i="20"/>
  <c r="J29" i="20"/>
  <c r="J35" i="20"/>
  <c r="J42" i="20"/>
  <c r="K29" i="20"/>
  <c r="K35" i="20"/>
  <c r="K31" i="20"/>
  <c r="M29" i="20"/>
  <c r="M35" i="20"/>
  <c r="M39" i="20"/>
  <c r="L29" i="20"/>
  <c r="L35" i="20"/>
  <c r="L42" i="20"/>
  <c r="H39" i="20"/>
  <c r="H45" i="20"/>
  <c r="H42" i="20"/>
  <c r="H31" i="20"/>
  <c r="I45" i="20"/>
  <c r="I42" i="20"/>
  <c r="I31" i="20"/>
  <c r="I39" i="20"/>
  <c r="D39" i="20"/>
  <c r="D45" i="20"/>
  <c r="D42" i="20"/>
  <c r="D31" i="20"/>
  <c r="D32" i="20"/>
  <c r="T25" i="41"/>
  <c r="T26" i="41"/>
  <c r="T27" i="41"/>
  <c r="T28" i="41"/>
  <c r="T29" i="41"/>
  <c r="V14" i="41"/>
  <c r="V15" i="41"/>
  <c r="V16" i="41"/>
  <c r="U18" i="41"/>
  <c r="U20" i="41"/>
  <c r="AV39" i="13"/>
  <c r="AV40" i="13"/>
  <c r="X21" i="42"/>
  <c r="X22" i="42"/>
  <c r="Y15" i="42"/>
  <c r="Y16" i="42"/>
  <c r="C41" i="13"/>
  <c r="C42" i="13"/>
  <c r="C46" i="13"/>
  <c r="C47" i="13"/>
  <c r="C48" i="13"/>
  <c r="C40" i="13"/>
  <c r="AP39" i="13"/>
  <c r="AP40" i="13"/>
  <c r="E14" i="13"/>
  <c r="E39" i="20"/>
  <c r="I46" i="20"/>
  <c r="K32" i="20"/>
  <c r="K47" i="20"/>
  <c r="D46" i="20"/>
  <c r="I32" i="20"/>
  <c r="I47" i="20"/>
  <c r="H32" i="20"/>
  <c r="H47" i="20"/>
  <c r="H46" i="20"/>
  <c r="E46" i="20"/>
  <c r="G45" i="20"/>
  <c r="G39" i="20"/>
  <c r="G31" i="20"/>
  <c r="C42" i="20"/>
  <c r="E42" i="20"/>
  <c r="E31" i="20"/>
  <c r="M31" i="20"/>
  <c r="J31" i="20"/>
  <c r="F39" i="20"/>
  <c r="L45" i="20"/>
  <c r="L39" i="20"/>
  <c r="J39" i="20"/>
  <c r="F31" i="20"/>
  <c r="L31" i="20"/>
  <c r="J45" i="20"/>
  <c r="K42" i="20"/>
  <c r="K45" i="20"/>
  <c r="F45" i="20"/>
  <c r="K39" i="20"/>
  <c r="M42" i="20"/>
  <c r="M45" i="20"/>
  <c r="D47" i="20"/>
  <c r="D49" i="20"/>
  <c r="U21" i="41"/>
  <c r="U22" i="41"/>
  <c r="W14" i="41"/>
  <c r="V18" i="41"/>
  <c r="V20" i="41"/>
  <c r="Z14" i="42"/>
  <c r="Z15" i="42"/>
  <c r="Z16" i="42"/>
  <c r="Y18" i="42"/>
  <c r="Y20" i="42"/>
  <c r="C43" i="13"/>
  <c r="E15" i="13"/>
  <c r="H49" i="20"/>
  <c r="G46" i="20"/>
  <c r="G32" i="20"/>
  <c r="G47" i="20"/>
  <c r="K33" i="20"/>
  <c r="F46" i="20"/>
  <c r="L46" i="20"/>
  <c r="E32" i="20"/>
  <c r="E47" i="20"/>
  <c r="E49" i="20"/>
  <c r="J32" i="20"/>
  <c r="J47" i="20"/>
  <c r="J46" i="20"/>
  <c r="M32" i="20"/>
  <c r="M47" i="20"/>
  <c r="C39" i="20"/>
  <c r="C45" i="20"/>
  <c r="I33" i="20"/>
  <c r="L32" i="20"/>
  <c r="L47" i="20"/>
  <c r="M46" i="20"/>
  <c r="K46" i="20"/>
  <c r="K49" i="20"/>
  <c r="F32" i="20"/>
  <c r="F47" i="20"/>
  <c r="H33" i="20"/>
  <c r="I49" i="20"/>
  <c r="D33" i="20"/>
  <c r="U25" i="41"/>
  <c r="U26" i="41"/>
  <c r="U27" i="41"/>
  <c r="U28" i="41"/>
  <c r="W15" i="41"/>
  <c r="W16" i="41"/>
  <c r="V21" i="41"/>
  <c r="V22" i="41"/>
  <c r="Y21" i="42"/>
  <c r="Y22" i="42"/>
  <c r="AA14" i="42"/>
  <c r="Z18" i="42"/>
  <c r="Z20" i="42"/>
  <c r="M33" i="20"/>
  <c r="L49" i="20"/>
  <c r="J33" i="20"/>
  <c r="M49" i="20"/>
  <c r="J49" i="20"/>
  <c r="F33" i="20"/>
  <c r="C46" i="20"/>
  <c r="G33" i="20"/>
  <c r="E33" i="20"/>
  <c r="F49" i="20"/>
  <c r="L33" i="20"/>
  <c r="G49" i="20"/>
  <c r="A47" i="13"/>
  <c r="A49" i="13"/>
  <c r="U29" i="41"/>
  <c r="V25" i="41"/>
  <c r="V26" i="41"/>
  <c r="V27" i="41"/>
  <c r="V28" i="41"/>
  <c r="X14" i="41"/>
  <c r="W18" i="41"/>
  <c r="W20" i="41"/>
  <c r="Z21" i="42"/>
  <c r="Z22" i="42"/>
  <c r="AA15" i="42"/>
  <c r="AA16" i="42"/>
  <c r="C47" i="20"/>
  <c r="C49" i="20"/>
  <c r="C50" i="20"/>
  <c r="E16" i="13"/>
  <c r="F13" i="13"/>
  <c r="G13" i="13"/>
  <c r="H13" i="13"/>
  <c r="J13" i="13"/>
  <c r="K13" i="13"/>
  <c r="L13" i="13"/>
  <c r="M13" i="13"/>
  <c r="M17" i="13"/>
  <c r="L17" i="13"/>
  <c r="K17" i="13"/>
  <c r="J17" i="13"/>
  <c r="I17" i="13"/>
  <c r="H17" i="13"/>
  <c r="G17" i="13"/>
  <c r="F17" i="13"/>
  <c r="E17" i="13"/>
  <c r="D17" i="13"/>
  <c r="D7" i="13"/>
  <c r="E7" i="13"/>
  <c r="F7" i="13"/>
  <c r="G7" i="13"/>
  <c r="H7" i="13"/>
  <c r="I7" i="13"/>
  <c r="J7" i="13"/>
  <c r="K7" i="13"/>
  <c r="L7" i="13"/>
  <c r="V29" i="41"/>
  <c r="W21" i="41"/>
  <c r="W22" i="41"/>
  <c r="X15" i="41"/>
  <c r="X16" i="41"/>
  <c r="AB14" i="42"/>
  <c r="AA18" i="42"/>
  <c r="AA20" i="42"/>
  <c r="D18" i="13"/>
  <c r="D28" i="13"/>
  <c r="F61" i="11"/>
  <c r="F60" i="11"/>
  <c r="G61" i="11"/>
  <c r="F59" i="11"/>
  <c r="F58" i="11"/>
  <c r="F57" i="11"/>
  <c r="F56" i="11"/>
  <c r="G57" i="11"/>
  <c r="M55" i="11"/>
  <c r="F55" i="11"/>
  <c r="M54" i="11"/>
  <c r="F54" i="11"/>
  <c r="M53" i="11"/>
  <c r="F53" i="11"/>
  <c r="F52" i="11"/>
  <c r="F51" i="11"/>
  <c r="F50" i="11"/>
  <c r="F49" i="11"/>
  <c r="N48" i="11"/>
  <c r="F48" i="11"/>
  <c r="F47" i="11"/>
  <c r="F46" i="11"/>
  <c r="F45" i="11"/>
  <c r="F44" i="11"/>
  <c r="F43" i="11"/>
  <c r="K43" i="11"/>
  <c r="F42" i="11"/>
  <c r="K42" i="11"/>
  <c r="F41" i="11"/>
  <c r="F40" i="11"/>
  <c r="F39" i="11"/>
  <c r="F38" i="11"/>
  <c r="F37" i="11"/>
  <c r="F36" i="11"/>
  <c r="F35" i="11"/>
  <c r="F34" i="11"/>
  <c r="F33" i="11"/>
  <c r="F32" i="11"/>
  <c r="F31" i="11"/>
  <c r="L31" i="11"/>
  <c r="F30" i="11"/>
  <c r="M30" i="11"/>
  <c r="F29" i="11"/>
  <c r="M29" i="11"/>
  <c r="F28" i="11"/>
  <c r="M28" i="11"/>
  <c r="F27" i="11"/>
  <c r="M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M11" i="11"/>
  <c r="F10" i="11"/>
  <c r="G11" i="11"/>
  <c r="F9" i="11"/>
  <c r="F8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F7" i="11"/>
  <c r="F6" i="11"/>
  <c r="G6" i="11"/>
  <c r="M4" i="11"/>
  <c r="W25" i="41"/>
  <c r="W26" i="41"/>
  <c r="W27" i="41"/>
  <c r="W28" i="41"/>
  <c r="Y14" i="41"/>
  <c r="Y15" i="41"/>
  <c r="Y16" i="41"/>
  <c r="X18" i="41"/>
  <c r="X20" i="41"/>
  <c r="G13" i="11"/>
  <c r="G17" i="11"/>
  <c r="G19" i="11"/>
  <c r="G15" i="11"/>
  <c r="G23" i="11"/>
  <c r="G33" i="11"/>
  <c r="G37" i="11"/>
  <c r="G41" i="11"/>
  <c r="G47" i="11"/>
  <c r="G53" i="11"/>
  <c r="G55" i="11"/>
  <c r="G21" i="11"/>
  <c r="AA21" i="42"/>
  <c r="AA22" i="42"/>
  <c r="AB15" i="42"/>
  <c r="AB16" i="42"/>
  <c r="G25" i="11"/>
  <c r="G35" i="11"/>
  <c r="G39" i="11"/>
  <c r="G27" i="11"/>
  <c r="G29" i="11"/>
  <c r="G31" i="11"/>
  <c r="G45" i="11"/>
  <c r="G59" i="11"/>
  <c r="F64" i="11"/>
  <c r="G7" i="11"/>
  <c r="G51" i="11"/>
  <c r="G49" i="11"/>
  <c r="G9" i="11"/>
  <c r="G43" i="11"/>
  <c r="D21" i="13"/>
  <c r="D22" i="13"/>
  <c r="A11" i="11"/>
  <c r="M31" i="11"/>
  <c r="W29" i="41"/>
  <c r="X21" i="41"/>
  <c r="X22" i="41"/>
  <c r="Z14" i="41"/>
  <c r="Z15" i="41"/>
  <c r="Z16" i="41"/>
  <c r="Y18" i="41"/>
  <c r="Y20" i="41"/>
  <c r="AC14" i="42"/>
  <c r="AC15" i="42"/>
  <c r="AC16" i="42"/>
  <c r="AB18" i="42"/>
  <c r="AB20" i="42"/>
  <c r="D27" i="13"/>
  <c r="D30" i="13"/>
  <c r="D31" i="13"/>
  <c r="D26" i="13"/>
  <c r="A13" i="11"/>
  <c r="G64" i="11"/>
  <c r="X25" i="41"/>
  <c r="X26" i="41"/>
  <c r="X27" i="41"/>
  <c r="X28" i="41"/>
  <c r="Y21" i="41"/>
  <c r="Y22" i="41"/>
  <c r="AA14" i="41"/>
  <c r="AA15" i="41"/>
  <c r="AA16" i="41"/>
  <c r="Z18" i="41"/>
  <c r="Z20" i="41"/>
  <c r="C50" i="13"/>
  <c r="C48" i="42"/>
  <c r="AB21" i="42"/>
  <c r="AB22" i="42"/>
  <c r="AD14" i="42"/>
  <c r="AD15" i="42"/>
  <c r="AD16" i="42"/>
  <c r="AC18" i="42"/>
  <c r="AC20" i="42"/>
  <c r="A15" i="11"/>
  <c r="X29" i="41"/>
  <c r="Y25" i="41"/>
  <c r="Y26" i="41"/>
  <c r="Y27" i="41"/>
  <c r="Y28" i="41"/>
  <c r="Z21" i="41"/>
  <c r="Z22" i="41"/>
  <c r="AB14" i="41"/>
  <c r="AB15" i="41"/>
  <c r="AB16" i="41"/>
  <c r="AA18" i="41"/>
  <c r="AA20" i="41"/>
  <c r="AC21" i="42"/>
  <c r="AC22" i="42"/>
  <c r="AE14" i="42"/>
  <c r="AD18" i="42"/>
  <c r="AD20" i="42"/>
  <c r="D40" i="13"/>
  <c r="D41" i="13"/>
  <c r="D39" i="13"/>
  <c r="D42" i="13"/>
  <c r="D46" i="13"/>
  <c r="D47" i="13"/>
  <c r="A17" i="11"/>
  <c r="Y29" i="41"/>
  <c r="Z25" i="41"/>
  <c r="Z26" i="41"/>
  <c r="Z27" i="41"/>
  <c r="Z28" i="41"/>
  <c r="AA21" i="41"/>
  <c r="AA22" i="41"/>
  <c r="AC14" i="41"/>
  <c r="AC15" i="41"/>
  <c r="AC16" i="41"/>
  <c r="AB18" i="41"/>
  <c r="AB20" i="41"/>
  <c r="AD21" i="42"/>
  <c r="AD22" i="42"/>
  <c r="AE15" i="42"/>
  <c r="AE16" i="42"/>
  <c r="D43" i="13"/>
  <c r="C60" i="13"/>
  <c r="A19" i="11"/>
  <c r="Z29" i="41"/>
  <c r="AA25" i="41"/>
  <c r="AA26" i="41"/>
  <c r="AA27" i="41"/>
  <c r="AA28" i="41"/>
  <c r="AA29" i="41"/>
  <c r="AB21" i="41"/>
  <c r="AB22" i="41"/>
  <c r="AD14" i="41"/>
  <c r="AD15" i="41"/>
  <c r="AD16" i="41"/>
  <c r="AC18" i="41"/>
  <c r="AC20" i="41"/>
  <c r="AF14" i="42"/>
  <c r="AE18" i="42"/>
  <c r="AE20" i="42"/>
  <c r="A21" i="11"/>
  <c r="AB25" i="41"/>
  <c r="AB26" i="41"/>
  <c r="AB27" i="41"/>
  <c r="AB28" i="41"/>
  <c r="AB29" i="41"/>
  <c r="AC21" i="41"/>
  <c r="AC22" i="41"/>
  <c r="AE14" i="41"/>
  <c r="AD18" i="41"/>
  <c r="AD20" i="41"/>
  <c r="AE21" i="42"/>
  <c r="AE22" i="42"/>
  <c r="AF15" i="42"/>
  <c r="AF16" i="42"/>
  <c r="AF18" i="42"/>
  <c r="AF20" i="42"/>
  <c r="A23" i="11"/>
  <c r="AC25" i="41"/>
  <c r="AC26" i="41"/>
  <c r="AC27" i="41"/>
  <c r="AC28" i="41"/>
  <c r="AD21" i="41"/>
  <c r="AD22" i="41"/>
  <c r="AE15" i="41"/>
  <c r="AE16" i="41"/>
  <c r="AF21" i="42"/>
  <c r="AF22" i="42"/>
  <c r="A25" i="11"/>
  <c r="AC29" i="41"/>
  <c r="AD25" i="41"/>
  <c r="AD26" i="41"/>
  <c r="AD27" i="41"/>
  <c r="AD28" i="41"/>
  <c r="AF14" i="41"/>
  <c r="AE18" i="41"/>
  <c r="AE20" i="41"/>
  <c r="A27" i="11"/>
  <c r="A29" i="11"/>
  <c r="A31" i="11"/>
  <c r="A33" i="11"/>
  <c r="A35" i="11"/>
  <c r="A37" i="11"/>
  <c r="A39" i="11"/>
  <c r="A41" i="11"/>
  <c r="A43" i="11"/>
  <c r="A45" i="11"/>
  <c r="A47" i="11"/>
  <c r="A49" i="11"/>
  <c r="A51" i="11"/>
  <c r="A53" i="11"/>
  <c r="A55" i="11"/>
  <c r="A57" i="11"/>
  <c r="A59" i="11"/>
  <c r="A61" i="11"/>
  <c r="A63" i="11"/>
  <c r="AD29" i="41"/>
  <c r="AE21" i="41"/>
  <c r="AE22" i="41"/>
  <c r="AF15" i="41"/>
  <c r="AF16" i="41"/>
  <c r="AF18" i="41"/>
  <c r="AF20" i="41"/>
  <c r="AE25" i="41"/>
  <c r="AE26" i="41"/>
  <c r="AE27" i="41"/>
  <c r="AE28" i="41"/>
  <c r="AF21" i="41"/>
  <c r="AF22" i="41"/>
  <c r="AE29" i="41"/>
  <c r="AF25" i="41"/>
  <c r="AF26" i="41"/>
  <c r="AF27" i="41"/>
  <c r="AF28" i="41"/>
  <c r="AF29" i="41"/>
  <c r="D60" i="13"/>
  <c r="D48" i="13"/>
  <c r="B6" i="25"/>
  <c r="B59" i="40"/>
  <c r="C14" i="40"/>
  <c r="C26" i="40"/>
  <c r="C27" i="40"/>
  <c r="C41" i="40"/>
  <c r="C42" i="40"/>
  <c r="C46" i="40"/>
  <c r="C47" i="40"/>
  <c r="C60" i="40"/>
  <c r="C40" i="40"/>
  <c r="C39" i="40"/>
  <c r="C43" i="40"/>
  <c r="C48" i="40"/>
  <c r="B7" i="25"/>
  <c r="C50" i="40"/>
  <c r="X55" i="11"/>
  <c r="N47" i="42" s="1"/>
  <c r="N48" i="42" s="1"/>
  <c r="AG52" i="11"/>
  <c r="Q54" i="11"/>
  <c r="AQ53" i="11"/>
  <c r="C35" i="41"/>
  <c r="C39" i="41"/>
  <c r="C40" i="41"/>
  <c r="C32" i="41"/>
  <c r="C33" i="41"/>
  <c r="C34" i="41"/>
  <c r="AJ54" i="11"/>
  <c r="Z42" i="41" s="1"/>
  <c r="Z43" i="41" s="1"/>
  <c r="X54" i="11"/>
  <c r="N42" i="41" s="1"/>
  <c r="N43" i="41" s="1"/>
  <c r="N47" i="41" s="1"/>
  <c r="Y54" i="11"/>
  <c r="O42" i="66" s="1"/>
  <c r="O43" i="66" s="1"/>
  <c r="O46" i="66" s="1"/>
  <c r="AG54" i="11"/>
  <c r="W42" i="66" s="1"/>
  <c r="W43" i="66" s="1"/>
  <c r="W47" i="66" s="1"/>
  <c r="C36" i="41"/>
  <c r="L21" i="11"/>
  <c r="AB54" i="11"/>
  <c r="R42" i="66" s="1"/>
  <c r="R43" i="66" s="1"/>
  <c r="AN54" i="11"/>
  <c r="AD42" i="66" s="1"/>
  <c r="AD43" i="66" s="1"/>
  <c r="P54" i="11"/>
  <c r="F42" i="41" s="1"/>
  <c r="F43" i="41" s="1"/>
  <c r="F48" i="41" s="1"/>
  <c r="F67" i="42" s="1"/>
  <c r="AF54" i="11"/>
  <c r="AO54" i="11"/>
  <c r="AE42" i="41" s="1"/>
  <c r="AE43" i="41" s="1"/>
  <c r="N55" i="11"/>
  <c r="D47" i="68" s="1"/>
  <c r="D48" i="68" s="1"/>
  <c r="P55" i="11"/>
  <c r="Q55" i="11"/>
  <c r="G47" i="68" s="1"/>
  <c r="G48" i="68" s="1"/>
  <c r="AC54" i="11"/>
  <c r="S42" i="41" s="1"/>
  <c r="S43" i="41" s="1"/>
  <c r="S47" i="41" s="1"/>
  <c r="AK54" i="11"/>
  <c r="AA42" i="41" s="1"/>
  <c r="AA43" i="41" s="1"/>
  <c r="AA46" i="41" s="1"/>
  <c r="AA63" i="42" s="1"/>
  <c r="O54" i="11"/>
  <c r="E42" i="66" s="1"/>
  <c r="E43" i="66" s="1"/>
  <c r="C41" i="41"/>
  <c r="C53" i="41"/>
  <c r="AP53" i="11"/>
  <c r="AF49" i="64" s="1"/>
  <c r="AK53" i="11"/>
  <c r="AA49" i="40" s="1"/>
  <c r="AJ53" i="11"/>
  <c r="Z49" i="64" s="1"/>
  <c r="AO53" i="11"/>
  <c r="AE49" i="40" s="1"/>
  <c r="AN53" i="11"/>
  <c r="AD49" i="64" s="1"/>
  <c r="AM53" i="11"/>
  <c r="AC49" i="64" s="1"/>
  <c r="AI53" i="11"/>
  <c r="Y49" i="64" s="1"/>
  <c r="AG53" i="11"/>
  <c r="W49" i="40" s="1"/>
  <c r="AL53" i="11"/>
  <c r="AB49" i="40" s="1"/>
  <c r="AH53" i="11"/>
  <c r="X49" i="40" s="1"/>
  <c r="AD53" i="11"/>
  <c r="T49" i="64" s="1"/>
  <c r="W53" i="11"/>
  <c r="M49" i="64" s="1"/>
  <c r="X53" i="11"/>
  <c r="N49" i="40" s="1"/>
  <c r="T53" i="11"/>
  <c r="J49" i="64" s="1"/>
  <c r="AE53" i="11"/>
  <c r="U49" i="64" s="1"/>
  <c r="AC53" i="11"/>
  <c r="S49" i="40" s="1"/>
  <c r="Z53" i="11"/>
  <c r="P49" i="64" s="1"/>
  <c r="M18" i="11"/>
  <c r="Y53" i="11"/>
  <c r="O49" i="64" s="1"/>
  <c r="V53" i="11"/>
  <c r="L49" i="64" s="1"/>
  <c r="AF53" i="11"/>
  <c r="V49" i="40" s="1"/>
  <c r="AB53" i="11"/>
  <c r="R49" i="40" s="1"/>
  <c r="U53" i="11"/>
  <c r="K49" i="64" s="1"/>
  <c r="N54" i="11"/>
  <c r="D42" i="66" s="1"/>
  <c r="D43" i="66" s="1"/>
  <c r="Z54" i="11"/>
  <c r="P42" i="66" s="1"/>
  <c r="P43" i="66" s="1"/>
  <c r="AD54" i="11"/>
  <c r="T42" i="66" s="1"/>
  <c r="T43" i="66" s="1"/>
  <c r="AH54" i="11"/>
  <c r="AL54" i="11"/>
  <c r="AB42" i="41" s="1"/>
  <c r="AB43" i="41" s="1"/>
  <c r="AB47" i="41" s="1"/>
  <c r="AP54" i="11"/>
  <c r="AF42" i="66" s="1"/>
  <c r="AF43" i="66" s="1"/>
  <c r="AQ55" i="11"/>
  <c r="O53" i="11"/>
  <c r="S53" i="11"/>
  <c r="I49" i="64" s="1"/>
  <c r="AA53" i="11"/>
  <c r="Q49" i="64" s="1"/>
  <c r="AQ52" i="11"/>
  <c r="AM52" i="11"/>
  <c r="AC49" i="62" s="1"/>
  <c r="AL52" i="11"/>
  <c r="AB49" i="62" s="1"/>
  <c r="AO52" i="11"/>
  <c r="AE49" i="62" s="1"/>
  <c r="AP52" i="11"/>
  <c r="AF49" i="62" s="1"/>
  <c r="AK52" i="11"/>
  <c r="AA49" i="62" s="1"/>
  <c r="AJ52" i="11"/>
  <c r="Z49" i="62" s="1"/>
  <c r="AN52" i="11"/>
  <c r="AD49" i="62" s="1"/>
  <c r="AH52" i="11"/>
  <c r="Q52" i="11"/>
  <c r="G49" i="62" s="1"/>
  <c r="AA52" i="11"/>
  <c r="Q49" i="62" s="1"/>
  <c r="Z52" i="11"/>
  <c r="P49" i="62" s="1"/>
  <c r="Y52" i="11"/>
  <c r="O49" i="62" s="1"/>
  <c r="R52" i="11"/>
  <c r="H49" i="62" s="1"/>
  <c r="P52" i="11"/>
  <c r="F49" i="62" s="1"/>
  <c r="S52" i="11"/>
  <c r="I49" i="62" s="1"/>
  <c r="AF52" i="11"/>
  <c r="U52" i="11"/>
  <c r="K49" i="62" s="1"/>
  <c r="AD52" i="11"/>
  <c r="T49" i="62" s="1"/>
  <c r="AB52" i="11"/>
  <c r="R49" i="62" s="1"/>
  <c r="X52" i="11"/>
  <c r="N49" i="62" s="1"/>
  <c r="AI52" i="11"/>
  <c r="Y49" i="62" s="1"/>
  <c r="O52" i="11"/>
  <c r="E49" i="62" s="1"/>
  <c r="V52" i="11"/>
  <c r="L49" i="62" s="1"/>
  <c r="AE52" i="11"/>
  <c r="AC52" i="11"/>
  <c r="S49" i="62" s="1"/>
  <c r="M17" i="11"/>
  <c r="N53" i="11"/>
  <c r="D49" i="40" s="1"/>
  <c r="D50" i="40" s="1"/>
  <c r="G47" i="42"/>
  <c r="G48" i="42" s="1"/>
  <c r="G51" i="42" s="1"/>
  <c r="T52" i="11"/>
  <c r="J49" i="62" s="1"/>
  <c r="M19" i="11"/>
  <c r="M21" i="11" s="1"/>
  <c r="U54" i="11"/>
  <c r="K42" i="41" s="1"/>
  <c r="K43" i="41" s="1"/>
  <c r="K48" i="41" s="1"/>
  <c r="K67" i="42" s="1"/>
  <c r="T54" i="11"/>
  <c r="J42" i="66" s="1"/>
  <c r="J43" i="66" s="1"/>
  <c r="J48" i="66" s="1"/>
  <c r="J67" i="68" s="1"/>
  <c r="W54" i="11"/>
  <c r="M42" i="66" s="1"/>
  <c r="M43" i="66" s="1"/>
  <c r="M47" i="66" s="1"/>
  <c r="R54" i="11"/>
  <c r="H42" i="66" s="1"/>
  <c r="H43" i="66" s="1"/>
  <c r="AA54" i="11"/>
  <c r="Q42" i="41" s="1"/>
  <c r="Q43" i="41" s="1"/>
  <c r="Q48" i="41" s="1"/>
  <c r="Q67" i="42" s="1"/>
  <c r="AE54" i="11"/>
  <c r="AI54" i="11"/>
  <c r="Y42" i="41" s="1"/>
  <c r="Y43" i="41" s="1"/>
  <c r="Y46" i="41" s="1"/>
  <c r="AM54" i="11"/>
  <c r="AQ54" i="11"/>
  <c r="AM55" i="11"/>
  <c r="AL55" i="11"/>
  <c r="AO55" i="11"/>
  <c r="AE47" i="68" s="1"/>
  <c r="AE48" i="68" s="1"/>
  <c r="AN55" i="11"/>
  <c r="AD47" i="42" s="1"/>
  <c r="AD48" i="42" s="1"/>
  <c r="AD52" i="42" s="1"/>
  <c r="AJ55" i="11"/>
  <c r="AP55" i="11"/>
  <c r="AF47" i="42" s="1"/>
  <c r="AF48" i="42" s="1"/>
  <c r="AH55" i="11"/>
  <c r="AI55" i="11"/>
  <c r="Y47" i="68" s="1"/>
  <c r="Y48" i="68" s="1"/>
  <c r="AF55" i="11"/>
  <c r="AD55" i="11"/>
  <c r="T47" i="42" s="1"/>
  <c r="T48" i="42" s="1"/>
  <c r="T51" i="42" s="1"/>
  <c r="AA55" i="11"/>
  <c r="Y55" i="11"/>
  <c r="O47" i="68" s="1"/>
  <c r="O48" i="68" s="1"/>
  <c r="W55" i="11"/>
  <c r="M47" i="68" s="1"/>
  <c r="M48" i="68" s="1"/>
  <c r="M52" i="68" s="1"/>
  <c r="U55" i="11"/>
  <c r="S55" i="11"/>
  <c r="I47" i="68" s="1"/>
  <c r="I48" i="68" s="1"/>
  <c r="I52" i="68" s="1"/>
  <c r="AK55" i="11"/>
  <c r="AA47" i="68" s="1"/>
  <c r="AA48" i="68" s="1"/>
  <c r="AA52" i="68" s="1"/>
  <c r="AG55" i="11"/>
  <c r="W47" i="68" s="1"/>
  <c r="W48" i="68" s="1"/>
  <c r="AB55" i="11"/>
  <c r="R47" i="42" s="1"/>
  <c r="R48" i="42" s="1"/>
  <c r="Z55" i="11"/>
  <c r="P47" i="42" s="1"/>
  <c r="P48" i="42" s="1"/>
  <c r="M20" i="11"/>
  <c r="T55" i="11"/>
  <c r="J47" i="68" s="1"/>
  <c r="J48" i="68" s="1"/>
  <c r="J51" i="68" s="1"/>
  <c r="R55" i="11"/>
  <c r="H47" i="42" s="1"/>
  <c r="H48" i="42" s="1"/>
  <c r="H52" i="42" s="1"/>
  <c r="AE55" i="11"/>
  <c r="U47" i="42" s="1"/>
  <c r="U48" i="42" s="1"/>
  <c r="AC55" i="11"/>
  <c r="S47" i="42" s="1"/>
  <c r="S48" i="42" s="1"/>
  <c r="S52" i="42" s="1"/>
  <c r="V55" i="11"/>
  <c r="L47" i="68" s="1"/>
  <c r="L48" i="68" s="1"/>
  <c r="O55" i="11"/>
  <c r="E47" i="68" s="1"/>
  <c r="E48" i="68" s="1"/>
  <c r="Q53" i="11"/>
  <c r="G49" i="64" s="1"/>
  <c r="V54" i="11"/>
  <c r="L42" i="66" s="1"/>
  <c r="L43" i="66" s="1"/>
  <c r="P53" i="11"/>
  <c r="F49" i="40" s="1"/>
  <c r="S54" i="11"/>
  <c r="R53" i="11"/>
  <c r="H49" i="64" s="1"/>
  <c r="W52" i="11"/>
  <c r="M49" i="13" s="1"/>
  <c r="AD47" i="68"/>
  <c r="AD48" i="68" s="1"/>
  <c r="AD52" i="68" s="1"/>
  <c r="U47" i="68"/>
  <c r="U48" i="68" s="1"/>
  <c r="U52" i="68" s="1"/>
  <c r="AF47" i="68"/>
  <c r="AF48" i="68" s="1"/>
  <c r="AF52" i="68" s="1"/>
  <c r="W49" i="64"/>
  <c r="W42" i="41"/>
  <c r="W43" i="41" s="1"/>
  <c r="W46" i="41" s="1"/>
  <c r="AB49" i="64"/>
  <c r="V42" i="66"/>
  <c r="V43" i="66" s="1"/>
  <c r="V46" i="66" s="1"/>
  <c r="V63" i="68" s="1"/>
  <c r="V42" i="41"/>
  <c r="V43" i="41" s="1"/>
  <c r="N42" i="66"/>
  <c r="N43" i="66" s="1"/>
  <c r="N48" i="66" s="1"/>
  <c r="N67" i="68" s="1"/>
  <c r="Q42" i="66"/>
  <c r="Q43" i="66" s="1"/>
  <c r="Q46" i="66" s="1"/>
  <c r="Q63" i="68" s="1"/>
  <c r="R42" i="41"/>
  <c r="R43" i="41" s="1"/>
  <c r="R48" i="41" s="1"/>
  <c r="R67" i="42" s="1"/>
  <c r="C43" i="41"/>
  <c r="D49" i="13"/>
  <c r="D50" i="13" s="1"/>
  <c r="M42" i="41"/>
  <c r="M43" i="41" s="1"/>
  <c r="M47" i="41" s="1"/>
  <c r="E47" i="42"/>
  <c r="E48" i="42" s="1"/>
  <c r="E53" i="42" s="1"/>
  <c r="I49" i="13"/>
  <c r="B23" i="26"/>
  <c r="I49" i="40"/>
  <c r="K49" i="40"/>
  <c r="B9" i="25"/>
  <c r="B10" i="25"/>
  <c r="U51" i="68"/>
  <c r="AA51" i="68"/>
  <c r="U53" i="42" l="1"/>
  <c r="U51" i="42"/>
  <c r="F49" i="13"/>
  <c r="O42" i="41"/>
  <c r="O43" i="41" s="1"/>
  <c r="O48" i="41" s="1"/>
  <c r="O67" i="42" s="1"/>
  <c r="AB42" i="66"/>
  <c r="AB43" i="66" s="1"/>
  <c r="U53" i="68"/>
  <c r="M49" i="40"/>
  <c r="D42" i="41"/>
  <c r="D43" i="41" s="1"/>
  <c r="G52" i="42"/>
  <c r="E42" i="41"/>
  <c r="E43" i="41" s="1"/>
  <c r="T46" i="66"/>
  <c r="T63" i="68" s="1"/>
  <c r="T47" i="66"/>
  <c r="M47" i="42"/>
  <c r="M48" i="42" s="1"/>
  <c r="AF49" i="13"/>
  <c r="T42" i="41"/>
  <c r="T43" i="41" s="1"/>
  <c r="T48" i="41" s="1"/>
  <c r="T67" i="42" s="1"/>
  <c r="L47" i="42"/>
  <c r="L48" i="42" s="1"/>
  <c r="L52" i="42" s="1"/>
  <c r="O49" i="13"/>
  <c r="L42" i="41"/>
  <c r="L43" i="41" s="1"/>
  <c r="L46" i="41" s="1"/>
  <c r="L63" i="42" s="1"/>
  <c r="G53" i="42"/>
  <c r="N49" i="13"/>
  <c r="J49" i="40"/>
  <c r="R48" i="66"/>
  <c r="R67" i="68" s="1"/>
  <c r="R47" i="66"/>
  <c r="AF51" i="68"/>
  <c r="AB56" i="11"/>
  <c r="V49" i="64"/>
  <c r="AE47" i="42"/>
  <c r="AE48" i="42" s="1"/>
  <c r="AE53" i="42" s="1"/>
  <c r="AE57" i="42" s="1"/>
  <c r="AL56" i="11"/>
  <c r="AA53" i="68"/>
  <c r="AA54" i="68" s="1"/>
  <c r="AE49" i="13"/>
  <c r="AA49" i="13"/>
  <c r="Y56" i="11"/>
  <c r="H42" i="41"/>
  <c r="H43" i="41" s="1"/>
  <c r="H46" i="41" s="1"/>
  <c r="H63" i="42" s="1"/>
  <c r="S42" i="66"/>
  <c r="S43" i="66" s="1"/>
  <c r="S47" i="66" s="1"/>
  <c r="AF49" i="40"/>
  <c r="T49" i="40"/>
  <c r="W52" i="68"/>
  <c r="W53" i="68"/>
  <c r="W51" i="68"/>
  <c r="AF52" i="42"/>
  <c r="AF51" i="42"/>
  <c r="AF53" i="42"/>
  <c r="AF57" i="42" s="1"/>
  <c r="G51" i="68"/>
  <c r="G53" i="68"/>
  <c r="AA48" i="41"/>
  <c r="AA67" i="42" s="1"/>
  <c r="AD53" i="68"/>
  <c r="AB49" i="13"/>
  <c r="T49" i="13"/>
  <c r="L49" i="40"/>
  <c r="V56" i="11"/>
  <c r="J12" i="25" s="1"/>
  <c r="J47" i="42"/>
  <c r="J48" i="42" s="1"/>
  <c r="J52" i="42" s="1"/>
  <c r="F46" i="41"/>
  <c r="AP56" i="11"/>
  <c r="M48" i="66"/>
  <c r="M67" i="68" s="1"/>
  <c r="Z42" i="66"/>
  <c r="Z43" i="66" s="1"/>
  <c r="Z47" i="66" s="1"/>
  <c r="P47" i="68"/>
  <c r="P48" i="68" s="1"/>
  <c r="P51" i="68" s="1"/>
  <c r="AA47" i="41"/>
  <c r="R47" i="41"/>
  <c r="Z49" i="13"/>
  <c r="E49" i="13"/>
  <c r="F47" i="41"/>
  <c r="M46" i="66"/>
  <c r="M63" i="68" s="1"/>
  <c r="AA42" i="66"/>
  <c r="AA43" i="66" s="1"/>
  <c r="AA47" i="66" s="1"/>
  <c r="Y42" i="66"/>
  <c r="Y43" i="66" s="1"/>
  <c r="AE49" i="64"/>
  <c r="S49" i="64"/>
  <c r="T47" i="68"/>
  <c r="T48" i="68" s="1"/>
  <c r="T51" i="68" s="1"/>
  <c r="W47" i="42"/>
  <c r="W48" i="42" s="1"/>
  <c r="W51" i="42" s="1"/>
  <c r="S51" i="42"/>
  <c r="T53" i="42"/>
  <c r="T57" i="42" s="1"/>
  <c r="Q49" i="13"/>
  <c r="H49" i="40"/>
  <c r="AB47" i="68"/>
  <c r="AB48" i="68" s="1"/>
  <c r="AB51" i="68" s="1"/>
  <c r="Z48" i="41"/>
  <c r="Z67" i="42" s="1"/>
  <c r="Z47" i="41"/>
  <c r="L47" i="66"/>
  <c r="L48" i="66"/>
  <c r="L67" i="68" s="1"/>
  <c r="AF47" i="66"/>
  <c r="AF46" i="66"/>
  <c r="AF63" i="68" s="1"/>
  <c r="AF48" i="66"/>
  <c r="AF67" i="68" s="1"/>
  <c r="P51" i="42"/>
  <c r="P52" i="42"/>
  <c r="AE52" i="68"/>
  <c r="AE53" i="68"/>
  <c r="AE57" i="68" s="1"/>
  <c r="AE51" i="68"/>
  <c r="P48" i="66"/>
  <c r="P67" i="68" s="1"/>
  <c r="P46" i="66"/>
  <c r="P47" i="66"/>
  <c r="H48" i="41"/>
  <c r="H67" i="42" s="1"/>
  <c r="W48" i="41"/>
  <c r="W67" i="42" s="1"/>
  <c r="U54" i="68"/>
  <c r="U52" i="42"/>
  <c r="U54" i="42" s="1"/>
  <c r="AD56" i="11"/>
  <c r="AN56" i="11"/>
  <c r="R49" i="13"/>
  <c r="G54" i="42"/>
  <c r="R49" i="64"/>
  <c r="Q49" i="40"/>
  <c r="U49" i="40"/>
  <c r="AF42" i="41"/>
  <c r="AF43" i="41" s="1"/>
  <c r="AO56" i="11"/>
  <c r="AG56" i="11"/>
  <c r="H47" i="41"/>
  <c r="AJ56" i="11"/>
  <c r="P49" i="13"/>
  <c r="L49" i="13"/>
  <c r="R56" i="11"/>
  <c r="F12" i="25" s="1"/>
  <c r="D49" i="64"/>
  <c r="D50" i="64" s="1"/>
  <c r="P42" i="41"/>
  <c r="P43" i="41" s="1"/>
  <c r="P46" i="41" s="1"/>
  <c r="Z49" i="40"/>
  <c r="O49" i="40"/>
  <c r="O47" i="42"/>
  <c r="O48" i="42" s="1"/>
  <c r="O52" i="42" s="1"/>
  <c r="H47" i="68"/>
  <c r="H48" i="68" s="1"/>
  <c r="H51" i="68" s="1"/>
  <c r="Y49" i="40"/>
  <c r="F42" i="66"/>
  <c r="F43" i="66" s="1"/>
  <c r="AB46" i="66"/>
  <c r="AB47" i="66"/>
  <c r="AB48" i="66"/>
  <c r="AB67" i="68" s="1"/>
  <c r="AD48" i="66"/>
  <c r="AD67" i="68" s="1"/>
  <c r="AD46" i="66"/>
  <c r="AD63" i="68" s="1"/>
  <c r="AD47" i="66"/>
  <c r="O52" i="68"/>
  <c r="O53" i="68"/>
  <c r="O57" i="68" s="1"/>
  <c r="O51" i="68"/>
  <c r="O54" i="68" s="1"/>
  <c r="Y52" i="68"/>
  <c r="Y53" i="68"/>
  <c r="Y57" i="68" s="1"/>
  <c r="Y51" i="68"/>
  <c r="W63" i="42"/>
  <c r="R53" i="42"/>
  <c r="R57" i="42" s="1"/>
  <c r="R52" i="42"/>
  <c r="R51" i="42"/>
  <c r="W47" i="41"/>
  <c r="AF53" i="68"/>
  <c r="AF57" i="68" s="1"/>
  <c r="G49" i="13"/>
  <c r="Z56" i="11"/>
  <c r="U56" i="11"/>
  <c r="I12" i="25" s="1"/>
  <c r="AC56" i="11"/>
  <c r="I47" i="42"/>
  <c r="I48" i="42" s="1"/>
  <c r="I53" i="42" s="1"/>
  <c r="AE42" i="66"/>
  <c r="AE43" i="66" s="1"/>
  <c r="AE47" i="66" s="1"/>
  <c r="P49" i="40"/>
  <c r="R47" i="68"/>
  <c r="R48" i="68" s="1"/>
  <c r="G52" i="68"/>
  <c r="Y47" i="42"/>
  <c r="Y48" i="42" s="1"/>
  <c r="AA47" i="42"/>
  <c r="AA48" i="42" s="1"/>
  <c r="AA52" i="42" s="1"/>
  <c r="AA56" i="11"/>
  <c r="K42" i="66"/>
  <c r="K43" i="66" s="1"/>
  <c r="AQ56" i="11"/>
  <c r="AI56" i="11"/>
  <c r="T56" i="11"/>
  <c r="H12" i="25" s="1"/>
  <c r="AC49" i="13"/>
  <c r="S49" i="13"/>
  <c r="AD42" i="41"/>
  <c r="AD43" i="41" s="1"/>
  <c r="S47" i="68"/>
  <c r="S48" i="68" s="1"/>
  <c r="Z46" i="41"/>
  <c r="Z63" i="42" s="1"/>
  <c r="Q47" i="66"/>
  <c r="AD51" i="68"/>
  <c r="K49" i="13"/>
  <c r="R46" i="41"/>
  <c r="R63" i="42" s="1"/>
  <c r="Y49" i="13"/>
  <c r="J42" i="41"/>
  <c r="J43" i="41" s="1"/>
  <c r="AK56" i="11"/>
  <c r="J49" i="13"/>
  <c r="H49" i="13"/>
  <c r="AA49" i="64"/>
  <c r="L46" i="66"/>
  <c r="T52" i="42"/>
  <c r="J53" i="68"/>
  <c r="T53" i="68"/>
  <c r="T57" i="68" s="1"/>
  <c r="Q56" i="11"/>
  <c r="E12" i="25" s="1"/>
  <c r="P53" i="42"/>
  <c r="P54" i="42" s="1"/>
  <c r="AM56" i="11"/>
  <c r="AC49" i="40"/>
  <c r="P48" i="41"/>
  <c r="P67" i="42" s="1"/>
  <c r="K47" i="68"/>
  <c r="K48" i="68" s="1"/>
  <c r="K52" i="68" s="1"/>
  <c r="K47" i="42"/>
  <c r="K48" i="42" s="1"/>
  <c r="K51" i="42" s="1"/>
  <c r="X47" i="42"/>
  <c r="X48" i="42" s="1"/>
  <c r="X47" i="68"/>
  <c r="X48" i="68" s="1"/>
  <c r="U49" i="62"/>
  <c r="U49" i="13"/>
  <c r="AE56" i="11"/>
  <c r="V49" i="62"/>
  <c r="V49" i="13"/>
  <c r="AF56" i="11"/>
  <c r="X49" i="62"/>
  <c r="X49" i="13"/>
  <c r="AH56" i="11"/>
  <c r="N53" i="42"/>
  <c r="N52" i="42"/>
  <c r="N51" i="42"/>
  <c r="AD51" i="42"/>
  <c r="AD53" i="42"/>
  <c r="AD57" i="42" s="1"/>
  <c r="M49" i="62"/>
  <c r="W56" i="11"/>
  <c r="K12" i="25" s="1"/>
  <c r="X42" i="66"/>
  <c r="X43" i="66" s="1"/>
  <c r="X42" i="41"/>
  <c r="X43" i="41" s="1"/>
  <c r="AA49" i="41"/>
  <c r="S53" i="42"/>
  <c r="S54" i="42" s="1"/>
  <c r="K47" i="41"/>
  <c r="K46" i="41"/>
  <c r="G49" i="40"/>
  <c r="X49" i="64"/>
  <c r="N46" i="66"/>
  <c r="N47" i="66"/>
  <c r="N49" i="64"/>
  <c r="D49" i="62"/>
  <c r="D50" i="62" s="1"/>
  <c r="N56" i="11"/>
  <c r="B12" i="25" s="1"/>
  <c r="F47" i="42"/>
  <c r="F48" i="42" s="1"/>
  <c r="F47" i="68"/>
  <c r="F48" i="68" s="1"/>
  <c r="W46" i="66"/>
  <c r="W48" i="66"/>
  <c r="W67" i="68" s="1"/>
  <c r="F49" i="64"/>
  <c r="P56" i="11"/>
  <c r="D12" i="25" s="1"/>
  <c r="E49" i="64"/>
  <c r="E49" i="40"/>
  <c r="O56" i="11"/>
  <c r="C12" i="25" s="1"/>
  <c r="R46" i="66"/>
  <c r="X56" i="11"/>
  <c r="I42" i="66"/>
  <c r="I43" i="66" s="1"/>
  <c r="I46" i="66" s="1"/>
  <c r="I42" i="41"/>
  <c r="I43" i="41" s="1"/>
  <c r="I48" i="41" s="1"/>
  <c r="I67" i="42" s="1"/>
  <c r="S48" i="41"/>
  <c r="S67" i="42" s="1"/>
  <c r="S46" i="41"/>
  <c r="AB47" i="42"/>
  <c r="AB48" i="42" s="1"/>
  <c r="N47" i="68"/>
  <c r="N48" i="68" s="1"/>
  <c r="N52" i="68" s="1"/>
  <c r="AD49" i="13"/>
  <c r="S56" i="11"/>
  <c r="G12" i="25" s="1"/>
  <c r="D47" i="42"/>
  <c r="D48" i="42" s="1"/>
  <c r="AD49" i="40"/>
  <c r="M52" i="42"/>
  <c r="M53" i="42"/>
  <c r="M51" i="42"/>
  <c r="H48" i="66"/>
  <c r="H67" i="68" s="1"/>
  <c r="H46" i="66"/>
  <c r="H47" i="66"/>
  <c r="V47" i="66"/>
  <c r="V48" i="66"/>
  <c r="V67" i="68" s="1"/>
  <c r="Y48" i="41"/>
  <c r="Y67" i="42" s="1"/>
  <c r="Y47" i="41"/>
  <c r="Z46" i="66"/>
  <c r="L52" i="68"/>
  <c r="L51" i="68"/>
  <c r="L53" i="68"/>
  <c r="E48" i="41"/>
  <c r="E67" i="42" s="1"/>
  <c r="E46" i="41"/>
  <c r="AE47" i="41"/>
  <c r="AE48" i="41"/>
  <c r="AE67" i="42" s="1"/>
  <c r="V48" i="41"/>
  <c r="V67" i="42" s="1"/>
  <c r="V46" i="41"/>
  <c r="M48" i="41"/>
  <c r="M67" i="42" s="1"/>
  <c r="M46" i="41"/>
  <c r="O48" i="66"/>
  <c r="O67" i="68" s="1"/>
  <c r="O47" i="66"/>
  <c r="O63" i="68"/>
  <c r="P63" i="68"/>
  <c r="H51" i="42"/>
  <c r="Q48" i="66"/>
  <c r="Q52" i="66" s="1"/>
  <c r="Q54" i="66" s="1"/>
  <c r="V47" i="41"/>
  <c r="T48" i="66"/>
  <c r="T67" i="68" s="1"/>
  <c r="K52" i="42"/>
  <c r="Q47" i="41"/>
  <c r="Q46" i="41"/>
  <c r="N48" i="41"/>
  <c r="N67" i="42" s="1"/>
  <c r="N46" i="41"/>
  <c r="E51" i="42"/>
  <c r="E52" i="42"/>
  <c r="AB48" i="41"/>
  <c r="AB67" i="42" s="1"/>
  <c r="AB46" i="41"/>
  <c r="S63" i="42"/>
  <c r="Y63" i="42"/>
  <c r="H53" i="42"/>
  <c r="E47" i="41"/>
  <c r="AE46" i="41"/>
  <c r="J46" i="66"/>
  <c r="J47" i="66"/>
  <c r="I51" i="68"/>
  <c r="M53" i="68"/>
  <c r="W49" i="13"/>
  <c r="W49" i="62"/>
  <c r="J52" i="68"/>
  <c r="I53" i="68"/>
  <c r="M51" i="68"/>
  <c r="Q47" i="68"/>
  <c r="Q48" i="68" s="1"/>
  <c r="Q47" i="42"/>
  <c r="Q48" i="42" s="1"/>
  <c r="AC42" i="66"/>
  <c r="AC43" i="66" s="1"/>
  <c r="AC42" i="41"/>
  <c r="AC43" i="41" s="1"/>
  <c r="F52" i="41"/>
  <c r="F54" i="41" s="1"/>
  <c r="V47" i="42"/>
  <c r="V48" i="42" s="1"/>
  <c r="V47" i="68"/>
  <c r="V48" i="68" s="1"/>
  <c r="Z47" i="42"/>
  <c r="Z48" i="42" s="1"/>
  <c r="Z47" i="68"/>
  <c r="Z48" i="68" s="1"/>
  <c r="AC47" i="68"/>
  <c r="AC48" i="68" s="1"/>
  <c r="AC47" i="42"/>
  <c r="AC48" i="42" s="1"/>
  <c r="U42" i="66"/>
  <c r="U43" i="66" s="1"/>
  <c r="U42" i="41"/>
  <c r="U43" i="41" s="1"/>
  <c r="G42" i="66"/>
  <c r="G43" i="66" s="1"/>
  <c r="G42" i="41"/>
  <c r="G43" i="41" s="1"/>
  <c r="S57" i="42"/>
  <c r="F59" i="64"/>
  <c r="F61" i="64" s="1"/>
  <c r="F59" i="62"/>
  <c r="F61" i="62" s="1"/>
  <c r="E52" i="66"/>
  <c r="E54" i="66" s="1"/>
  <c r="E52" i="67"/>
  <c r="E54" i="67" s="1"/>
  <c r="E18" i="63"/>
  <c r="E20" i="63" s="1"/>
  <c r="E28" i="63" s="1"/>
  <c r="F14" i="58"/>
  <c r="R52" i="41"/>
  <c r="R54" i="41" s="1"/>
  <c r="F59" i="65"/>
  <c r="F61" i="65" s="1"/>
  <c r="AD57" i="68"/>
  <c r="U57" i="42"/>
  <c r="K52" i="41"/>
  <c r="K54" i="41" s="1"/>
  <c r="Q52" i="41"/>
  <c r="Q54" i="41" s="1"/>
  <c r="N52" i="66"/>
  <c r="N54" i="66" s="1"/>
  <c r="U57" i="68"/>
  <c r="N57" i="42"/>
  <c r="F52" i="66"/>
  <c r="F54" i="66" s="1"/>
  <c r="J52" i="66"/>
  <c r="J54" i="66" s="1"/>
  <c r="AA57" i="68"/>
  <c r="E59" i="63"/>
  <c r="E61" i="63" s="1"/>
  <c r="G14" i="62"/>
  <c r="F18" i="62"/>
  <c r="F20" i="62" s="1"/>
  <c r="E22" i="62"/>
  <c r="F14" i="40"/>
  <c r="F15" i="40" s="1"/>
  <c r="E18" i="69"/>
  <c r="E20" i="69" s="1"/>
  <c r="F16" i="69"/>
  <c r="F14" i="67"/>
  <c r="E18" i="67"/>
  <c r="E20" i="67" s="1"/>
  <c r="F15" i="63"/>
  <c r="F16" i="63" s="1"/>
  <c r="E18" i="61"/>
  <c r="E20" i="61" s="1"/>
  <c r="F14" i="61"/>
  <c r="E18" i="60"/>
  <c r="E20" i="60" s="1"/>
  <c r="F14" i="60"/>
  <c r="E21" i="58"/>
  <c r="E22" i="58" s="1"/>
  <c r="E28" i="58"/>
  <c r="E18" i="59"/>
  <c r="E20" i="59" s="1"/>
  <c r="F14" i="59"/>
  <c r="F14" i="64"/>
  <c r="F15" i="64" s="1"/>
  <c r="F16" i="64" s="1"/>
  <c r="E28" i="64"/>
  <c r="E21" i="64"/>
  <c r="E22" i="64" s="1"/>
  <c r="F14" i="65"/>
  <c r="F15" i="65" s="1"/>
  <c r="E18" i="65"/>
  <c r="E20" i="65" s="1"/>
  <c r="E28" i="40"/>
  <c r="E22" i="40"/>
  <c r="E18" i="13"/>
  <c r="E20" i="13" s="1"/>
  <c r="F14" i="13"/>
  <c r="L53" i="42" l="1"/>
  <c r="AE52" i="42"/>
  <c r="T47" i="41"/>
  <c r="AE51" i="42"/>
  <c r="O52" i="41"/>
  <c r="O54" i="41" s="1"/>
  <c r="M52" i="41"/>
  <c r="M54" i="41" s="1"/>
  <c r="O47" i="41"/>
  <c r="O46" i="41"/>
  <c r="O63" i="42" s="1"/>
  <c r="W52" i="66"/>
  <c r="W54" i="66" s="1"/>
  <c r="S52" i="41"/>
  <c r="S54" i="41" s="1"/>
  <c r="AA48" i="66"/>
  <c r="AA67" i="68" s="1"/>
  <c r="K53" i="42"/>
  <c r="K54" i="42" s="1"/>
  <c r="T46" i="41"/>
  <c r="Z48" i="66"/>
  <c r="Z67" i="68" s="1"/>
  <c r="T52" i="68"/>
  <c r="T54" i="68" s="1"/>
  <c r="G54" i="68"/>
  <c r="W54" i="68"/>
  <c r="I52" i="41"/>
  <c r="I54" i="41" s="1"/>
  <c r="E52" i="41"/>
  <c r="E54" i="41" s="1"/>
  <c r="AA46" i="66"/>
  <c r="AA49" i="66" s="1"/>
  <c r="L51" i="42"/>
  <c r="AF49" i="66"/>
  <c r="AE54" i="68"/>
  <c r="P47" i="41"/>
  <c r="T54" i="42"/>
  <c r="AD54" i="68"/>
  <c r="W49" i="41"/>
  <c r="AF54" i="42"/>
  <c r="Z52" i="41"/>
  <c r="Z54" i="41" s="1"/>
  <c r="W57" i="68"/>
  <c r="M52" i="66"/>
  <c r="M54" i="66" s="1"/>
  <c r="T52" i="66"/>
  <c r="T54" i="66" s="1"/>
  <c r="R52" i="66"/>
  <c r="R54" i="66" s="1"/>
  <c r="H53" i="68"/>
  <c r="S46" i="66"/>
  <c r="AE54" i="42"/>
  <c r="L47" i="41"/>
  <c r="V52" i="41"/>
  <c r="V54" i="41" s="1"/>
  <c r="P57" i="42"/>
  <c r="M54" i="68"/>
  <c r="S48" i="66"/>
  <c r="S67" i="68" s="1"/>
  <c r="P52" i="66"/>
  <c r="P54" i="66" s="1"/>
  <c r="L48" i="41"/>
  <c r="H49" i="41"/>
  <c r="AB52" i="41"/>
  <c r="AB54" i="41" s="1"/>
  <c r="W52" i="41"/>
  <c r="W54" i="41" s="1"/>
  <c r="AA52" i="41"/>
  <c r="AA54" i="41" s="1"/>
  <c r="H52" i="41"/>
  <c r="H54" i="41" s="1"/>
  <c r="L52" i="66"/>
  <c r="L54" i="66" s="1"/>
  <c r="H52" i="68"/>
  <c r="J54" i="68"/>
  <c r="V49" i="66"/>
  <c r="C39" i="26"/>
  <c r="C43" i="26" s="1"/>
  <c r="M49" i="66"/>
  <c r="AD49" i="66"/>
  <c r="P49" i="66"/>
  <c r="Y46" i="66"/>
  <c r="Y47" i="66"/>
  <c r="Y48" i="66"/>
  <c r="AB52" i="66"/>
  <c r="AB54" i="66" s="1"/>
  <c r="W53" i="42"/>
  <c r="W57" i="42" s="1"/>
  <c r="J53" i="42"/>
  <c r="J54" i="42" s="1"/>
  <c r="J51" i="42"/>
  <c r="P53" i="68"/>
  <c r="P57" i="68" s="1"/>
  <c r="P52" i="68"/>
  <c r="I52" i="42"/>
  <c r="W52" i="42"/>
  <c r="F49" i="41"/>
  <c r="F63" i="42"/>
  <c r="AF52" i="66"/>
  <c r="AF54" i="66" s="1"/>
  <c r="I51" i="42"/>
  <c r="AB53" i="68"/>
  <c r="AB57" i="68" s="1"/>
  <c r="AB52" i="68"/>
  <c r="AA52" i="66"/>
  <c r="AA54" i="66" s="1"/>
  <c r="AA53" i="42"/>
  <c r="AA57" i="42" s="1"/>
  <c r="R54" i="42"/>
  <c r="AF47" i="41"/>
  <c r="AF48" i="41"/>
  <c r="AF46" i="41"/>
  <c r="Y52" i="41"/>
  <c r="Y54" i="41" s="1"/>
  <c r="K51" i="68"/>
  <c r="AA51" i="42"/>
  <c r="O53" i="42"/>
  <c r="O57" i="42" s="1"/>
  <c r="O51" i="42"/>
  <c r="I47" i="66"/>
  <c r="O49" i="66"/>
  <c r="L54" i="68"/>
  <c r="Y49" i="41"/>
  <c r="AF54" i="68"/>
  <c r="AD47" i="41"/>
  <c r="AD46" i="41"/>
  <c r="AD48" i="41"/>
  <c r="R53" i="68"/>
  <c r="R57" i="68" s="1"/>
  <c r="R51" i="68"/>
  <c r="R52" i="68"/>
  <c r="T52" i="41"/>
  <c r="T54" i="41" s="1"/>
  <c r="I47" i="41"/>
  <c r="L49" i="66"/>
  <c r="L63" i="68"/>
  <c r="Z49" i="41"/>
  <c r="Y54" i="68"/>
  <c r="N53" i="68"/>
  <c r="N57" i="68" s="1"/>
  <c r="I46" i="41"/>
  <c r="J47" i="41"/>
  <c r="J48" i="41"/>
  <c r="J46" i="41"/>
  <c r="Y52" i="42"/>
  <c r="Y53" i="42"/>
  <c r="Y57" i="42" s="1"/>
  <c r="Y51" i="42"/>
  <c r="AE46" i="66"/>
  <c r="AE63" i="68" s="1"/>
  <c r="AE48" i="66"/>
  <c r="R49" i="41"/>
  <c r="AD52" i="66"/>
  <c r="AD54" i="66" s="1"/>
  <c r="N51" i="68"/>
  <c r="N54" i="68" s="1"/>
  <c r="S52" i="68"/>
  <c r="S51" i="68"/>
  <c r="S53" i="68"/>
  <c r="S57" i="68" s="1"/>
  <c r="K48" i="66"/>
  <c r="K46" i="66"/>
  <c r="K47" i="66"/>
  <c r="AB49" i="66"/>
  <c r="AB63" i="68"/>
  <c r="I54" i="68"/>
  <c r="S63" i="68"/>
  <c r="X47" i="41"/>
  <c r="X46" i="41"/>
  <c r="X48" i="41"/>
  <c r="X52" i="42"/>
  <c r="X51" i="42"/>
  <c r="X53" i="42"/>
  <c r="X57" i="42" s="1"/>
  <c r="H52" i="66"/>
  <c r="H54" i="66" s="1"/>
  <c r="P52" i="41"/>
  <c r="P54" i="41" s="1"/>
  <c r="N52" i="41"/>
  <c r="N54" i="41" s="1"/>
  <c r="Z52" i="66"/>
  <c r="Z54" i="66" s="1"/>
  <c r="V52" i="66"/>
  <c r="V54" i="66" s="1"/>
  <c r="H54" i="68"/>
  <c r="K53" i="68"/>
  <c r="I48" i="66"/>
  <c r="L54" i="42"/>
  <c r="H54" i="42"/>
  <c r="R49" i="66"/>
  <c r="R63" i="68"/>
  <c r="W63" i="68"/>
  <c r="W49" i="66"/>
  <c r="X47" i="66"/>
  <c r="X46" i="66"/>
  <c r="X48" i="66"/>
  <c r="AD54" i="42"/>
  <c r="Q67" i="68"/>
  <c r="Q49" i="66"/>
  <c r="AB51" i="42"/>
  <c r="AB53" i="42"/>
  <c r="AB57" i="42" s="1"/>
  <c r="AB52" i="42"/>
  <c r="I63" i="68"/>
  <c r="T49" i="66"/>
  <c r="M54" i="42"/>
  <c r="S49" i="41"/>
  <c r="F52" i="42"/>
  <c r="F51" i="42"/>
  <c r="F53" i="42"/>
  <c r="N63" i="68"/>
  <c r="N49" i="66"/>
  <c r="K63" i="42"/>
  <c r="K49" i="41"/>
  <c r="N54" i="42"/>
  <c r="X51" i="68"/>
  <c r="X53" i="68"/>
  <c r="X57" i="68" s="1"/>
  <c r="X52" i="68"/>
  <c r="V49" i="41"/>
  <c r="V63" i="42"/>
  <c r="O52" i="66"/>
  <c r="O54" i="66" s="1"/>
  <c r="AE52" i="41"/>
  <c r="AE54" i="41" s="1"/>
  <c r="U46" i="66"/>
  <c r="U48" i="66"/>
  <c r="U47" i="66"/>
  <c r="Z53" i="42"/>
  <c r="Z57" i="42" s="1"/>
  <c r="Z52" i="42"/>
  <c r="Z51" i="42"/>
  <c r="AC48" i="66"/>
  <c r="AC46" i="66"/>
  <c r="AC47" i="66"/>
  <c r="AE49" i="41"/>
  <c r="AE63" i="42"/>
  <c r="E54" i="42"/>
  <c r="M49" i="41"/>
  <c r="M63" i="42"/>
  <c r="Z49" i="66"/>
  <c r="Z63" i="68"/>
  <c r="U46" i="41"/>
  <c r="U47" i="41"/>
  <c r="U48" i="41"/>
  <c r="Z51" i="68"/>
  <c r="Z53" i="68"/>
  <c r="Z57" i="68" s="1"/>
  <c r="Z52" i="68"/>
  <c r="AC47" i="41"/>
  <c r="AC46" i="41"/>
  <c r="AC48" i="41"/>
  <c r="Q63" i="42"/>
  <c r="Q49" i="41"/>
  <c r="E49" i="41"/>
  <c r="E63" i="42"/>
  <c r="H49" i="66"/>
  <c r="H63" i="68"/>
  <c r="G46" i="41"/>
  <c r="G48" i="41"/>
  <c r="G47" i="41"/>
  <c r="AC52" i="42"/>
  <c r="AC53" i="42"/>
  <c r="AC57" i="42" s="1"/>
  <c r="AC51" i="42"/>
  <c r="V53" i="68"/>
  <c r="V57" i="68" s="1"/>
  <c r="V52" i="68"/>
  <c r="V51" i="68"/>
  <c r="Q51" i="42"/>
  <c r="Q52" i="42"/>
  <c r="Q53" i="42"/>
  <c r="Q57" i="42" s="1"/>
  <c r="J63" i="68"/>
  <c r="J49" i="66"/>
  <c r="AB49" i="41"/>
  <c r="AB63" i="42"/>
  <c r="N63" i="42"/>
  <c r="N49" i="41"/>
  <c r="T63" i="42"/>
  <c r="G46" i="66"/>
  <c r="G47" i="66"/>
  <c r="G48" i="66"/>
  <c r="AC53" i="68"/>
  <c r="AC57" i="68" s="1"/>
  <c r="AC52" i="68"/>
  <c r="AC51" i="68"/>
  <c r="V51" i="42"/>
  <c r="V52" i="42"/>
  <c r="V53" i="42"/>
  <c r="V57" i="42" s="1"/>
  <c r="Q51" i="68"/>
  <c r="Q52" i="68"/>
  <c r="Q53" i="68"/>
  <c r="Q57" i="68" s="1"/>
  <c r="P63" i="42"/>
  <c r="P49" i="41"/>
  <c r="E21" i="63"/>
  <c r="E22" i="63" s="1"/>
  <c r="E26" i="63" s="1"/>
  <c r="F15" i="58"/>
  <c r="F16" i="58" s="1"/>
  <c r="E27" i="62"/>
  <c r="E26" i="62"/>
  <c r="E36" i="62"/>
  <c r="F28" i="62"/>
  <c r="F22" i="62"/>
  <c r="F21" i="62"/>
  <c r="G15" i="62"/>
  <c r="G16" i="62"/>
  <c r="F16" i="40"/>
  <c r="E21" i="69"/>
  <c r="E22" i="69" s="1"/>
  <c r="G14" i="69"/>
  <c r="F18" i="69"/>
  <c r="F20" i="69" s="1"/>
  <c r="E21" i="67"/>
  <c r="E22" i="67"/>
  <c r="F15" i="67"/>
  <c r="F16" i="67"/>
  <c r="E27" i="63"/>
  <c r="F18" i="63"/>
  <c r="F20" i="63" s="1"/>
  <c r="G14" i="63"/>
  <c r="E30" i="63"/>
  <c r="E31" i="63"/>
  <c r="E21" i="61"/>
  <c r="E22" i="61" s="1"/>
  <c r="F15" i="61"/>
  <c r="F16" i="61"/>
  <c r="F15" i="60"/>
  <c r="F16" i="60" s="1"/>
  <c r="E21" i="60"/>
  <c r="E22" i="60"/>
  <c r="E27" i="58"/>
  <c r="E26" i="58"/>
  <c r="E30" i="58"/>
  <c r="E31" i="58"/>
  <c r="F15" i="59"/>
  <c r="F16" i="59" s="1"/>
  <c r="E21" i="59"/>
  <c r="E28" i="59"/>
  <c r="E22" i="59"/>
  <c r="E27" i="64"/>
  <c r="D49" i="70" s="1"/>
  <c r="E26" i="64"/>
  <c r="D48" i="70" s="1"/>
  <c r="G14" i="64"/>
  <c r="F18" i="64"/>
  <c r="F20" i="64" s="1"/>
  <c r="E30" i="64"/>
  <c r="D51" i="70" s="1"/>
  <c r="E31" i="64"/>
  <c r="F16" i="65"/>
  <c r="E28" i="65"/>
  <c r="E21" i="65"/>
  <c r="E22" i="65" s="1"/>
  <c r="E27" i="40"/>
  <c r="D11" i="70" s="1"/>
  <c r="E26" i="40"/>
  <c r="D10" i="70" s="1"/>
  <c r="E30" i="40"/>
  <c r="D13" i="70" s="1"/>
  <c r="E31" i="40"/>
  <c r="D14" i="70" s="1"/>
  <c r="F15" i="13"/>
  <c r="F16" i="13" s="1"/>
  <c r="E28" i="13"/>
  <c r="E21" i="13"/>
  <c r="E22" i="13" s="1"/>
  <c r="O49" i="41" l="1"/>
  <c r="AA63" i="68"/>
  <c r="AA54" i="42"/>
  <c r="O54" i="42"/>
  <c r="P54" i="68"/>
  <c r="T49" i="41"/>
  <c r="S52" i="66"/>
  <c r="S54" i="66" s="1"/>
  <c r="S49" i="66"/>
  <c r="AB54" i="68"/>
  <c r="I54" i="42"/>
  <c r="L67" i="42"/>
  <c r="L52" i="41"/>
  <c r="L54" i="41" s="1"/>
  <c r="F54" i="42"/>
  <c r="I49" i="41"/>
  <c r="L49" i="41"/>
  <c r="W54" i="42"/>
  <c r="I63" i="42"/>
  <c r="S54" i="68"/>
  <c r="K54" i="68"/>
  <c r="Y67" i="68"/>
  <c r="Y52" i="66"/>
  <c r="Y54" i="66" s="1"/>
  <c r="Y63" i="68"/>
  <c r="Y49" i="66"/>
  <c r="E36" i="64"/>
  <c r="D52" i="70"/>
  <c r="I49" i="66"/>
  <c r="AC54" i="68"/>
  <c r="Q54" i="42"/>
  <c r="AF63" i="42"/>
  <c r="AF49" i="41"/>
  <c r="Y54" i="42"/>
  <c r="R54" i="68"/>
  <c r="AF67" i="42"/>
  <c r="AF52" i="41"/>
  <c r="AF54" i="41" s="1"/>
  <c r="K63" i="68"/>
  <c r="K49" i="66"/>
  <c r="K67" i="68"/>
  <c r="K52" i="66"/>
  <c r="K54" i="66" s="1"/>
  <c r="AE67" i="68"/>
  <c r="AE52" i="66"/>
  <c r="AE54" i="66" s="1"/>
  <c r="AD67" i="42"/>
  <c r="AD52" i="41"/>
  <c r="AD54" i="41" s="1"/>
  <c r="J63" i="42"/>
  <c r="J49" i="41"/>
  <c r="AD63" i="42"/>
  <c r="AD49" i="41"/>
  <c r="AE49" i="66"/>
  <c r="J67" i="42"/>
  <c r="J52" i="41"/>
  <c r="J54" i="41" s="1"/>
  <c r="Q54" i="68"/>
  <c r="V54" i="68"/>
  <c r="Z54" i="42"/>
  <c r="AB54" i="42"/>
  <c r="X54" i="42"/>
  <c r="V54" i="42"/>
  <c r="Z54" i="68"/>
  <c r="X54" i="68"/>
  <c r="X67" i="68"/>
  <c r="X52" i="66"/>
  <c r="X54" i="66" s="1"/>
  <c r="X67" i="42"/>
  <c r="X52" i="41"/>
  <c r="X54" i="41" s="1"/>
  <c r="AC54" i="42"/>
  <c r="X63" i="68"/>
  <c r="X49" i="66"/>
  <c r="I67" i="68"/>
  <c r="I52" i="66"/>
  <c r="I54" i="66" s="1"/>
  <c r="X63" i="42"/>
  <c r="X49" i="41"/>
  <c r="AC67" i="42"/>
  <c r="AC52" i="41"/>
  <c r="AC54" i="41" s="1"/>
  <c r="U49" i="41"/>
  <c r="U63" i="42"/>
  <c r="U67" i="68"/>
  <c r="U52" i="66"/>
  <c r="U54" i="66" s="1"/>
  <c r="G67" i="68"/>
  <c r="G52" i="66"/>
  <c r="G54" i="66" s="1"/>
  <c r="AC63" i="42"/>
  <c r="AC49" i="41"/>
  <c r="U49" i="66"/>
  <c r="U63" i="68"/>
  <c r="G67" i="42"/>
  <c r="G52" i="41"/>
  <c r="G54" i="41" s="1"/>
  <c r="U67" i="42"/>
  <c r="U52" i="41"/>
  <c r="U54" i="41" s="1"/>
  <c r="AC49" i="66"/>
  <c r="AC63" i="68"/>
  <c r="G49" i="66"/>
  <c r="G63" i="68"/>
  <c r="G49" i="41"/>
  <c r="G63" i="42"/>
  <c r="AC67" i="68"/>
  <c r="AC52" i="66"/>
  <c r="AC54" i="66" s="1"/>
  <c r="E36" i="63"/>
  <c r="E42" i="63" s="1"/>
  <c r="G14" i="58"/>
  <c r="G15" i="58" s="1"/>
  <c r="G16" i="58" s="1"/>
  <c r="G18" i="58" s="1"/>
  <c r="G20" i="58" s="1"/>
  <c r="F18" i="58"/>
  <c r="F20" i="58" s="1"/>
  <c r="E36" i="58"/>
  <c r="F31" i="62"/>
  <c r="F30" i="62"/>
  <c r="E40" i="62"/>
  <c r="E42" i="62"/>
  <c r="E41" i="62"/>
  <c r="E39" i="62"/>
  <c r="H14" i="62"/>
  <c r="G18" i="62"/>
  <c r="G20" i="62" s="1"/>
  <c r="F27" i="62"/>
  <c r="F26" i="62"/>
  <c r="F36" i="62"/>
  <c r="G14" i="40"/>
  <c r="G15" i="40" s="1"/>
  <c r="G16" i="40" s="1"/>
  <c r="G18" i="40" s="1"/>
  <c r="G20" i="40" s="1"/>
  <c r="G21" i="40" s="1"/>
  <c r="G22" i="40" s="1"/>
  <c r="F18" i="40"/>
  <c r="F20" i="40" s="1"/>
  <c r="E36" i="40"/>
  <c r="E39" i="40" s="1"/>
  <c r="E27" i="69"/>
  <c r="E26" i="69"/>
  <c r="E28" i="69"/>
  <c r="F21" i="69"/>
  <c r="F22" i="69" s="1"/>
  <c r="G15" i="69"/>
  <c r="G16" i="69"/>
  <c r="G14" i="67"/>
  <c r="F18" i="67"/>
  <c r="F20" i="67" s="1"/>
  <c r="E26" i="67"/>
  <c r="E25" i="67"/>
  <c r="E29" i="67" s="1"/>
  <c r="E39" i="63"/>
  <c r="E41" i="63"/>
  <c r="F28" i="63"/>
  <c r="F21" i="63"/>
  <c r="F22" i="63" s="1"/>
  <c r="G15" i="63"/>
  <c r="G16" i="63" s="1"/>
  <c r="E26" i="61"/>
  <c r="E27" i="61"/>
  <c r="E28" i="61"/>
  <c r="F18" i="61"/>
  <c r="F20" i="61" s="1"/>
  <c r="G14" i="61"/>
  <c r="F18" i="60"/>
  <c r="F20" i="60" s="1"/>
  <c r="G14" i="60"/>
  <c r="E25" i="60"/>
  <c r="E29" i="60" s="1"/>
  <c r="E26" i="60"/>
  <c r="H14" i="58"/>
  <c r="E42" i="58"/>
  <c r="E40" i="58"/>
  <c r="E39" i="58"/>
  <c r="E41" i="58"/>
  <c r="F18" i="59"/>
  <c r="F20" i="59" s="1"/>
  <c r="G14" i="59"/>
  <c r="E31" i="59"/>
  <c r="D33" i="70" s="1"/>
  <c r="E30" i="59"/>
  <c r="D32" i="70" s="1"/>
  <c r="E26" i="59"/>
  <c r="D29" i="70" s="1"/>
  <c r="E27" i="59"/>
  <c r="D30" i="70" s="1"/>
  <c r="E39" i="64"/>
  <c r="E41" i="64"/>
  <c r="E40" i="64"/>
  <c r="E42" i="64"/>
  <c r="G15" i="64"/>
  <c r="G16" i="64" s="1"/>
  <c r="F28" i="64"/>
  <c r="F21" i="64"/>
  <c r="F22" i="64" s="1"/>
  <c r="E26" i="65"/>
  <c r="D67" i="70" s="1"/>
  <c r="E27" i="65"/>
  <c r="D68" i="70" s="1"/>
  <c r="E30" i="65"/>
  <c r="D70" i="70" s="1"/>
  <c r="E31" i="65"/>
  <c r="D71" i="70" s="1"/>
  <c r="G14" i="65"/>
  <c r="F18" i="65"/>
  <c r="F20" i="65" s="1"/>
  <c r="E41" i="40"/>
  <c r="G28" i="40"/>
  <c r="E27" i="13"/>
  <c r="E26" i="13"/>
  <c r="F18" i="13"/>
  <c r="F20" i="13" s="1"/>
  <c r="G14" i="13"/>
  <c r="E30" i="13"/>
  <c r="E31" i="13"/>
  <c r="C55" i="41" l="1"/>
  <c r="D12" i="26" s="1"/>
  <c r="D13" i="26" s="1"/>
  <c r="C55" i="66"/>
  <c r="D24" i="26" s="1"/>
  <c r="D25" i="26" s="1"/>
  <c r="E40" i="63"/>
  <c r="E43" i="63" s="1"/>
  <c r="F28" i="58"/>
  <c r="F21" i="58"/>
  <c r="F22" i="58" s="1"/>
  <c r="E36" i="59"/>
  <c r="E40" i="59" s="1"/>
  <c r="H14" i="40"/>
  <c r="H15" i="40" s="1"/>
  <c r="G21" i="62"/>
  <c r="G22" i="62" s="1"/>
  <c r="G28" i="62"/>
  <c r="F40" i="62"/>
  <c r="F41" i="62"/>
  <c r="F39" i="62"/>
  <c r="F42" i="62"/>
  <c r="E43" i="62"/>
  <c r="E46" i="62"/>
  <c r="E47" i="62" s="1"/>
  <c r="E60" i="62" s="1"/>
  <c r="H15" i="62"/>
  <c r="H16" i="62"/>
  <c r="E36" i="13"/>
  <c r="E42" i="13" s="1"/>
  <c r="E42" i="40"/>
  <c r="F28" i="40"/>
  <c r="F21" i="40"/>
  <c r="F22" i="40" s="1"/>
  <c r="H16" i="40"/>
  <c r="H18" i="40" s="1"/>
  <c r="H20" i="40" s="1"/>
  <c r="E40" i="40"/>
  <c r="E43" i="40" s="1"/>
  <c r="F27" i="69"/>
  <c r="F28" i="69"/>
  <c r="F26" i="69"/>
  <c r="E31" i="69"/>
  <c r="E30" i="69"/>
  <c r="E36" i="69" s="1"/>
  <c r="H14" i="69"/>
  <c r="G18" i="69"/>
  <c r="G20" i="69" s="1"/>
  <c r="E33" i="67"/>
  <c r="E34" i="67"/>
  <c r="E32" i="67"/>
  <c r="E35" i="67"/>
  <c r="F21" i="67"/>
  <c r="F22" i="67"/>
  <c r="G15" i="67"/>
  <c r="G16" i="67"/>
  <c r="G18" i="63"/>
  <c r="G20" i="63" s="1"/>
  <c r="H14" i="63"/>
  <c r="F27" i="63"/>
  <c r="F26" i="63"/>
  <c r="E46" i="63"/>
  <c r="E47" i="63" s="1"/>
  <c r="E60" i="63" s="1"/>
  <c r="F30" i="63"/>
  <c r="F31" i="63"/>
  <c r="E30" i="61"/>
  <c r="E36" i="61" s="1"/>
  <c r="E31" i="61"/>
  <c r="G15" i="61"/>
  <c r="G16" i="61" s="1"/>
  <c r="F21" i="61"/>
  <c r="F22" i="61" s="1"/>
  <c r="E35" i="60"/>
  <c r="E33" i="60"/>
  <c r="E32" i="60"/>
  <c r="E34" i="60"/>
  <c r="G15" i="60"/>
  <c r="G16" i="60" s="1"/>
  <c r="F21" i="60"/>
  <c r="F22" i="60"/>
  <c r="E46" i="58"/>
  <c r="E47" i="58" s="1"/>
  <c r="E60" i="58" s="1"/>
  <c r="H15" i="58"/>
  <c r="H16" i="58" s="1"/>
  <c r="E43" i="58"/>
  <c r="G21" i="58"/>
  <c r="G22" i="58" s="1"/>
  <c r="G28" i="58"/>
  <c r="G15" i="59"/>
  <c r="G16" i="59" s="1"/>
  <c r="F21" i="59"/>
  <c r="F22" i="59" s="1"/>
  <c r="F28" i="59"/>
  <c r="F26" i="64"/>
  <c r="E48" i="70" s="1"/>
  <c r="F27" i="64"/>
  <c r="E49" i="70" s="1"/>
  <c r="F30" i="64"/>
  <c r="E51" i="70" s="1"/>
  <c r="F31" i="64"/>
  <c r="E52" i="70" s="1"/>
  <c r="E46" i="64"/>
  <c r="E47" i="64" s="1"/>
  <c r="E60" i="64" s="1"/>
  <c r="H14" i="64"/>
  <c r="G18" i="64"/>
  <c r="G20" i="64" s="1"/>
  <c r="E43" i="64"/>
  <c r="E36" i="65"/>
  <c r="E39" i="65" s="1"/>
  <c r="G15" i="65"/>
  <c r="G16" i="65" s="1"/>
  <c r="F21" i="65"/>
  <c r="F22" i="65" s="1"/>
  <c r="F28" i="65"/>
  <c r="G26" i="40"/>
  <c r="F10" i="70" s="1"/>
  <c r="G27" i="40"/>
  <c r="F11" i="70" s="1"/>
  <c r="E46" i="40"/>
  <c r="E47" i="40" s="1"/>
  <c r="E60" i="40" s="1"/>
  <c r="G30" i="40"/>
  <c r="F13" i="70" s="1"/>
  <c r="G31" i="40"/>
  <c r="F14" i="70" s="1"/>
  <c r="E41" i="13"/>
  <c r="E40" i="13"/>
  <c r="E39" i="13"/>
  <c r="F28" i="13"/>
  <c r="F21" i="13"/>
  <c r="F22" i="13" s="1"/>
  <c r="G15" i="13"/>
  <c r="G16" i="13" s="1"/>
  <c r="E42" i="59" l="1"/>
  <c r="E39" i="59"/>
  <c r="E41" i="59"/>
  <c r="E43" i="59" s="1"/>
  <c r="F36" i="63"/>
  <c r="F40" i="63" s="1"/>
  <c r="F27" i="58"/>
  <c r="F26" i="58"/>
  <c r="F36" i="58" s="1"/>
  <c r="F30" i="58"/>
  <c r="F31" i="58"/>
  <c r="G26" i="62"/>
  <c r="G36" i="62" s="1"/>
  <c r="G27" i="62"/>
  <c r="H18" i="62"/>
  <c r="H20" i="62" s="1"/>
  <c r="I14" i="62"/>
  <c r="G31" i="62"/>
  <c r="G30" i="62"/>
  <c r="F43" i="62"/>
  <c r="F46" i="62"/>
  <c r="F47" i="62" s="1"/>
  <c r="F60" i="62" s="1"/>
  <c r="E48" i="62"/>
  <c r="E50" i="62" s="1"/>
  <c r="I14" i="40"/>
  <c r="F27" i="40"/>
  <c r="E11" i="70" s="1"/>
  <c r="F26" i="40"/>
  <c r="E10" i="70" s="1"/>
  <c r="F31" i="40"/>
  <c r="E14" i="70" s="1"/>
  <c r="F30" i="40"/>
  <c r="E13" i="70" s="1"/>
  <c r="G36" i="40"/>
  <c r="G41" i="40" s="1"/>
  <c r="H15" i="69"/>
  <c r="H16" i="69"/>
  <c r="E39" i="69"/>
  <c r="E40" i="69"/>
  <c r="E42" i="69"/>
  <c r="E46" i="69" s="1"/>
  <c r="E48" i="69" s="1"/>
  <c r="E41" i="69"/>
  <c r="F30" i="69"/>
  <c r="F31" i="69"/>
  <c r="G21" i="69"/>
  <c r="G22" i="69" s="1"/>
  <c r="H14" i="67"/>
  <c r="G18" i="67"/>
  <c r="G20" i="67" s="1"/>
  <c r="E36" i="67"/>
  <c r="F26" i="67"/>
  <c r="F25" i="67"/>
  <c r="F29" i="67" s="1"/>
  <c r="E39" i="67"/>
  <c r="E40" i="67" s="1"/>
  <c r="E53" i="67" s="1"/>
  <c r="E41" i="67"/>
  <c r="E43" i="67" s="1"/>
  <c r="E41" i="65"/>
  <c r="E40" i="65"/>
  <c r="E42" i="65"/>
  <c r="E48" i="63"/>
  <c r="E50" i="63" s="1"/>
  <c r="H15" i="63"/>
  <c r="H16" i="63" s="1"/>
  <c r="F41" i="63"/>
  <c r="F42" i="63"/>
  <c r="G21" i="63"/>
  <c r="G22" i="63" s="1"/>
  <c r="G28" i="63"/>
  <c r="G18" i="61"/>
  <c r="G20" i="61" s="1"/>
  <c r="H14" i="61"/>
  <c r="F26" i="61"/>
  <c r="F27" i="61"/>
  <c r="F28" i="61"/>
  <c r="E41" i="61"/>
  <c r="E39" i="61"/>
  <c r="E43" i="61" s="1"/>
  <c r="E42" i="61"/>
  <c r="E46" i="61" s="1"/>
  <c r="E48" i="61" s="1"/>
  <c r="E40" i="61"/>
  <c r="G18" i="60"/>
  <c r="G20" i="60" s="1"/>
  <c r="H14" i="60"/>
  <c r="E36" i="60"/>
  <c r="F25" i="60"/>
  <c r="F29" i="60" s="1"/>
  <c r="F26" i="60"/>
  <c r="E39" i="60"/>
  <c r="E40" i="60" s="1"/>
  <c r="E53" i="60" s="1"/>
  <c r="E41" i="60"/>
  <c r="E43" i="60" s="1"/>
  <c r="G31" i="58"/>
  <c r="G30" i="58"/>
  <c r="I14" i="58"/>
  <c r="H18" i="58"/>
  <c r="H20" i="58" s="1"/>
  <c r="E48" i="58"/>
  <c r="E50" i="58" s="1"/>
  <c r="G27" i="58"/>
  <c r="G26" i="58"/>
  <c r="G36" i="58" s="1"/>
  <c r="F26" i="59"/>
  <c r="E29" i="70" s="1"/>
  <c r="F27" i="59"/>
  <c r="E30" i="70" s="1"/>
  <c r="H14" i="59"/>
  <c r="G18" i="59"/>
  <c r="G20" i="59" s="1"/>
  <c r="F30" i="59"/>
  <c r="E32" i="70" s="1"/>
  <c r="F31" i="59"/>
  <c r="E33" i="70" s="1"/>
  <c r="E46" i="59"/>
  <c r="E47" i="59" s="1"/>
  <c r="E60" i="59" s="1"/>
  <c r="F36" i="64"/>
  <c r="F39" i="64" s="1"/>
  <c r="H15" i="64"/>
  <c r="H16" i="64" s="1"/>
  <c r="E48" i="64"/>
  <c r="E50" i="64" s="1"/>
  <c r="G28" i="64"/>
  <c r="G21" i="64"/>
  <c r="G22" i="64" s="1"/>
  <c r="F26" i="65"/>
  <c r="E67" i="70" s="1"/>
  <c r="F27" i="65"/>
  <c r="E68" i="70" s="1"/>
  <c r="H14" i="65"/>
  <c r="G18" i="65"/>
  <c r="G20" i="65" s="1"/>
  <c r="E46" i="65"/>
  <c r="E47" i="65" s="1"/>
  <c r="E60" i="65" s="1"/>
  <c r="F30" i="65"/>
  <c r="E70" i="70" s="1"/>
  <c r="F31" i="65"/>
  <c r="E71" i="70" s="1"/>
  <c r="I15" i="40"/>
  <c r="I16" i="40" s="1"/>
  <c r="E48" i="40"/>
  <c r="H28" i="40"/>
  <c r="H21" i="40"/>
  <c r="H22" i="40" s="1"/>
  <c r="H14" i="13"/>
  <c r="G18" i="13"/>
  <c r="G20" i="13" s="1"/>
  <c r="F27" i="13"/>
  <c r="F26" i="13"/>
  <c r="E43" i="13"/>
  <c r="E46" i="13"/>
  <c r="E47" i="13" s="1"/>
  <c r="E60" i="13" s="1"/>
  <c r="F31" i="13"/>
  <c r="F30" i="13"/>
  <c r="D39" i="26" l="1"/>
  <c r="F39" i="63"/>
  <c r="F43" i="63" s="1"/>
  <c r="F40" i="58"/>
  <c r="F39" i="58"/>
  <c r="F43" i="58" s="1"/>
  <c r="F42" i="58"/>
  <c r="F46" i="58" s="1"/>
  <c r="F47" i="58" s="1"/>
  <c r="F60" i="58" s="1"/>
  <c r="F41" i="58"/>
  <c r="F36" i="59"/>
  <c r="F39" i="59" s="1"/>
  <c r="G39" i="62"/>
  <c r="G40" i="62"/>
  <c r="G41" i="62"/>
  <c r="G42" i="62"/>
  <c r="H28" i="62"/>
  <c r="H21" i="62"/>
  <c r="H22" i="62" s="1"/>
  <c r="F48" i="62"/>
  <c r="F50" i="62" s="1"/>
  <c r="I15" i="62"/>
  <c r="I16" i="62" s="1"/>
  <c r="F36" i="13"/>
  <c r="F39" i="13" s="1"/>
  <c r="E43" i="65"/>
  <c r="F36" i="40"/>
  <c r="F40" i="40" s="1"/>
  <c r="G42" i="40"/>
  <c r="G46" i="40" s="1"/>
  <c r="G47" i="40" s="1"/>
  <c r="G60" i="40" s="1"/>
  <c r="G39" i="40"/>
  <c r="G40" i="40"/>
  <c r="F40" i="64"/>
  <c r="F42" i="64"/>
  <c r="F41" i="64"/>
  <c r="F43" i="64" s="1"/>
  <c r="G27" i="69"/>
  <c r="G28" i="69"/>
  <c r="G26" i="69"/>
  <c r="F36" i="69"/>
  <c r="E43" i="69"/>
  <c r="H18" i="69"/>
  <c r="H20" i="69" s="1"/>
  <c r="I14" i="69"/>
  <c r="F33" i="67"/>
  <c r="F35" i="67"/>
  <c r="F34" i="67"/>
  <c r="F32" i="67"/>
  <c r="F36" i="67" s="1"/>
  <c r="G21" i="67"/>
  <c r="G22" i="67"/>
  <c r="H15" i="67"/>
  <c r="H16" i="67" s="1"/>
  <c r="G27" i="63"/>
  <c r="G26" i="63"/>
  <c r="F46" i="63"/>
  <c r="F47" i="63" s="1"/>
  <c r="F60" i="63" s="1"/>
  <c r="I14" i="63"/>
  <c r="H18" i="63"/>
  <c r="H20" i="63" s="1"/>
  <c r="G30" i="63"/>
  <c r="G31" i="63"/>
  <c r="F31" i="61"/>
  <c r="F30" i="61"/>
  <c r="F36" i="61" s="1"/>
  <c r="H15" i="61"/>
  <c r="H16" i="61" s="1"/>
  <c r="E51" i="61"/>
  <c r="E52" i="61"/>
  <c r="E53" i="61"/>
  <c r="G21" i="61"/>
  <c r="G22" i="61" s="1"/>
  <c r="F32" i="60"/>
  <c r="F35" i="60"/>
  <c r="F33" i="60"/>
  <c r="F34" i="60"/>
  <c r="E48" i="60"/>
  <c r="E46" i="60"/>
  <c r="E47" i="60"/>
  <c r="H15" i="60"/>
  <c r="H16" i="60" s="1"/>
  <c r="G21" i="60"/>
  <c r="G22" i="60"/>
  <c r="G42" i="58"/>
  <c r="G41" i="58"/>
  <c r="G40" i="58"/>
  <c r="G39" i="58"/>
  <c r="I15" i="58"/>
  <c r="I16" i="58"/>
  <c r="H21" i="58"/>
  <c r="H22" i="58" s="1"/>
  <c r="H28" i="58"/>
  <c r="F48" i="58"/>
  <c r="F50" i="58" s="1"/>
  <c r="E53" i="58"/>
  <c r="E55" i="58"/>
  <c r="E54" i="58"/>
  <c r="F40" i="59"/>
  <c r="G21" i="59"/>
  <c r="G22" i="59" s="1"/>
  <c r="G28" i="59"/>
  <c r="E48" i="59"/>
  <c r="E50" i="59" s="1"/>
  <c r="H15" i="59"/>
  <c r="H16" i="59" s="1"/>
  <c r="F46" i="64"/>
  <c r="F47" i="64" s="1"/>
  <c r="F60" i="64" s="1"/>
  <c r="I14" i="64"/>
  <c r="H18" i="64"/>
  <c r="H20" i="64" s="1"/>
  <c r="G26" i="64"/>
  <c r="F48" i="70" s="1"/>
  <c r="G27" i="64"/>
  <c r="F49" i="70" s="1"/>
  <c r="G31" i="64"/>
  <c r="F52" i="70" s="1"/>
  <c r="G30" i="64"/>
  <c r="F51" i="70" s="1"/>
  <c r="F36" i="65"/>
  <c r="F40" i="65" s="1"/>
  <c r="H15" i="65"/>
  <c r="H16" i="65" s="1"/>
  <c r="E48" i="65"/>
  <c r="E50" i="65" s="1"/>
  <c r="D41" i="26" s="1"/>
  <c r="G21" i="65"/>
  <c r="G22" i="65" s="1"/>
  <c r="G28" i="65"/>
  <c r="H27" i="40"/>
  <c r="G11" i="70" s="1"/>
  <c r="H26" i="40"/>
  <c r="G10" i="70" s="1"/>
  <c r="H30" i="40"/>
  <c r="G13" i="70" s="1"/>
  <c r="H31" i="40"/>
  <c r="G14" i="70" s="1"/>
  <c r="G43" i="40"/>
  <c r="J14" i="40"/>
  <c r="I18" i="40"/>
  <c r="I20" i="40" s="1"/>
  <c r="D7" i="25"/>
  <c r="E50" i="40"/>
  <c r="F42" i="13"/>
  <c r="F41" i="13"/>
  <c r="F40" i="13"/>
  <c r="E48" i="13"/>
  <c r="G21" i="13"/>
  <c r="G22" i="13" s="1"/>
  <c r="G28" i="13"/>
  <c r="H15" i="13"/>
  <c r="H16" i="13" s="1"/>
  <c r="D43" i="26" l="1"/>
  <c r="F42" i="59"/>
  <c r="F41" i="59"/>
  <c r="F41" i="40"/>
  <c r="F43" i="40" s="1"/>
  <c r="F39" i="40"/>
  <c r="G36" i="63"/>
  <c r="G41" i="63" s="1"/>
  <c r="G43" i="58"/>
  <c r="F42" i="40"/>
  <c r="I18" i="62"/>
  <c r="I20" i="62" s="1"/>
  <c r="J14" i="62"/>
  <c r="H26" i="62"/>
  <c r="H36" i="62" s="1"/>
  <c r="H27" i="62"/>
  <c r="G46" i="62"/>
  <c r="G47" i="62" s="1"/>
  <c r="G60" i="62" s="1"/>
  <c r="H31" i="62"/>
  <c r="H30" i="62"/>
  <c r="G43" i="62"/>
  <c r="G36" i="64"/>
  <c r="G41" i="64" s="1"/>
  <c r="H36" i="40"/>
  <c r="H41" i="40" s="1"/>
  <c r="I15" i="69"/>
  <c r="I16" i="69"/>
  <c r="H21" i="69"/>
  <c r="H22" i="69" s="1"/>
  <c r="G30" i="69"/>
  <c r="G36" i="69" s="1"/>
  <c r="G31" i="69"/>
  <c r="F39" i="69"/>
  <c r="F43" i="69" s="1"/>
  <c r="F41" i="69"/>
  <c r="F42" i="69"/>
  <c r="F46" i="69" s="1"/>
  <c r="F48" i="69" s="1"/>
  <c r="F40" i="69"/>
  <c r="I14" i="67"/>
  <c r="H18" i="67"/>
  <c r="H20" i="67" s="1"/>
  <c r="G26" i="67"/>
  <c r="G29" i="67"/>
  <c r="G25" i="67"/>
  <c r="F39" i="67"/>
  <c r="F40" i="67" s="1"/>
  <c r="F53" i="67" s="1"/>
  <c r="F41" i="67"/>
  <c r="F43" i="67" s="1"/>
  <c r="F42" i="65"/>
  <c r="F39" i="65"/>
  <c r="F41" i="65"/>
  <c r="G42" i="63"/>
  <c r="G39" i="63"/>
  <c r="H21" i="63"/>
  <c r="H22" i="63" s="1"/>
  <c r="H28" i="63"/>
  <c r="I15" i="63"/>
  <c r="I16" i="63" s="1"/>
  <c r="F48" i="63"/>
  <c r="F50" i="63" s="1"/>
  <c r="G26" i="61"/>
  <c r="G27" i="61"/>
  <c r="G28" i="61"/>
  <c r="I14" i="61"/>
  <c r="H18" i="61"/>
  <c r="H20" i="61" s="1"/>
  <c r="F42" i="61"/>
  <c r="F46" i="61" s="1"/>
  <c r="F48" i="61" s="1"/>
  <c r="F40" i="61"/>
  <c r="F41" i="61"/>
  <c r="F39" i="61"/>
  <c r="E54" i="61"/>
  <c r="H18" i="60"/>
  <c r="H20" i="60" s="1"/>
  <c r="I14" i="60"/>
  <c r="G25" i="60"/>
  <c r="G29" i="60" s="1"/>
  <c r="G26" i="60"/>
  <c r="E63" i="61"/>
  <c r="E49" i="60"/>
  <c r="F39" i="60"/>
  <c r="F40" i="60" s="1"/>
  <c r="F53" i="60" s="1"/>
  <c r="E67" i="61"/>
  <c r="E52" i="60"/>
  <c r="E54" i="60" s="1"/>
  <c r="F36" i="60"/>
  <c r="H26" i="58"/>
  <c r="H27" i="58"/>
  <c r="E59" i="58"/>
  <c r="E61" i="58" s="1"/>
  <c r="E65" i="61"/>
  <c r="E61" i="61"/>
  <c r="E56" i="58"/>
  <c r="F55" i="58"/>
  <c r="F54" i="58"/>
  <c r="F53" i="58"/>
  <c r="J14" i="58"/>
  <c r="I18" i="58"/>
  <c r="I20" i="58" s="1"/>
  <c r="H30" i="58"/>
  <c r="H31" i="58"/>
  <c r="G46" i="58"/>
  <c r="G47" i="58" s="1"/>
  <c r="G60" i="58" s="1"/>
  <c r="G26" i="59"/>
  <c r="F29" i="70" s="1"/>
  <c r="G27" i="59"/>
  <c r="F30" i="70" s="1"/>
  <c r="I14" i="59"/>
  <c r="H18" i="59"/>
  <c r="H20" i="59" s="1"/>
  <c r="G30" i="59"/>
  <c r="F32" i="70" s="1"/>
  <c r="G31" i="59"/>
  <c r="E53" i="59"/>
  <c r="E55" i="59"/>
  <c r="E54" i="59"/>
  <c r="F43" i="59"/>
  <c r="F46" i="59"/>
  <c r="F47" i="59" s="1"/>
  <c r="F60" i="59" s="1"/>
  <c r="H28" i="64"/>
  <c r="H21" i="64"/>
  <c r="H22" i="64" s="1"/>
  <c r="I15" i="64"/>
  <c r="I16" i="64" s="1"/>
  <c r="F48" i="64"/>
  <c r="F50" i="64" s="1"/>
  <c r="E39" i="26" s="1"/>
  <c r="G26" i="65"/>
  <c r="F67" i="70" s="1"/>
  <c r="G27" i="65"/>
  <c r="F68" i="70" s="1"/>
  <c r="H18" i="65"/>
  <c r="H20" i="65" s="1"/>
  <c r="I14" i="65"/>
  <c r="G30" i="65"/>
  <c r="F70" i="70" s="1"/>
  <c r="G31" i="65"/>
  <c r="F71" i="70" s="1"/>
  <c r="I21" i="40"/>
  <c r="I22" i="40" s="1"/>
  <c r="I28" i="40"/>
  <c r="J15" i="40"/>
  <c r="J16" i="40" s="1"/>
  <c r="E54" i="40"/>
  <c r="E55" i="40"/>
  <c r="E53" i="40"/>
  <c r="G48" i="40"/>
  <c r="G26" i="13"/>
  <c r="G27" i="13"/>
  <c r="G30" i="13"/>
  <c r="G31" i="13"/>
  <c r="I14" i="13"/>
  <c r="H18" i="13"/>
  <c r="H20" i="13" s="1"/>
  <c r="F46" i="13"/>
  <c r="F47" i="13" s="1"/>
  <c r="F60" i="13" s="1"/>
  <c r="C6" i="25"/>
  <c r="C10" i="25" s="1"/>
  <c r="C14" i="25" s="1"/>
  <c r="E50" i="13"/>
  <c r="F43" i="13"/>
  <c r="G36" i="59" l="1"/>
  <c r="G41" i="59" s="1"/>
  <c r="F33" i="70"/>
  <c r="G42" i="64"/>
  <c r="G40" i="64"/>
  <c r="G40" i="63"/>
  <c r="G43" i="63" s="1"/>
  <c r="H36" i="58"/>
  <c r="H41" i="58" s="1"/>
  <c r="F43" i="65"/>
  <c r="G39" i="64"/>
  <c r="G43" i="64" s="1"/>
  <c r="F46" i="40"/>
  <c r="F47" i="40" s="1"/>
  <c r="F60" i="40" s="1"/>
  <c r="H39" i="62"/>
  <c r="H42" i="62"/>
  <c r="H41" i="62"/>
  <c r="H40" i="62"/>
  <c r="G48" i="62"/>
  <c r="G50" i="62" s="1"/>
  <c r="J15" i="62"/>
  <c r="J16" i="62" s="1"/>
  <c r="I22" i="62"/>
  <c r="I21" i="62"/>
  <c r="I28" i="62"/>
  <c r="G36" i="13"/>
  <c r="G39" i="13" s="1"/>
  <c r="F46" i="65"/>
  <c r="F47" i="65" s="1"/>
  <c r="G36" i="65"/>
  <c r="G40" i="65" s="1"/>
  <c r="H42" i="40"/>
  <c r="H46" i="40" s="1"/>
  <c r="H47" i="40" s="1"/>
  <c r="H60" i="40" s="1"/>
  <c r="H39" i="40"/>
  <c r="H40" i="40"/>
  <c r="H26" i="69"/>
  <c r="H27" i="69"/>
  <c r="H28" i="69"/>
  <c r="G42" i="69"/>
  <c r="G46" i="69" s="1"/>
  <c r="G48" i="69" s="1"/>
  <c r="G41" i="69"/>
  <c r="G39" i="69"/>
  <c r="G40" i="69"/>
  <c r="I18" i="69"/>
  <c r="I20" i="69" s="1"/>
  <c r="J14" i="69"/>
  <c r="G35" i="67"/>
  <c r="G34" i="67"/>
  <c r="G32" i="67"/>
  <c r="G33" i="67"/>
  <c r="H21" i="67"/>
  <c r="H22" i="67" s="1"/>
  <c r="I15" i="67"/>
  <c r="I16" i="67"/>
  <c r="I18" i="63"/>
  <c r="I20" i="63" s="1"/>
  <c r="J14" i="63"/>
  <c r="H26" i="63"/>
  <c r="H27" i="63"/>
  <c r="H30" i="63"/>
  <c r="H31" i="63"/>
  <c r="G46" i="63"/>
  <c r="G47" i="63" s="1"/>
  <c r="G60" i="63" s="1"/>
  <c r="F51" i="61"/>
  <c r="F53" i="61"/>
  <c r="F52" i="61"/>
  <c r="F43" i="61"/>
  <c r="H21" i="61"/>
  <c r="H22" i="61" s="1"/>
  <c r="G30" i="61"/>
  <c r="G31" i="61"/>
  <c r="I15" i="61"/>
  <c r="I16" i="61" s="1"/>
  <c r="G35" i="60"/>
  <c r="G34" i="60"/>
  <c r="G32" i="60"/>
  <c r="G33" i="60"/>
  <c r="I15" i="60"/>
  <c r="I16" i="60"/>
  <c r="F41" i="60"/>
  <c r="F43" i="60" s="1"/>
  <c r="H21" i="60"/>
  <c r="H22" i="60" s="1"/>
  <c r="H39" i="58"/>
  <c r="H42" i="58"/>
  <c r="G48" i="58"/>
  <c r="G50" i="58" s="1"/>
  <c r="J15" i="58"/>
  <c r="J16" i="58" s="1"/>
  <c r="I21" i="58"/>
  <c r="I22" i="58" s="1"/>
  <c r="I28" i="58"/>
  <c r="F65" i="61"/>
  <c r="F59" i="58"/>
  <c r="F61" i="58" s="1"/>
  <c r="F61" i="61"/>
  <c r="F56" i="58"/>
  <c r="G42" i="59"/>
  <c r="G40" i="59"/>
  <c r="E62" i="61"/>
  <c r="E56" i="59"/>
  <c r="I15" i="59"/>
  <c r="I16" i="59" s="1"/>
  <c r="F48" i="59"/>
  <c r="F50" i="59" s="1"/>
  <c r="E66" i="61"/>
  <c r="E59" i="59"/>
  <c r="E61" i="59" s="1"/>
  <c r="H21" i="59"/>
  <c r="H22" i="59" s="1"/>
  <c r="H28" i="59"/>
  <c r="J14" i="64"/>
  <c r="I18" i="64"/>
  <c r="I20" i="64" s="1"/>
  <c r="G46" i="64"/>
  <c r="G47" i="64" s="1"/>
  <c r="G60" i="64" s="1"/>
  <c r="H26" i="64"/>
  <c r="G48" i="70" s="1"/>
  <c r="H27" i="64"/>
  <c r="G49" i="70" s="1"/>
  <c r="H30" i="64"/>
  <c r="G51" i="70" s="1"/>
  <c r="H31" i="64"/>
  <c r="G52" i="70" s="1"/>
  <c r="H21" i="65"/>
  <c r="H22" i="65" s="1"/>
  <c r="H28" i="65"/>
  <c r="I15" i="65"/>
  <c r="I16" i="65" s="1"/>
  <c r="E62" i="42"/>
  <c r="E56" i="40"/>
  <c r="K14" i="40"/>
  <c r="J18" i="40"/>
  <c r="J20" i="40" s="1"/>
  <c r="E66" i="42"/>
  <c r="E59" i="40"/>
  <c r="E61" i="40" s="1"/>
  <c r="I26" i="40"/>
  <c r="H10" i="70" s="1"/>
  <c r="I27" i="40"/>
  <c r="H11" i="70" s="1"/>
  <c r="I31" i="40"/>
  <c r="H14" i="70" s="1"/>
  <c r="I30" i="40"/>
  <c r="H13" i="70" s="1"/>
  <c r="F7" i="25"/>
  <c r="G50" i="40"/>
  <c r="G41" i="13"/>
  <c r="G40" i="13"/>
  <c r="G42" i="13"/>
  <c r="E54" i="13"/>
  <c r="E53" i="13"/>
  <c r="E55" i="13"/>
  <c r="H21" i="13"/>
  <c r="H22" i="13" s="1"/>
  <c r="H28" i="13"/>
  <c r="I15" i="13"/>
  <c r="I16" i="13" s="1"/>
  <c r="F48" i="13"/>
  <c r="G39" i="59" l="1"/>
  <c r="H43" i="40"/>
  <c r="F48" i="40"/>
  <c r="H36" i="63"/>
  <c r="H40" i="63" s="1"/>
  <c r="G48" i="63"/>
  <c r="G50" i="63" s="1"/>
  <c r="G53" i="63" s="1"/>
  <c r="H40" i="58"/>
  <c r="H43" i="58" s="1"/>
  <c r="G42" i="65"/>
  <c r="H48" i="40"/>
  <c r="F50" i="40"/>
  <c r="E7" i="25"/>
  <c r="K14" i="62"/>
  <c r="J18" i="62"/>
  <c r="J20" i="62" s="1"/>
  <c r="I26" i="62"/>
  <c r="I36" i="62" s="1"/>
  <c r="I27" i="62"/>
  <c r="I31" i="62"/>
  <c r="I30" i="62"/>
  <c r="H46" i="62"/>
  <c r="H47" i="62" s="1"/>
  <c r="H60" i="62" s="1"/>
  <c r="G55" i="62"/>
  <c r="G54" i="62"/>
  <c r="G53" i="62"/>
  <c r="H43" i="62"/>
  <c r="G41" i="65"/>
  <c r="G39" i="65"/>
  <c r="F60" i="65"/>
  <c r="F48" i="65"/>
  <c r="F50" i="65" s="1"/>
  <c r="E41" i="26" s="1"/>
  <c r="E43" i="26" s="1"/>
  <c r="H36" i="64"/>
  <c r="H42" i="64" s="1"/>
  <c r="I36" i="40"/>
  <c r="I40" i="40" s="1"/>
  <c r="H31" i="69"/>
  <c r="H30" i="69"/>
  <c r="H36" i="69" s="1"/>
  <c r="G43" i="69"/>
  <c r="J15" i="69"/>
  <c r="J16" i="69"/>
  <c r="I21" i="69"/>
  <c r="I22" i="69" s="1"/>
  <c r="G51" i="69"/>
  <c r="G52" i="69"/>
  <c r="G53" i="69"/>
  <c r="H25" i="67"/>
  <c r="H26" i="67"/>
  <c r="H29" i="67"/>
  <c r="G36" i="67"/>
  <c r="J14" i="67"/>
  <c r="I18" i="67"/>
  <c r="I20" i="67" s="1"/>
  <c r="G39" i="67"/>
  <c r="G40" i="67" s="1"/>
  <c r="G53" i="67" s="1"/>
  <c r="H42" i="63"/>
  <c r="H41" i="63"/>
  <c r="G54" i="63"/>
  <c r="J15" i="63"/>
  <c r="J16" i="63" s="1"/>
  <c r="I21" i="63"/>
  <c r="I22" i="63" s="1"/>
  <c r="I28" i="63"/>
  <c r="J14" i="61"/>
  <c r="I18" i="61"/>
  <c r="I20" i="61" s="1"/>
  <c r="H28" i="61"/>
  <c r="H26" i="61"/>
  <c r="H27" i="61"/>
  <c r="G36" i="61"/>
  <c r="F54" i="61"/>
  <c r="H25" i="60"/>
  <c r="H26" i="60"/>
  <c r="H29" i="60"/>
  <c r="F48" i="60"/>
  <c r="F46" i="60"/>
  <c r="F47" i="60"/>
  <c r="I18" i="60"/>
  <c r="I20" i="60" s="1"/>
  <c r="J14" i="60"/>
  <c r="G36" i="60"/>
  <c r="G39" i="60"/>
  <c r="G40" i="60" s="1"/>
  <c r="G53" i="60" s="1"/>
  <c r="G41" i="60"/>
  <c r="G43" i="60" s="1"/>
  <c r="I27" i="58"/>
  <c r="I26" i="58"/>
  <c r="K14" i="58"/>
  <c r="J18" i="58"/>
  <c r="J20" i="58" s="1"/>
  <c r="H46" i="58"/>
  <c r="H47" i="58" s="1"/>
  <c r="H60" i="58" s="1"/>
  <c r="H48" i="58"/>
  <c r="H50" i="58" s="1"/>
  <c r="I31" i="58"/>
  <c r="I30" i="58"/>
  <c r="G53" i="58"/>
  <c r="G55" i="58"/>
  <c r="G54" i="58"/>
  <c r="H27" i="59"/>
  <c r="G30" i="70" s="1"/>
  <c r="H26" i="59"/>
  <c r="G29" i="70" s="1"/>
  <c r="G43" i="59"/>
  <c r="I18" i="59"/>
  <c r="I20" i="59" s="1"/>
  <c r="J14" i="59"/>
  <c r="H30" i="59"/>
  <c r="G32" i="70" s="1"/>
  <c r="H31" i="59"/>
  <c r="G33" i="70" s="1"/>
  <c r="F55" i="59"/>
  <c r="F53" i="59"/>
  <c r="F54" i="59"/>
  <c r="E70" i="61"/>
  <c r="E71" i="61"/>
  <c r="E69" i="61"/>
  <c r="G46" i="59"/>
  <c r="G47" i="59" s="1"/>
  <c r="G60" i="59" s="1"/>
  <c r="G48" i="64"/>
  <c r="G50" i="64" s="1"/>
  <c r="I28" i="64"/>
  <c r="I21" i="64"/>
  <c r="I22" i="64" s="1"/>
  <c r="J15" i="64"/>
  <c r="J16" i="64" s="1"/>
  <c r="I18" i="65"/>
  <c r="I20" i="65" s="1"/>
  <c r="J14" i="65"/>
  <c r="H26" i="65"/>
  <c r="G67" i="70" s="1"/>
  <c r="H27" i="65"/>
  <c r="G68" i="70" s="1"/>
  <c r="H30" i="65"/>
  <c r="G70" i="70" s="1"/>
  <c r="H31" i="65"/>
  <c r="G71" i="70" s="1"/>
  <c r="G46" i="65"/>
  <c r="G47" i="65" s="1"/>
  <c r="G60" i="65" s="1"/>
  <c r="I42" i="40"/>
  <c r="H50" i="40"/>
  <c r="G7" i="25"/>
  <c r="J21" i="40"/>
  <c r="J22" i="40" s="1"/>
  <c r="J28" i="40"/>
  <c r="G54" i="40"/>
  <c r="G55" i="40"/>
  <c r="G53" i="40"/>
  <c r="K15" i="40"/>
  <c r="K16" i="40" s="1"/>
  <c r="H26" i="13"/>
  <c r="H27" i="13"/>
  <c r="G43" i="13"/>
  <c r="H30" i="13"/>
  <c r="H31" i="13"/>
  <c r="I18" i="13"/>
  <c r="I20" i="13" s="1"/>
  <c r="J14" i="13"/>
  <c r="G46" i="13"/>
  <c r="G47" i="13" s="1"/>
  <c r="G60" i="13" s="1"/>
  <c r="E65" i="42"/>
  <c r="E59" i="13"/>
  <c r="E61" i="13" s="1"/>
  <c r="E61" i="42"/>
  <c r="E71" i="42" s="1"/>
  <c r="E56" i="13"/>
  <c r="D6" i="25"/>
  <c r="D10" i="25" s="1"/>
  <c r="D14" i="25" s="1"/>
  <c r="F50" i="13"/>
  <c r="G43" i="65" l="1"/>
  <c r="H40" i="64"/>
  <c r="G55" i="63"/>
  <c r="G65" i="69" s="1"/>
  <c r="H39" i="63"/>
  <c r="H43" i="63" s="1"/>
  <c r="I36" i="58"/>
  <c r="I42" i="58" s="1"/>
  <c r="H39" i="64"/>
  <c r="H41" i="64"/>
  <c r="I39" i="40"/>
  <c r="F54" i="40"/>
  <c r="F53" i="40"/>
  <c r="F55" i="40"/>
  <c r="I41" i="40"/>
  <c r="I40" i="62"/>
  <c r="I41" i="62"/>
  <c r="I39" i="62"/>
  <c r="I42" i="62"/>
  <c r="G61" i="68"/>
  <c r="G56" i="62"/>
  <c r="G65" i="68"/>
  <c r="G59" i="62"/>
  <c r="G61" i="62" s="1"/>
  <c r="J21" i="62"/>
  <c r="J28" i="62"/>
  <c r="J22" i="62"/>
  <c r="H48" i="62"/>
  <c r="H50" i="62" s="1"/>
  <c r="K15" i="62"/>
  <c r="K16" i="62"/>
  <c r="H36" i="13"/>
  <c r="H41" i="13" s="1"/>
  <c r="H36" i="59"/>
  <c r="H40" i="59" s="1"/>
  <c r="H43" i="64"/>
  <c r="H42" i="69"/>
  <c r="H46" i="69" s="1"/>
  <c r="H48" i="69" s="1"/>
  <c r="H40" i="69"/>
  <c r="H41" i="69"/>
  <c r="H39" i="69"/>
  <c r="H43" i="69" s="1"/>
  <c r="I26" i="69"/>
  <c r="I27" i="69"/>
  <c r="I28" i="69"/>
  <c r="K14" i="69"/>
  <c r="J18" i="69"/>
  <c r="J20" i="69" s="1"/>
  <c r="G54" i="69"/>
  <c r="G41" i="67"/>
  <c r="G43" i="67" s="1"/>
  <c r="H35" i="67"/>
  <c r="H33" i="67"/>
  <c r="H32" i="67"/>
  <c r="H36" i="67" s="1"/>
  <c r="H34" i="67"/>
  <c r="I21" i="67"/>
  <c r="I22" i="67"/>
  <c r="J16" i="67"/>
  <c r="J15" i="67"/>
  <c r="K14" i="63"/>
  <c r="J18" i="63"/>
  <c r="J20" i="63" s="1"/>
  <c r="I27" i="63"/>
  <c r="I26" i="63"/>
  <c r="G59" i="63"/>
  <c r="G61" i="63" s="1"/>
  <c r="I31" i="63"/>
  <c r="I30" i="63"/>
  <c r="G61" i="69"/>
  <c r="H46" i="63"/>
  <c r="H47" i="63" s="1"/>
  <c r="H60" i="63" s="1"/>
  <c r="G42" i="61"/>
  <c r="G46" i="61" s="1"/>
  <c r="G48" i="61" s="1"/>
  <c r="G39" i="61"/>
  <c r="G40" i="61"/>
  <c r="G41" i="61"/>
  <c r="H30" i="61"/>
  <c r="H36" i="61" s="1"/>
  <c r="H31" i="61"/>
  <c r="I21" i="61"/>
  <c r="I22" i="61"/>
  <c r="J15" i="61"/>
  <c r="J16" i="61" s="1"/>
  <c r="G48" i="60"/>
  <c r="G46" i="60"/>
  <c r="G47" i="60"/>
  <c r="I21" i="60"/>
  <c r="I22" i="60" s="1"/>
  <c r="H32" i="60"/>
  <c r="H33" i="60"/>
  <c r="H34" i="60"/>
  <c r="H35" i="60"/>
  <c r="J15" i="60"/>
  <c r="J16" i="60" s="1"/>
  <c r="F67" i="61"/>
  <c r="F52" i="60"/>
  <c r="F54" i="60" s="1"/>
  <c r="F63" i="61"/>
  <c r="F49" i="60"/>
  <c r="I41" i="58"/>
  <c r="I39" i="58"/>
  <c r="K15" i="58"/>
  <c r="K16" i="58" s="1"/>
  <c r="G59" i="58"/>
  <c r="G61" i="58" s="1"/>
  <c r="G65" i="61"/>
  <c r="G61" i="61"/>
  <c r="G56" i="58"/>
  <c r="H55" i="58"/>
  <c r="H54" i="58"/>
  <c r="H53" i="58"/>
  <c r="J28" i="58"/>
  <c r="J21" i="58"/>
  <c r="J22" i="58" s="1"/>
  <c r="H39" i="59"/>
  <c r="F62" i="61"/>
  <c r="F56" i="59"/>
  <c r="J15" i="59"/>
  <c r="J16" i="59"/>
  <c r="F66" i="61"/>
  <c r="F59" i="59"/>
  <c r="F61" i="59" s="1"/>
  <c r="I21" i="59"/>
  <c r="I22" i="59" s="1"/>
  <c r="I28" i="59"/>
  <c r="G48" i="59"/>
  <c r="G50" i="59" s="1"/>
  <c r="K14" i="64"/>
  <c r="J18" i="64"/>
  <c r="J20" i="64" s="1"/>
  <c r="I26" i="64"/>
  <c r="H48" i="70" s="1"/>
  <c r="I27" i="64"/>
  <c r="H49" i="70" s="1"/>
  <c r="I30" i="64"/>
  <c r="H51" i="70" s="1"/>
  <c r="I31" i="64"/>
  <c r="H52" i="70" s="1"/>
  <c r="H46" i="64"/>
  <c r="H47" i="64" s="1"/>
  <c r="H60" i="64" s="1"/>
  <c r="G55" i="64"/>
  <c r="G53" i="64"/>
  <c r="G54" i="64"/>
  <c r="H36" i="65"/>
  <c r="H42" i="65" s="1"/>
  <c r="G48" i="65"/>
  <c r="G50" i="65" s="1"/>
  <c r="G55" i="65" s="1"/>
  <c r="J15" i="65"/>
  <c r="J16" i="65" s="1"/>
  <c r="I28" i="65"/>
  <c r="I21" i="65"/>
  <c r="I22" i="65" s="1"/>
  <c r="G66" i="42"/>
  <c r="G59" i="40"/>
  <c r="G61" i="40" s="1"/>
  <c r="L14" i="40"/>
  <c r="K18" i="40"/>
  <c r="K20" i="40" s="1"/>
  <c r="I43" i="40"/>
  <c r="J31" i="40"/>
  <c r="I14" i="70" s="1"/>
  <c r="J30" i="40"/>
  <c r="I13" i="70" s="1"/>
  <c r="J26" i="40"/>
  <c r="J27" i="40"/>
  <c r="I11" i="70" s="1"/>
  <c r="G56" i="40"/>
  <c r="G62" i="42"/>
  <c r="H55" i="40"/>
  <c r="H53" i="40"/>
  <c r="H54" i="40"/>
  <c r="I46" i="40"/>
  <c r="I47" i="40" s="1"/>
  <c r="I60" i="40" s="1"/>
  <c r="F55" i="13"/>
  <c r="F53" i="13"/>
  <c r="F54" i="13"/>
  <c r="J15" i="13"/>
  <c r="J16" i="13" s="1"/>
  <c r="H40" i="13"/>
  <c r="H39" i="13"/>
  <c r="I21" i="13"/>
  <c r="I22" i="13"/>
  <c r="I28" i="13"/>
  <c r="E70" i="42"/>
  <c r="E69" i="42"/>
  <c r="G48" i="13"/>
  <c r="H42" i="59" l="1"/>
  <c r="J36" i="40"/>
  <c r="I10" i="70"/>
  <c r="G56" i="63"/>
  <c r="I36" i="63"/>
  <c r="I41" i="63" s="1"/>
  <c r="I40" i="58"/>
  <c r="I43" i="58" s="1"/>
  <c r="H41" i="59"/>
  <c r="H43" i="59" s="1"/>
  <c r="F66" i="42"/>
  <c r="F59" i="40"/>
  <c r="F61" i="40" s="1"/>
  <c r="F56" i="40"/>
  <c r="F62" i="42"/>
  <c r="H55" i="62"/>
  <c r="H54" i="62"/>
  <c r="H53" i="62"/>
  <c r="I48" i="62"/>
  <c r="I50" i="62" s="1"/>
  <c r="I46" i="62"/>
  <c r="I47" i="62" s="1"/>
  <c r="I60" i="62" s="1"/>
  <c r="J26" i="62"/>
  <c r="J27" i="62"/>
  <c r="J36" i="62" s="1"/>
  <c r="I43" i="62"/>
  <c r="K18" i="62"/>
  <c r="K20" i="62" s="1"/>
  <c r="L14" i="62"/>
  <c r="J30" i="62"/>
  <c r="J31" i="62"/>
  <c r="H42" i="13"/>
  <c r="H39" i="65"/>
  <c r="J21" i="69"/>
  <c r="J22" i="69" s="1"/>
  <c r="I30" i="69"/>
  <c r="I36" i="69" s="1"/>
  <c r="I31" i="69"/>
  <c r="K15" i="69"/>
  <c r="K16" i="69" s="1"/>
  <c r="H51" i="69"/>
  <c r="H54" i="69" s="1"/>
  <c r="H53" i="69"/>
  <c r="H52" i="69"/>
  <c r="K14" i="67"/>
  <c r="J18" i="67"/>
  <c r="J20" i="67" s="1"/>
  <c r="I26" i="67"/>
  <c r="I29" i="67"/>
  <c r="I25" i="67"/>
  <c r="H39" i="67"/>
  <c r="H40" i="67" s="1"/>
  <c r="H53" i="67" s="1"/>
  <c r="G46" i="67"/>
  <c r="G47" i="67"/>
  <c r="G48" i="67"/>
  <c r="H41" i="65"/>
  <c r="G54" i="65"/>
  <c r="H40" i="65"/>
  <c r="G53" i="65"/>
  <c r="I39" i="63"/>
  <c r="J28" i="63"/>
  <c r="J21" i="63"/>
  <c r="J22" i="63" s="1"/>
  <c r="H48" i="63"/>
  <c r="H50" i="63" s="1"/>
  <c r="K15" i="63"/>
  <c r="K16" i="63" s="1"/>
  <c r="H42" i="61"/>
  <c r="H46" i="61" s="1"/>
  <c r="H48" i="61" s="1"/>
  <c r="H39" i="61"/>
  <c r="H43" i="61" s="1"/>
  <c r="H41" i="61"/>
  <c r="H40" i="61"/>
  <c r="J18" i="61"/>
  <c r="J20" i="61" s="1"/>
  <c r="K14" i="61"/>
  <c r="I27" i="61"/>
  <c r="I28" i="61"/>
  <c r="I26" i="61"/>
  <c r="G43" i="61"/>
  <c r="G51" i="61"/>
  <c r="G52" i="61"/>
  <c r="G53" i="61"/>
  <c r="I25" i="60"/>
  <c r="I26" i="60"/>
  <c r="I29" i="60"/>
  <c r="J18" i="60"/>
  <c r="J20" i="60" s="1"/>
  <c r="K14" i="60"/>
  <c r="H36" i="60"/>
  <c r="G63" i="61"/>
  <c r="G49" i="60"/>
  <c r="H39" i="60"/>
  <c r="H40" i="60" s="1"/>
  <c r="H53" i="60" s="1"/>
  <c r="H41" i="60"/>
  <c r="H43" i="60" s="1"/>
  <c r="G67" i="61"/>
  <c r="G52" i="60"/>
  <c r="G54" i="60" s="1"/>
  <c r="J26" i="58"/>
  <c r="J27" i="58"/>
  <c r="L14" i="58"/>
  <c r="K18" i="58"/>
  <c r="K20" i="58" s="1"/>
  <c r="J30" i="58"/>
  <c r="J31" i="58"/>
  <c r="J36" i="58" s="1"/>
  <c r="H59" i="58"/>
  <c r="H61" i="58" s="1"/>
  <c r="H65" i="61"/>
  <c r="I46" i="58"/>
  <c r="I47" i="58" s="1"/>
  <c r="I60" i="58" s="1"/>
  <c r="H61" i="61"/>
  <c r="H56" i="58"/>
  <c r="I26" i="59"/>
  <c r="H29" i="70" s="1"/>
  <c r="I27" i="59"/>
  <c r="H30" i="70" s="1"/>
  <c r="I31" i="59"/>
  <c r="H33" i="70" s="1"/>
  <c r="I30" i="59"/>
  <c r="H32" i="70" s="1"/>
  <c r="J18" i="59"/>
  <c r="J20" i="59" s="1"/>
  <c r="K14" i="59"/>
  <c r="G55" i="59"/>
  <c r="G53" i="59"/>
  <c r="G54" i="59"/>
  <c r="F70" i="61"/>
  <c r="F69" i="61"/>
  <c r="F71" i="61"/>
  <c r="H46" i="59"/>
  <c r="H47" i="59" s="1"/>
  <c r="H60" i="59" s="1"/>
  <c r="I36" i="64"/>
  <c r="I41" i="64" s="1"/>
  <c r="I40" i="64"/>
  <c r="I42" i="64"/>
  <c r="G62" i="68"/>
  <c r="G56" i="64"/>
  <c r="G66" i="68"/>
  <c r="G59" i="64"/>
  <c r="G61" i="64" s="1"/>
  <c r="J21" i="64"/>
  <c r="J22" i="64" s="1"/>
  <c r="J28" i="64"/>
  <c r="H48" i="64"/>
  <c r="H50" i="64" s="1"/>
  <c r="K15" i="64"/>
  <c r="K16" i="64"/>
  <c r="J18" i="65"/>
  <c r="J20" i="65" s="1"/>
  <c r="K14" i="65"/>
  <c r="I26" i="65"/>
  <c r="H67" i="70" s="1"/>
  <c r="I27" i="65"/>
  <c r="H68" i="70" s="1"/>
  <c r="G66" i="69"/>
  <c r="G59" i="65"/>
  <c r="G61" i="65" s="1"/>
  <c r="I31" i="65"/>
  <c r="H71" i="70" s="1"/>
  <c r="I30" i="65"/>
  <c r="H70" i="70" s="1"/>
  <c r="G62" i="69"/>
  <c r="H46" i="65"/>
  <c r="H47" i="65" s="1"/>
  <c r="H60" i="65" s="1"/>
  <c r="J39" i="40"/>
  <c r="J40" i="40"/>
  <c r="J42" i="40"/>
  <c r="J41" i="40"/>
  <c r="K28" i="40"/>
  <c r="K21" i="40"/>
  <c r="K22" i="40" s="1"/>
  <c r="L15" i="40"/>
  <c r="L16" i="40" s="1"/>
  <c r="H62" i="42"/>
  <c r="H56" i="40"/>
  <c r="I48" i="40"/>
  <c r="H66" i="42"/>
  <c r="H59" i="40"/>
  <c r="H61" i="40" s="1"/>
  <c r="H46" i="13"/>
  <c r="H47" i="13" s="1"/>
  <c r="H60" i="13" s="1"/>
  <c r="K14" i="13"/>
  <c r="J18" i="13"/>
  <c r="J20" i="13" s="1"/>
  <c r="F61" i="42"/>
  <c r="F56" i="13"/>
  <c r="I26" i="13"/>
  <c r="I27" i="13"/>
  <c r="E6" i="25"/>
  <c r="E10" i="25" s="1"/>
  <c r="E14" i="25" s="1"/>
  <c r="G50" i="13"/>
  <c r="I30" i="13"/>
  <c r="I31" i="13"/>
  <c r="H43" i="13"/>
  <c r="F65" i="42"/>
  <c r="F59" i="13"/>
  <c r="F61" i="13" s="1"/>
  <c r="I39" i="64" l="1"/>
  <c r="I40" i="63"/>
  <c r="I43" i="63" s="1"/>
  <c r="I42" i="63"/>
  <c r="I46" i="63" s="1"/>
  <c r="I47" i="63" s="1"/>
  <c r="I60" i="63" s="1"/>
  <c r="H43" i="65"/>
  <c r="J42" i="62"/>
  <c r="J40" i="62"/>
  <c r="J41" i="62"/>
  <c r="J39" i="62"/>
  <c r="J43" i="62" s="1"/>
  <c r="L15" i="62"/>
  <c r="L16" i="62"/>
  <c r="H56" i="62"/>
  <c r="H61" i="68"/>
  <c r="K21" i="62"/>
  <c r="K22" i="62"/>
  <c r="K28" i="62"/>
  <c r="I53" i="62"/>
  <c r="I54" i="62"/>
  <c r="I55" i="62"/>
  <c r="H59" i="62"/>
  <c r="H61" i="62" s="1"/>
  <c r="H65" i="68"/>
  <c r="I36" i="13"/>
  <c r="G56" i="65"/>
  <c r="H48" i="59"/>
  <c r="H50" i="59" s="1"/>
  <c r="H55" i="59" s="1"/>
  <c r="I36" i="59"/>
  <c r="I42" i="59" s="1"/>
  <c r="I41" i="69"/>
  <c r="I42" i="69"/>
  <c r="I46" i="69" s="1"/>
  <c r="I48" i="69" s="1"/>
  <c r="I39" i="69"/>
  <c r="I40" i="69"/>
  <c r="L14" i="69"/>
  <c r="K18" i="69"/>
  <c r="K20" i="69" s="1"/>
  <c r="J28" i="69"/>
  <c r="J26" i="69"/>
  <c r="J27" i="69"/>
  <c r="H41" i="67"/>
  <c r="H43" i="67" s="1"/>
  <c r="I35" i="67"/>
  <c r="I34" i="67"/>
  <c r="I32" i="67"/>
  <c r="I36" i="67" s="1"/>
  <c r="I33" i="67"/>
  <c r="G52" i="67"/>
  <c r="G54" i="67" s="1"/>
  <c r="G67" i="69"/>
  <c r="J22" i="67"/>
  <c r="J21" i="67"/>
  <c r="G63" i="69"/>
  <c r="G71" i="69" s="1"/>
  <c r="G49" i="67"/>
  <c r="K15" i="67"/>
  <c r="K16" i="67" s="1"/>
  <c r="I36" i="65"/>
  <c r="I42" i="65" s="1"/>
  <c r="J26" i="63"/>
  <c r="J27" i="63"/>
  <c r="H53" i="63"/>
  <c r="H54" i="63"/>
  <c r="H55" i="63"/>
  <c r="K18" i="63"/>
  <c r="K20" i="63" s="1"/>
  <c r="L14" i="63"/>
  <c r="J30" i="63"/>
  <c r="J31" i="63"/>
  <c r="I30" i="61"/>
  <c r="I36" i="61" s="1"/>
  <c r="I31" i="61"/>
  <c r="G54" i="61"/>
  <c r="K15" i="61"/>
  <c r="K16" i="61" s="1"/>
  <c r="J21" i="61"/>
  <c r="J22" i="61"/>
  <c r="H51" i="61"/>
  <c r="H53" i="61"/>
  <c r="H52" i="61"/>
  <c r="H48" i="60"/>
  <c r="H46" i="60"/>
  <c r="H47" i="60"/>
  <c r="I35" i="60"/>
  <c r="I33" i="60"/>
  <c r="I34" i="60"/>
  <c r="I32" i="60"/>
  <c r="I36" i="60" s="1"/>
  <c r="J21" i="60"/>
  <c r="J22" i="60" s="1"/>
  <c r="K15" i="60"/>
  <c r="K16" i="60"/>
  <c r="J41" i="58"/>
  <c r="J40" i="58"/>
  <c r="J39" i="58"/>
  <c r="J42" i="58"/>
  <c r="I48" i="58"/>
  <c r="I50" i="58" s="1"/>
  <c r="L15" i="58"/>
  <c r="L16" i="58"/>
  <c r="K21" i="58"/>
  <c r="K22" i="58" s="1"/>
  <c r="K28" i="58"/>
  <c r="G56" i="59"/>
  <c r="G62" i="61"/>
  <c r="K15" i="59"/>
  <c r="K16" i="59" s="1"/>
  <c r="G66" i="61"/>
  <c r="G59" i="59"/>
  <c r="G61" i="59" s="1"/>
  <c r="J28" i="59"/>
  <c r="J21" i="59"/>
  <c r="J22" i="59" s="1"/>
  <c r="I43" i="64"/>
  <c r="J30" i="64"/>
  <c r="I51" i="70" s="1"/>
  <c r="J31" i="64"/>
  <c r="I52" i="70" s="1"/>
  <c r="H54" i="64"/>
  <c r="H55" i="64"/>
  <c r="H53" i="64"/>
  <c r="J26" i="64"/>
  <c r="I48" i="70" s="1"/>
  <c r="J27" i="64"/>
  <c r="I46" i="64"/>
  <c r="I47" i="64" s="1"/>
  <c r="I60" i="64" s="1"/>
  <c r="L14" i="64"/>
  <c r="K18" i="64"/>
  <c r="K20" i="64" s="1"/>
  <c r="G70" i="68"/>
  <c r="G71" i="68"/>
  <c r="G69" i="68"/>
  <c r="K15" i="65"/>
  <c r="K16" i="65" s="1"/>
  <c r="G70" i="69"/>
  <c r="G69" i="69"/>
  <c r="H48" i="65"/>
  <c r="H50" i="65" s="1"/>
  <c r="J21" i="65"/>
  <c r="J22" i="65" s="1"/>
  <c r="J28" i="65"/>
  <c r="M14" i="40"/>
  <c r="L18" i="40"/>
  <c r="L20" i="40" s="1"/>
  <c r="K26" i="40"/>
  <c r="J10" i="70" s="1"/>
  <c r="K27" i="40"/>
  <c r="J11" i="70" s="1"/>
  <c r="J46" i="40"/>
  <c r="J47" i="40" s="1"/>
  <c r="J60" i="40" s="1"/>
  <c r="I50" i="40"/>
  <c r="H7" i="25"/>
  <c r="K31" i="40"/>
  <c r="J14" i="70" s="1"/>
  <c r="K30" i="40"/>
  <c r="J13" i="70" s="1"/>
  <c r="J43" i="40"/>
  <c r="I41" i="13"/>
  <c r="I42" i="13"/>
  <c r="I39" i="13"/>
  <c r="I40" i="13"/>
  <c r="K15" i="13"/>
  <c r="K16" i="13" s="1"/>
  <c r="H48" i="13"/>
  <c r="F70" i="42"/>
  <c r="F71" i="42"/>
  <c r="F69" i="42"/>
  <c r="G53" i="13"/>
  <c r="G54" i="13"/>
  <c r="G55" i="13"/>
  <c r="J21" i="13"/>
  <c r="J22" i="13" s="1"/>
  <c r="J28" i="13"/>
  <c r="I41" i="65" l="1"/>
  <c r="I40" i="65"/>
  <c r="J36" i="64"/>
  <c r="I49" i="70"/>
  <c r="J36" i="63"/>
  <c r="J40" i="63" s="1"/>
  <c r="I39" i="65"/>
  <c r="I61" i="68"/>
  <c r="I56" i="62"/>
  <c r="K31" i="62"/>
  <c r="K30" i="62"/>
  <c r="I65" i="68"/>
  <c r="I59" i="62"/>
  <c r="I61" i="62" s="1"/>
  <c r="K27" i="62"/>
  <c r="K36" i="62" s="1"/>
  <c r="K26" i="62"/>
  <c r="L18" i="62"/>
  <c r="L20" i="62" s="1"/>
  <c r="M14" i="62"/>
  <c r="J46" i="62"/>
  <c r="J47" i="62" s="1"/>
  <c r="J60" i="62" s="1"/>
  <c r="H53" i="59"/>
  <c r="H56" i="59" s="1"/>
  <c r="H54" i="59"/>
  <c r="I41" i="59"/>
  <c r="I39" i="59"/>
  <c r="I40" i="59"/>
  <c r="K36" i="40"/>
  <c r="J48" i="40"/>
  <c r="J30" i="69"/>
  <c r="J31" i="69"/>
  <c r="I43" i="69"/>
  <c r="K21" i="69"/>
  <c r="K22" i="69" s="1"/>
  <c r="I51" i="69"/>
  <c r="I52" i="69"/>
  <c r="I53" i="69"/>
  <c r="L15" i="69"/>
  <c r="L16" i="69"/>
  <c r="L14" i="67"/>
  <c r="K18" i="67"/>
  <c r="K20" i="67" s="1"/>
  <c r="I41" i="67"/>
  <c r="I43" i="67" s="1"/>
  <c r="I39" i="67"/>
  <c r="I40" i="67" s="1"/>
  <c r="I53" i="67" s="1"/>
  <c r="J25" i="67"/>
  <c r="J26" i="67"/>
  <c r="J29" i="67"/>
  <c r="H46" i="67"/>
  <c r="H48" i="67"/>
  <c r="H47" i="67"/>
  <c r="L15" i="63"/>
  <c r="L16" i="63" s="1"/>
  <c r="K21" i="63"/>
  <c r="K22" i="63" s="1"/>
  <c r="K28" i="63"/>
  <c r="H65" i="69"/>
  <c r="H59" i="63"/>
  <c r="H61" i="63" s="1"/>
  <c r="H61" i="69"/>
  <c r="H56" i="63"/>
  <c r="I48" i="63"/>
  <c r="I50" i="63" s="1"/>
  <c r="J42" i="63"/>
  <c r="J41" i="63"/>
  <c r="K18" i="61"/>
  <c r="K20" i="61" s="1"/>
  <c r="L14" i="61"/>
  <c r="I42" i="61"/>
  <c r="I46" i="61" s="1"/>
  <c r="I48" i="61" s="1"/>
  <c r="I39" i="61"/>
  <c r="I40" i="61"/>
  <c r="I41" i="61"/>
  <c r="J26" i="61"/>
  <c r="J27" i="61"/>
  <c r="J28" i="61"/>
  <c r="H54" i="61"/>
  <c r="J25" i="60"/>
  <c r="J26" i="60"/>
  <c r="J29" i="60"/>
  <c r="H63" i="61"/>
  <c r="H49" i="60"/>
  <c r="K18" i="60"/>
  <c r="K20" i="60" s="1"/>
  <c r="L14" i="60"/>
  <c r="H67" i="61"/>
  <c r="H52" i="60"/>
  <c r="H54" i="60" s="1"/>
  <c r="I39" i="60"/>
  <c r="I40" i="60" s="1"/>
  <c r="I53" i="60" s="1"/>
  <c r="K27" i="58"/>
  <c r="K26" i="58"/>
  <c r="K36" i="58" s="1"/>
  <c r="M14" i="58"/>
  <c r="L18" i="58"/>
  <c r="L20" i="58" s="1"/>
  <c r="J43" i="58"/>
  <c r="J46" i="58"/>
  <c r="J47" i="58" s="1"/>
  <c r="J60" i="58" s="1"/>
  <c r="K30" i="58"/>
  <c r="K31" i="58"/>
  <c r="I53" i="58"/>
  <c r="I54" i="58"/>
  <c r="I55" i="58"/>
  <c r="J26" i="59"/>
  <c r="I29" i="70" s="1"/>
  <c r="J27" i="59"/>
  <c r="I30" i="70" s="1"/>
  <c r="J30" i="59"/>
  <c r="I32" i="70" s="1"/>
  <c r="J31" i="59"/>
  <c r="I33" i="70" s="1"/>
  <c r="L14" i="59"/>
  <c r="K18" i="59"/>
  <c r="K20" i="59" s="1"/>
  <c r="G69" i="61"/>
  <c r="G70" i="61"/>
  <c r="G71" i="61"/>
  <c r="H66" i="61"/>
  <c r="H59" i="59"/>
  <c r="H61" i="59" s="1"/>
  <c r="I46" i="59"/>
  <c r="I47" i="59" s="1"/>
  <c r="I60" i="59" s="1"/>
  <c r="J39" i="64"/>
  <c r="J42" i="64"/>
  <c r="J41" i="64"/>
  <c r="J40" i="64"/>
  <c r="I48" i="64"/>
  <c r="I50" i="64" s="1"/>
  <c r="H62" i="68"/>
  <c r="H56" i="64"/>
  <c r="K28" i="64"/>
  <c r="K21" i="64"/>
  <c r="K22" i="64" s="1"/>
  <c r="H66" i="68"/>
  <c r="H59" i="64"/>
  <c r="H61" i="64" s="1"/>
  <c r="L15" i="64"/>
  <c r="L16" i="64" s="1"/>
  <c r="J27" i="65"/>
  <c r="I68" i="70" s="1"/>
  <c r="J26" i="65"/>
  <c r="I67" i="70" s="1"/>
  <c r="I43" i="65"/>
  <c r="I46" i="65"/>
  <c r="I47" i="65" s="1"/>
  <c r="I60" i="65" s="1"/>
  <c r="H53" i="65"/>
  <c r="H54" i="65"/>
  <c r="H55" i="65"/>
  <c r="K18" i="65"/>
  <c r="K20" i="65" s="1"/>
  <c r="L14" i="65"/>
  <c r="J31" i="65"/>
  <c r="I71" i="70" s="1"/>
  <c r="J30" i="65"/>
  <c r="I70" i="70" s="1"/>
  <c r="I55" i="40"/>
  <c r="I54" i="40"/>
  <c r="I53" i="40"/>
  <c r="K39" i="40"/>
  <c r="K42" i="40"/>
  <c r="K41" i="40"/>
  <c r="K40" i="40"/>
  <c r="I7" i="25"/>
  <c r="J50" i="40"/>
  <c r="L21" i="40"/>
  <c r="L22" i="40" s="1"/>
  <c r="L28" i="40"/>
  <c r="M15" i="40"/>
  <c r="M16" i="40" s="1"/>
  <c r="J26" i="13"/>
  <c r="J27" i="13"/>
  <c r="F6" i="25"/>
  <c r="F10" i="25" s="1"/>
  <c r="F14" i="25" s="1"/>
  <c r="H50" i="13"/>
  <c r="I43" i="13"/>
  <c r="J30" i="13"/>
  <c r="J31" i="13"/>
  <c r="G56" i="13"/>
  <c r="G61" i="42"/>
  <c r="G65" i="42"/>
  <c r="G59" i="13"/>
  <c r="G61" i="13" s="1"/>
  <c r="L14" i="13"/>
  <c r="K18" i="13"/>
  <c r="K20" i="13" s="1"/>
  <c r="I46" i="13"/>
  <c r="I47" i="13" s="1"/>
  <c r="I60" i="13" s="1"/>
  <c r="H62" i="61" l="1"/>
  <c r="J39" i="63"/>
  <c r="J43" i="63" s="1"/>
  <c r="J48" i="58"/>
  <c r="J50" i="58" s="1"/>
  <c r="K42" i="62"/>
  <c r="K39" i="62"/>
  <c r="K40" i="62"/>
  <c r="K41" i="62"/>
  <c r="M15" i="62"/>
  <c r="M16" i="62"/>
  <c r="L21" i="62"/>
  <c r="L22" i="62" s="1"/>
  <c r="L28" i="62"/>
  <c r="J48" i="62"/>
  <c r="J50" i="62" s="1"/>
  <c r="J36" i="13"/>
  <c r="J40" i="13" s="1"/>
  <c r="I48" i="13"/>
  <c r="I43" i="59"/>
  <c r="J36" i="59"/>
  <c r="J42" i="59" s="1"/>
  <c r="K43" i="40"/>
  <c r="K27" i="69"/>
  <c r="K28" i="69"/>
  <c r="K26" i="69"/>
  <c r="L18" i="69"/>
  <c r="L20" i="69" s="1"/>
  <c r="M14" i="69"/>
  <c r="I54" i="69"/>
  <c r="J36" i="69"/>
  <c r="I46" i="67"/>
  <c r="I47" i="67"/>
  <c r="I48" i="67"/>
  <c r="H67" i="69"/>
  <c r="H52" i="67"/>
  <c r="H54" i="67" s="1"/>
  <c r="K21" i="67"/>
  <c r="K22" i="67"/>
  <c r="J35" i="67"/>
  <c r="J34" i="67"/>
  <c r="J32" i="67"/>
  <c r="J33" i="67"/>
  <c r="H63" i="69"/>
  <c r="H49" i="67"/>
  <c r="L15" i="67"/>
  <c r="L16" i="67" s="1"/>
  <c r="K27" i="63"/>
  <c r="K26" i="63"/>
  <c r="M14" i="63"/>
  <c r="L18" i="63"/>
  <c r="L20" i="63" s="1"/>
  <c r="J46" i="63"/>
  <c r="J47" i="63" s="1"/>
  <c r="J60" i="63" s="1"/>
  <c r="K31" i="63"/>
  <c r="K30" i="63"/>
  <c r="I54" i="63"/>
  <c r="I53" i="63"/>
  <c r="I55" i="63"/>
  <c r="I43" i="61"/>
  <c r="I51" i="61"/>
  <c r="I53" i="61"/>
  <c r="I52" i="61"/>
  <c r="J31" i="61"/>
  <c r="J30" i="61"/>
  <c r="J36" i="61" s="1"/>
  <c r="L15" i="61"/>
  <c r="L16" i="61"/>
  <c r="K21" i="61"/>
  <c r="K22" i="61" s="1"/>
  <c r="I41" i="60"/>
  <c r="I43" i="60" s="1"/>
  <c r="L15" i="60"/>
  <c r="L16" i="60"/>
  <c r="J35" i="60"/>
  <c r="J34" i="60"/>
  <c r="J33" i="60"/>
  <c r="J32" i="60"/>
  <c r="K21" i="60"/>
  <c r="K22" i="60" s="1"/>
  <c r="K41" i="58"/>
  <c r="K42" i="58"/>
  <c r="K40" i="58"/>
  <c r="K39" i="58"/>
  <c r="I61" i="61"/>
  <c r="I56" i="58"/>
  <c r="J55" i="58"/>
  <c r="J54" i="58"/>
  <c r="J53" i="58"/>
  <c r="M15" i="58"/>
  <c r="M16" i="58"/>
  <c r="I65" i="61"/>
  <c r="I59" i="58"/>
  <c r="I61" i="58" s="1"/>
  <c r="L21" i="58"/>
  <c r="L22" i="58" s="1"/>
  <c r="L28" i="58"/>
  <c r="K21" i="59"/>
  <c r="K22" i="59" s="1"/>
  <c r="K28" i="59"/>
  <c r="L15" i="59"/>
  <c r="L16" i="59" s="1"/>
  <c r="H70" i="61"/>
  <c r="H71" i="61"/>
  <c r="H69" i="61"/>
  <c r="I48" i="59"/>
  <c r="I50" i="59" s="1"/>
  <c r="M14" i="64"/>
  <c r="L18" i="64"/>
  <c r="L20" i="64" s="1"/>
  <c r="K27" i="64"/>
  <c r="J49" i="70" s="1"/>
  <c r="K26" i="64"/>
  <c r="J48" i="70" s="1"/>
  <c r="K31" i="64"/>
  <c r="J52" i="70" s="1"/>
  <c r="K30" i="64"/>
  <c r="J51" i="70" s="1"/>
  <c r="H70" i="68"/>
  <c r="H69" i="68"/>
  <c r="H71" i="68"/>
  <c r="J46" i="64"/>
  <c r="J47" i="64" s="1"/>
  <c r="J60" i="64" s="1"/>
  <c r="I55" i="64"/>
  <c r="I54" i="64"/>
  <c r="I53" i="64"/>
  <c r="J43" i="64"/>
  <c r="J36" i="65"/>
  <c r="J41" i="65" s="1"/>
  <c r="L15" i="65"/>
  <c r="L16" i="65" s="1"/>
  <c r="H62" i="69"/>
  <c r="H56" i="65"/>
  <c r="K21" i="65"/>
  <c r="K22" i="65" s="1"/>
  <c r="K28" i="65"/>
  <c r="H66" i="69"/>
  <c r="H59" i="65"/>
  <c r="H61" i="65" s="1"/>
  <c r="I48" i="65"/>
  <c r="I50" i="65" s="1"/>
  <c r="M18" i="40"/>
  <c r="M20" i="40" s="1"/>
  <c r="N14" i="40"/>
  <c r="L30" i="40"/>
  <c r="K13" i="70" s="1"/>
  <c r="L31" i="40"/>
  <c r="K14" i="70" s="1"/>
  <c r="L27" i="40"/>
  <c r="K11" i="70" s="1"/>
  <c r="L26" i="40"/>
  <c r="K10" i="70" s="1"/>
  <c r="I56" i="40"/>
  <c r="I62" i="42"/>
  <c r="J55" i="40"/>
  <c r="J54" i="40"/>
  <c r="J53" i="40"/>
  <c r="K46" i="40"/>
  <c r="K47" i="40" s="1"/>
  <c r="K60" i="40" s="1"/>
  <c r="I66" i="42"/>
  <c r="I59" i="40"/>
  <c r="I61" i="40" s="1"/>
  <c r="J42" i="13"/>
  <c r="J41" i="13"/>
  <c r="K21" i="13"/>
  <c r="K22" i="13" s="1"/>
  <c r="K28" i="13"/>
  <c r="G70" i="42"/>
  <c r="G71" i="42"/>
  <c r="G69" i="42"/>
  <c r="G6" i="25"/>
  <c r="G10" i="25" s="1"/>
  <c r="G14" i="25" s="1"/>
  <c r="I50" i="13"/>
  <c r="L15" i="13"/>
  <c r="L16" i="13" s="1"/>
  <c r="H53" i="13"/>
  <c r="H55" i="13"/>
  <c r="H54" i="13"/>
  <c r="J40" i="59" l="1"/>
  <c r="J39" i="59"/>
  <c r="J41" i="59"/>
  <c r="J43" i="59" s="1"/>
  <c r="J48" i="63"/>
  <c r="J50" i="63" s="1"/>
  <c r="J54" i="63" s="1"/>
  <c r="K36" i="63"/>
  <c r="K41" i="63" s="1"/>
  <c r="K43" i="58"/>
  <c r="L27" i="62"/>
  <c r="L26" i="62"/>
  <c r="L36" i="62" s="1"/>
  <c r="J53" i="62"/>
  <c r="J55" i="62"/>
  <c r="J54" i="62"/>
  <c r="M18" i="62"/>
  <c r="M20" i="62" s="1"/>
  <c r="N14" i="62"/>
  <c r="K43" i="62"/>
  <c r="L31" i="62"/>
  <c r="L30" i="62"/>
  <c r="K46" i="62"/>
  <c r="K47" i="62" s="1"/>
  <c r="K60" i="62" s="1"/>
  <c r="J39" i="13"/>
  <c r="J43" i="13" s="1"/>
  <c r="J39" i="65"/>
  <c r="J42" i="65"/>
  <c r="J46" i="65" s="1"/>
  <c r="J47" i="65" s="1"/>
  <c r="J60" i="65" s="1"/>
  <c r="L36" i="40"/>
  <c r="L40" i="40" s="1"/>
  <c r="M15" i="69"/>
  <c r="M16" i="69" s="1"/>
  <c r="J42" i="69"/>
  <c r="J46" i="69" s="1"/>
  <c r="J48" i="69" s="1"/>
  <c r="J41" i="69"/>
  <c r="J40" i="69"/>
  <c r="J39" i="69"/>
  <c r="K30" i="69"/>
  <c r="K36" i="69" s="1"/>
  <c r="K31" i="69"/>
  <c r="L21" i="69"/>
  <c r="L22" i="69" s="1"/>
  <c r="M14" i="67"/>
  <c r="L18" i="67"/>
  <c r="L20" i="67" s="1"/>
  <c r="K26" i="67"/>
  <c r="K29" i="67"/>
  <c r="K25" i="67"/>
  <c r="I67" i="69"/>
  <c r="I52" i="67"/>
  <c r="I54" i="67" s="1"/>
  <c r="J39" i="67"/>
  <c r="J40" i="67" s="1"/>
  <c r="J53" i="67" s="1"/>
  <c r="J36" i="67"/>
  <c r="I63" i="69"/>
  <c r="I49" i="67"/>
  <c r="J40" i="65"/>
  <c r="I65" i="69"/>
  <c r="I59" i="63"/>
  <c r="I61" i="63" s="1"/>
  <c r="M15" i="63"/>
  <c r="M16" i="63" s="1"/>
  <c r="J53" i="63"/>
  <c r="J55" i="63"/>
  <c r="I56" i="63"/>
  <c r="I61" i="69"/>
  <c r="L28" i="63"/>
  <c r="L21" i="63"/>
  <c r="L22" i="63" s="1"/>
  <c r="K26" i="61"/>
  <c r="K27" i="61"/>
  <c r="K28" i="61"/>
  <c r="M14" i="61"/>
  <c r="L18" i="61"/>
  <c r="L20" i="61" s="1"/>
  <c r="J42" i="61"/>
  <c r="J46" i="61" s="1"/>
  <c r="J48" i="61" s="1"/>
  <c r="J41" i="61"/>
  <c r="J39" i="61"/>
  <c r="J40" i="61"/>
  <c r="I54" i="61"/>
  <c r="K25" i="60"/>
  <c r="K26" i="60"/>
  <c r="K29" i="60"/>
  <c r="J39" i="60"/>
  <c r="J40" i="60" s="1"/>
  <c r="J53" i="60" s="1"/>
  <c r="J36" i="60"/>
  <c r="L18" i="60"/>
  <c r="L20" i="60" s="1"/>
  <c r="M14" i="60"/>
  <c r="I48" i="60"/>
  <c r="I46" i="60"/>
  <c r="I47" i="60"/>
  <c r="L26" i="58"/>
  <c r="L27" i="58"/>
  <c r="L30" i="58"/>
  <c r="L31" i="58"/>
  <c r="N14" i="58"/>
  <c r="M18" i="58"/>
  <c r="M20" i="58" s="1"/>
  <c r="J65" i="61"/>
  <c r="J59" i="58"/>
  <c r="J61" i="58" s="1"/>
  <c r="K46" i="58"/>
  <c r="K47" i="58" s="1"/>
  <c r="K60" i="58" s="1"/>
  <c r="J61" i="61"/>
  <c r="J56" i="58"/>
  <c r="M14" i="59"/>
  <c r="L18" i="59"/>
  <c r="L20" i="59" s="1"/>
  <c r="K26" i="59"/>
  <c r="J29" i="70" s="1"/>
  <c r="K27" i="59"/>
  <c r="J30" i="70" s="1"/>
  <c r="K30" i="59"/>
  <c r="J32" i="70" s="1"/>
  <c r="K31" i="59"/>
  <c r="J33" i="70" s="1"/>
  <c r="I53" i="59"/>
  <c r="I55" i="59"/>
  <c r="I54" i="59"/>
  <c r="J46" i="59"/>
  <c r="J47" i="59" s="1"/>
  <c r="J60" i="59" s="1"/>
  <c r="K36" i="64"/>
  <c r="K40" i="64" s="1"/>
  <c r="I56" i="64"/>
  <c r="I62" i="68"/>
  <c r="L21" i="64"/>
  <c r="L22" i="64" s="1"/>
  <c r="L28" i="64"/>
  <c r="I66" i="68"/>
  <c r="I59" i="64"/>
  <c r="I61" i="64" s="1"/>
  <c r="J48" i="64"/>
  <c r="J50" i="64" s="1"/>
  <c r="M15" i="64"/>
  <c r="M16" i="64" s="1"/>
  <c r="L18" i="65"/>
  <c r="L20" i="65" s="1"/>
  <c r="M14" i="65"/>
  <c r="H71" i="69"/>
  <c r="H70" i="69"/>
  <c r="H69" i="69"/>
  <c r="I55" i="65"/>
  <c r="I54" i="65"/>
  <c r="I53" i="65"/>
  <c r="K30" i="65"/>
  <c r="J70" i="70" s="1"/>
  <c r="K31" i="65"/>
  <c r="J71" i="70" s="1"/>
  <c r="K27" i="65"/>
  <c r="J68" i="70" s="1"/>
  <c r="K26" i="65"/>
  <c r="J67" i="70" s="1"/>
  <c r="L39" i="40"/>
  <c r="L42" i="40"/>
  <c r="J66" i="42"/>
  <c r="J59" i="40"/>
  <c r="J61" i="40" s="1"/>
  <c r="N15" i="40"/>
  <c r="N16" i="40" s="1"/>
  <c r="J62" i="42"/>
  <c r="J56" i="40"/>
  <c r="K48" i="40"/>
  <c r="M21" i="40"/>
  <c r="M22" i="40" s="1"/>
  <c r="M28" i="40"/>
  <c r="M14" i="13"/>
  <c r="L18" i="13"/>
  <c r="L20" i="13" s="1"/>
  <c r="K27" i="13"/>
  <c r="K26" i="13"/>
  <c r="H65" i="42"/>
  <c r="H59" i="13"/>
  <c r="H61" i="13" s="1"/>
  <c r="I54" i="13"/>
  <c r="I55" i="13"/>
  <c r="I53" i="13"/>
  <c r="H61" i="42"/>
  <c r="H56" i="13"/>
  <c r="K30" i="13"/>
  <c r="K31" i="13"/>
  <c r="J46" i="13"/>
  <c r="J47" i="13" s="1"/>
  <c r="J60" i="13" s="1"/>
  <c r="J43" i="65" l="1"/>
  <c r="K39" i="63"/>
  <c r="K42" i="63"/>
  <c r="K40" i="63"/>
  <c r="K43" i="63" s="1"/>
  <c r="L36" i="58"/>
  <c r="L41" i="62"/>
  <c r="L39" i="62"/>
  <c r="L40" i="62"/>
  <c r="L42" i="62"/>
  <c r="J61" i="68"/>
  <c r="J56" i="62"/>
  <c r="N15" i="62"/>
  <c r="N16" i="62"/>
  <c r="M28" i="62"/>
  <c r="M21" i="62"/>
  <c r="M22" i="62"/>
  <c r="K48" i="62"/>
  <c r="K50" i="62" s="1"/>
  <c r="J59" i="62"/>
  <c r="J61" i="62" s="1"/>
  <c r="J65" i="68"/>
  <c r="K36" i="13"/>
  <c r="K42" i="13" s="1"/>
  <c r="K36" i="59"/>
  <c r="K41" i="59" s="1"/>
  <c r="K39" i="64"/>
  <c r="K42" i="64"/>
  <c r="K41" i="64"/>
  <c r="L41" i="40"/>
  <c r="L43" i="40" s="1"/>
  <c r="K42" i="69"/>
  <c r="K46" i="69" s="1"/>
  <c r="K48" i="69" s="1"/>
  <c r="K40" i="69"/>
  <c r="K39" i="69"/>
  <c r="K41" i="69"/>
  <c r="L26" i="69"/>
  <c r="L27" i="69"/>
  <c r="L28" i="69"/>
  <c r="M18" i="69"/>
  <c r="M20" i="69" s="1"/>
  <c r="N14" i="69"/>
  <c r="J52" i="69"/>
  <c r="J51" i="69"/>
  <c r="J54" i="69" s="1"/>
  <c r="J53" i="69"/>
  <c r="J43" i="69"/>
  <c r="L21" i="67"/>
  <c r="L22" i="67" s="1"/>
  <c r="K35" i="67"/>
  <c r="K34" i="67"/>
  <c r="K32" i="67"/>
  <c r="K33" i="67"/>
  <c r="J41" i="67"/>
  <c r="J43" i="67" s="1"/>
  <c r="M15" i="67"/>
  <c r="M16" i="67" s="1"/>
  <c r="K36" i="65"/>
  <c r="K40" i="65" s="1"/>
  <c r="L26" i="63"/>
  <c r="L27" i="63"/>
  <c r="N14" i="63"/>
  <c r="M18" i="63"/>
  <c r="M20" i="63" s="1"/>
  <c r="L30" i="63"/>
  <c r="L31" i="63"/>
  <c r="J65" i="69"/>
  <c r="J59" i="63"/>
  <c r="J61" i="63" s="1"/>
  <c r="K46" i="63"/>
  <c r="K47" i="63" s="1"/>
  <c r="K60" i="63" s="1"/>
  <c r="J61" i="69"/>
  <c r="J56" i="63"/>
  <c r="K36" i="61"/>
  <c r="J43" i="61"/>
  <c r="K30" i="61"/>
  <c r="K31" i="61"/>
  <c r="M15" i="61"/>
  <c r="M16" i="61"/>
  <c r="J51" i="61"/>
  <c r="J53" i="61"/>
  <c r="J52" i="61"/>
  <c r="L21" i="61"/>
  <c r="L22" i="61" s="1"/>
  <c r="L21" i="60"/>
  <c r="L22" i="60"/>
  <c r="K35" i="60"/>
  <c r="K34" i="60"/>
  <c r="K32" i="60"/>
  <c r="K33" i="60"/>
  <c r="I49" i="60"/>
  <c r="I63" i="61"/>
  <c r="M15" i="60"/>
  <c r="M16" i="60"/>
  <c r="I67" i="61"/>
  <c r="I52" i="60"/>
  <c r="I54" i="60" s="1"/>
  <c r="J41" i="60"/>
  <c r="J43" i="60" s="1"/>
  <c r="L40" i="58"/>
  <c r="L41" i="58"/>
  <c r="L39" i="58"/>
  <c r="L42" i="58"/>
  <c r="M21" i="58"/>
  <c r="M28" i="58"/>
  <c r="M22" i="58"/>
  <c r="K48" i="58"/>
  <c r="K50" i="58" s="1"/>
  <c r="N15" i="58"/>
  <c r="N16" i="58"/>
  <c r="I66" i="61"/>
  <c r="I59" i="59"/>
  <c r="I61" i="59" s="1"/>
  <c r="L21" i="59"/>
  <c r="L22" i="59" s="1"/>
  <c r="L28" i="59"/>
  <c r="J48" i="59"/>
  <c r="J50" i="59" s="1"/>
  <c r="I62" i="61"/>
  <c r="I56" i="59"/>
  <c r="M15" i="59"/>
  <c r="M16" i="59"/>
  <c r="K43" i="64"/>
  <c r="M18" i="64"/>
  <c r="M20" i="64" s="1"/>
  <c r="N14" i="64"/>
  <c r="J54" i="64"/>
  <c r="J53" i="64"/>
  <c r="J55" i="64"/>
  <c r="L26" i="64"/>
  <c r="K48" i="70" s="1"/>
  <c r="L27" i="64"/>
  <c r="K49" i="70" s="1"/>
  <c r="K46" i="64"/>
  <c r="K47" i="64" s="1"/>
  <c r="K60" i="64" s="1"/>
  <c r="I71" i="68"/>
  <c r="I70" i="68"/>
  <c r="I69" i="68"/>
  <c r="L31" i="64"/>
  <c r="K52" i="70" s="1"/>
  <c r="L30" i="64"/>
  <c r="K51" i="70" s="1"/>
  <c r="K42" i="65"/>
  <c r="K41" i="65"/>
  <c r="I59" i="65"/>
  <c r="I61" i="65" s="1"/>
  <c r="I66" i="69"/>
  <c r="M15" i="65"/>
  <c r="M16" i="65" s="1"/>
  <c r="I62" i="69"/>
  <c r="I56" i="65"/>
  <c r="J48" i="65"/>
  <c r="J50" i="65" s="1"/>
  <c r="L28" i="65"/>
  <c r="L21" i="65"/>
  <c r="L22" i="65" s="1"/>
  <c r="O14" i="40"/>
  <c r="N18" i="40"/>
  <c r="N20" i="40" s="1"/>
  <c r="J7" i="25"/>
  <c r="K50" i="40"/>
  <c r="L46" i="40"/>
  <c r="L47" i="40" s="1"/>
  <c r="L60" i="40" s="1"/>
  <c r="M26" i="40"/>
  <c r="L10" i="70" s="1"/>
  <c r="M27" i="40"/>
  <c r="L11" i="70" s="1"/>
  <c r="M31" i="40"/>
  <c r="L14" i="70" s="1"/>
  <c r="M30" i="40"/>
  <c r="L13" i="70" s="1"/>
  <c r="K41" i="13"/>
  <c r="K40" i="13"/>
  <c r="L21" i="13"/>
  <c r="L22" i="13" s="1"/>
  <c r="L28" i="13"/>
  <c r="I56" i="13"/>
  <c r="I61" i="42"/>
  <c r="I65" i="42"/>
  <c r="I59" i="13"/>
  <c r="I61" i="13" s="1"/>
  <c r="J48" i="13"/>
  <c r="H70" i="42"/>
  <c r="H71" i="42"/>
  <c r="H69" i="42"/>
  <c r="M15" i="13"/>
  <c r="M16" i="13" s="1"/>
  <c r="K40" i="59" l="1"/>
  <c r="L36" i="63"/>
  <c r="L39" i="63" s="1"/>
  <c r="K42" i="59"/>
  <c r="K46" i="59" s="1"/>
  <c r="K47" i="59" s="1"/>
  <c r="K60" i="59" s="1"/>
  <c r="K39" i="59"/>
  <c r="K43" i="59" s="1"/>
  <c r="L46" i="62"/>
  <c r="L47" i="62" s="1"/>
  <c r="L60" i="62" s="1"/>
  <c r="M26" i="62"/>
  <c r="M36" i="62" s="1"/>
  <c r="M27" i="62"/>
  <c r="L43" i="62"/>
  <c r="K53" i="62"/>
  <c r="K55" i="62"/>
  <c r="K54" i="62"/>
  <c r="O14" i="62"/>
  <c r="N18" i="62"/>
  <c r="N20" i="62" s="1"/>
  <c r="M31" i="62"/>
  <c r="M30" i="62"/>
  <c r="K39" i="13"/>
  <c r="K43" i="13" s="1"/>
  <c r="K39" i="65"/>
  <c r="K43" i="65" s="1"/>
  <c r="L48" i="40"/>
  <c r="K7" i="25" s="1"/>
  <c r="K48" i="64"/>
  <c r="K50" i="64" s="1"/>
  <c r="K53" i="64" s="1"/>
  <c r="M36" i="40"/>
  <c r="M39" i="40" s="1"/>
  <c r="L31" i="69"/>
  <c r="L30" i="69"/>
  <c r="L36" i="69" s="1"/>
  <c r="K43" i="69"/>
  <c r="N15" i="69"/>
  <c r="N16" i="69"/>
  <c r="M21" i="69"/>
  <c r="M22" i="69" s="1"/>
  <c r="K51" i="69"/>
  <c r="K53" i="69"/>
  <c r="K52" i="69"/>
  <c r="N14" i="67"/>
  <c r="M18" i="67"/>
  <c r="M20" i="67" s="1"/>
  <c r="L25" i="67"/>
  <c r="L29" i="67" s="1"/>
  <c r="L26" i="67"/>
  <c r="J46" i="67"/>
  <c r="J48" i="67"/>
  <c r="J47" i="67"/>
  <c r="K39" i="67"/>
  <c r="K40" i="67" s="1"/>
  <c r="K53" i="67" s="1"/>
  <c r="K36" i="67"/>
  <c r="L41" i="63"/>
  <c r="L40" i="63"/>
  <c r="N15" i="63"/>
  <c r="N16" i="63" s="1"/>
  <c r="K48" i="63"/>
  <c r="K50" i="63" s="1"/>
  <c r="M21" i="63"/>
  <c r="M22" i="63" s="1"/>
  <c r="M28" i="63"/>
  <c r="L28" i="61"/>
  <c r="L26" i="61"/>
  <c r="L27" i="61"/>
  <c r="J54" i="61"/>
  <c r="N14" i="61"/>
  <c r="M18" i="61"/>
  <c r="M20" i="61" s="1"/>
  <c r="K40" i="61"/>
  <c r="K42" i="61"/>
  <c r="K46" i="61" s="1"/>
  <c r="K48" i="61" s="1"/>
  <c r="K41" i="61"/>
  <c r="K39" i="61"/>
  <c r="K39" i="60"/>
  <c r="K40" i="60" s="1"/>
  <c r="K53" i="60" s="1"/>
  <c r="M18" i="60"/>
  <c r="M20" i="60" s="1"/>
  <c r="N14" i="60"/>
  <c r="L25" i="60"/>
  <c r="L26" i="60"/>
  <c r="L29" i="60"/>
  <c r="J48" i="60"/>
  <c r="J46" i="60"/>
  <c r="J47" i="60"/>
  <c r="K36" i="60"/>
  <c r="M27" i="58"/>
  <c r="M26" i="58"/>
  <c r="L43" i="58"/>
  <c r="L46" i="58"/>
  <c r="L47" i="58" s="1"/>
  <c r="L60" i="58" s="1"/>
  <c r="L48" i="58"/>
  <c r="L50" i="58" s="1"/>
  <c r="O14" i="58"/>
  <c r="N18" i="58"/>
  <c r="N20" i="58" s="1"/>
  <c r="M30" i="58"/>
  <c r="M31" i="58"/>
  <c r="M36" i="58" s="1"/>
  <c r="K53" i="58"/>
  <c r="K54" i="58"/>
  <c r="K55" i="58"/>
  <c r="L27" i="59"/>
  <c r="K30" i="70" s="1"/>
  <c r="L26" i="59"/>
  <c r="K29" i="70" s="1"/>
  <c r="L30" i="59"/>
  <c r="K32" i="70" s="1"/>
  <c r="L31" i="59"/>
  <c r="K33" i="70" s="1"/>
  <c r="I70" i="61"/>
  <c r="I71" i="61"/>
  <c r="I69" i="61"/>
  <c r="M18" i="59"/>
  <c r="M20" i="59" s="1"/>
  <c r="N14" i="59"/>
  <c r="J55" i="59"/>
  <c r="J53" i="59"/>
  <c r="J54" i="59"/>
  <c r="L36" i="64"/>
  <c r="L41" i="64" s="1"/>
  <c r="J62" i="68"/>
  <c r="J56" i="64"/>
  <c r="N15" i="64"/>
  <c r="N16" i="64" s="1"/>
  <c r="J66" i="68"/>
  <c r="J59" i="64"/>
  <c r="J61" i="64" s="1"/>
  <c r="M28" i="64"/>
  <c r="M21" i="64"/>
  <c r="M22" i="64" s="1"/>
  <c r="L26" i="65"/>
  <c r="K67" i="70" s="1"/>
  <c r="L27" i="65"/>
  <c r="K68" i="70" s="1"/>
  <c r="M18" i="65"/>
  <c r="M20" i="65" s="1"/>
  <c r="N14" i="65"/>
  <c r="J55" i="65"/>
  <c r="J54" i="65"/>
  <c r="J53" i="65"/>
  <c r="L30" i="65"/>
  <c r="K70" i="70" s="1"/>
  <c r="L31" i="65"/>
  <c r="K71" i="70" s="1"/>
  <c r="I71" i="69"/>
  <c r="I70" i="69"/>
  <c r="I69" i="69"/>
  <c r="K46" i="65"/>
  <c r="K47" i="65" s="1"/>
  <c r="K60" i="65" s="1"/>
  <c r="L50" i="40"/>
  <c r="N28" i="40"/>
  <c r="N21" i="40"/>
  <c r="N22" i="40" s="1"/>
  <c r="K53" i="40"/>
  <c r="K55" i="40"/>
  <c r="K54" i="40"/>
  <c r="O15" i="40"/>
  <c r="O16" i="40" s="1"/>
  <c r="M18" i="13"/>
  <c r="M20" i="13" s="1"/>
  <c r="N14" i="13"/>
  <c r="L30" i="13"/>
  <c r="L31" i="13"/>
  <c r="L27" i="13"/>
  <c r="L26" i="13"/>
  <c r="H6" i="25"/>
  <c r="H10" i="25" s="1"/>
  <c r="H14" i="25" s="1"/>
  <c r="J50" i="13"/>
  <c r="K46" i="13"/>
  <c r="K47" i="13" s="1"/>
  <c r="K60" i="13" s="1"/>
  <c r="I71" i="42"/>
  <c r="I70" i="42"/>
  <c r="I69" i="42"/>
  <c r="L42" i="63" l="1"/>
  <c r="L43" i="63" s="1"/>
  <c r="K55" i="64"/>
  <c r="K59" i="64" s="1"/>
  <c r="K61" i="64" s="1"/>
  <c r="K54" i="64"/>
  <c r="M41" i="62"/>
  <c r="M40" i="62"/>
  <c r="M42" i="62"/>
  <c r="M39" i="62"/>
  <c r="M43" i="62" s="1"/>
  <c r="K65" i="68"/>
  <c r="K59" i="62"/>
  <c r="K61" i="62" s="1"/>
  <c r="O15" i="62"/>
  <c r="O16" i="62"/>
  <c r="L48" i="62"/>
  <c r="L50" i="62" s="1"/>
  <c r="N21" i="62"/>
  <c r="N22" i="62" s="1"/>
  <c r="N28" i="62"/>
  <c r="K61" i="68"/>
  <c r="K56" i="62"/>
  <c r="K48" i="13"/>
  <c r="I6" i="25" s="1"/>
  <c r="I10" i="25" s="1"/>
  <c r="I14" i="25" s="1"/>
  <c r="L36" i="13"/>
  <c r="L39" i="13" s="1"/>
  <c r="K48" i="59"/>
  <c r="K50" i="59" s="1"/>
  <c r="K53" i="59" s="1"/>
  <c r="L36" i="59"/>
  <c r="L40" i="59" s="1"/>
  <c r="M41" i="40"/>
  <c r="M42" i="40"/>
  <c r="M40" i="40"/>
  <c r="L39" i="64"/>
  <c r="L40" i="64"/>
  <c r="L42" i="64"/>
  <c r="M26" i="69"/>
  <c r="M27" i="69"/>
  <c r="M28" i="69"/>
  <c r="L42" i="69"/>
  <c r="L46" i="69" s="1"/>
  <c r="L48" i="69" s="1"/>
  <c r="L39" i="69"/>
  <c r="L40" i="69"/>
  <c r="L41" i="69"/>
  <c r="O14" i="69"/>
  <c r="N18" i="69"/>
  <c r="N20" i="69" s="1"/>
  <c r="K54" i="69"/>
  <c r="L35" i="67"/>
  <c r="L33" i="67"/>
  <c r="L32" i="67"/>
  <c r="L34" i="67"/>
  <c r="J67" i="69"/>
  <c r="J52" i="67"/>
  <c r="J54" i="67" s="1"/>
  <c r="J63" i="69"/>
  <c r="J49" i="67"/>
  <c r="M21" i="67"/>
  <c r="M22" i="67"/>
  <c r="K41" i="67"/>
  <c r="K43" i="67" s="1"/>
  <c r="N15" i="67"/>
  <c r="N16" i="67" s="1"/>
  <c r="M27" i="63"/>
  <c r="M26" i="63"/>
  <c r="N18" i="63"/>
  <c r="N20" i="63" s="1"/>
  <c r="O14" i="63"/>
  <c r="L46" i="63"/>
  <c r="L47" i="63" s="1"/>
  <c r="L60" i="63" s="1"/>
  <c r="K53" i="63"/>
  <c r="K55" i="63"/>
  <c r="K54" i="63"/>
  <c r="M31" i="63"/>
  <c r="M30" i="63"/>
  <c r="K43" i="61"/>
  <c r="M21" i="61"/>
  <c r="M22" i="61" s="1"/>
  <c r="N15" i="61"/>
  <c r="N16" i="61" s="1"/>
  <c r="K51" i="61"/>
  <c r="K53" i="61"/>
  <c r="K52" i="61"/>
  <c r="L30" i="61"/>
  <c r="L31" i="61"/>
  <c r="L36" i="61" s="1"/>
  <c r="N15" i="60"/>
  <c r="N16" i="60" s="1"/>
  <c r="L34" i="60"/>
  <c r="L35" i="60"/>
  <c r="L32" i="60"/>
  <c r="L36" i="60" s="1"/>
  <c r="L33" i="60"/>
  <c r="M21" i="60"/>
  <c r="M22" i="60"/>
  <c r="J67" i="61"/>
  <c r="J52" i="60"/>
  <c r="J54" i="60" s="1"/>
  <c r="K41" i="60"/>
  <c r="K43" i="60" s="1"/>
  <c r="J63" i="61"/>
  <c r="J49" i="60"/>
  <c r="M40" i="58"/>
  <c r="M42" i="58"/>
  <c r="M39" i="58"/>
  <c r="M41" i="58"/>
  <c r="N28" i="58"/>
  <c r="N21" i="58"/>
  <c r="N22" i="58" s="1"/>
  <c r="K56" i="58"/>
  <c r="K61" i="61"/>
  <c r="O15" i="58"/>
  <c r="O16" i="58" s="1"/>
  <c r="L55" i="58"/>
  <c r="L54" i="58"/>
  <c r="L53" i="58"/>
  <c r="K59" i="58"/>
  <c r="K61" i="58" s="1"/>
  <c r="K65" i="61"/>
  <c r="J62" i="61"/>
  <c r="J56" i="59"/>
  <c r="J66" i="61"/>
  <c r="J59" i="59"/>
  <c r="J61" i="59" s="1"/>
  <c r="N15" i="59"/>
  <c r="N16" i="59" s="1"/>
  <c r="M21" i="59"/>
  <c r="M22" i="59" s="1"/>
  <c r="M28" i="59"/>
  <c r="M27" i="64"/>
  <c r="L49" i="70" s="1"/>
  <c r="M26" i="64"/>
  <c r="L48" i="70" s="1"/>
  <c r="K62" i="68"/>
  <c r="N18" i="64"/>
  <c r="N20" i="64" s="1"/>
  <c r="O14" i="64"/>
  <c r="L46" i="64"/>
  <c r="L47" i="64" s="1"/>
  <c r="L60" i="64" s="1"/>
  <c r="M31" i="64"/>
  <c r="L52" i="70" s="1"/>
  <c r="M30" i="64"/>
  <c r="L51" i="70" s="1"/>
  <c r="J70" i="68"/>
  <c r="J71" i="68"/>
  <c r="J69" i="68"/>
  <c r="L36" i="65"/>
  <c r="L39" i="65" s="1"/>
  <c r="L42" i="65"/>
  <c r="N15" i="65"/>
  <c r="N16" i="65" s="1"/>
  <c r="J59" i="65"/>
  <c r="J61" i="65" s="1"/>
  <c r="J66" i="69"/>
  <c r="K48" i="65"/>
  <c r="K50" i="65" s="1"/>
  <c r="J62" i="69"/>
  <c r="J56" i="65"/>
  <c r="M21" i="65"/>
  <c r="M22" i="65" s="1"/>
  <c r="M28" i="65"/>
  <c r="P14" i="40"/>
  <c r="O18" i="40"/>
  <c r="O20" i="40" s="1"/>
  <c r="N26" i="40"/>
  <c r="M10" i="70" s="1"/>
  <c r="N27" i="40"/>
  <c r="M11" i="70" s="1"/>
  <c r="K56" i="40"/>
  <c r="K62" i="42"/>
  <c r="L54" i="40"/>
  <c r="L55" i="40"/>
  <c r="L53" i="40"/>
  <c r="M46" i="40"/>
  <c r="M47" i="40" s="1"/>
  <c r="M60" i="40" s="1"/>
  <c r="K66" i="42"/>
  <c r="K59" i="40"/>
  <c r="K61" i="40" s="1"/>
  <c r="N30" i="40"/>
  <c r="M13" i="70" s="1"/>
  <c r="N31" i="40"/>
  <c r="M14" i="70" s="1"/>
  <c r="L41" i="13"/>
  <c r="N15" i="13"/>
  <c r="N16" i="13" s="1"/>
  <c r="J55" i="13"/>
  <c r="J54" i="13"/>
  <c r="J53" i="13"/>
  <c r="M21" i="13"/>
  <c r="M22" i="13" s="1"/>
  <c r="M28" i="13"/>
  <c r="K54" i="59" l="1"/>
  <c r="L41" i="59"/>
  <c r="K55" i="59"/>
  <c r="K59" i="59" s="1"/>
  <c r="K61" i="59" s="1"/>
  <c r="L42" i="59"/>
  <c r="L43" i="59" s="1"/>
  <c r="M43" i="40"/>
  <c r="K66" i="68"/>
  <c r="K69" i="68" s="1"/>
  <c r="K56" i="64"/>
  <c r="L48" i="63"/>
  <c r="L50" i="63" s="1"/>
  <c r="L53" i="63" s="1"/>
  <c r="M36" i="63"/>
  <c r="M41" i="63" s="1"/>
  <c r="L39" i="59"/>
  <c r="L43" i="64"/>
  <c r="O18" i="62"/>
  <c r="O20" i="62" s="1"/>
  <c r="P14" i="62"/>
  <c r="P15" i="62" s="1"/>
  <c r="P16" i="62" s="1"/>
  <c r="N31" i="62"/>
  <c r="N30" i="62"/>
  <c r="N27" i="62"/>
  <c r="N26" i="62"/>
  <c r="M46" i="62"/>
  <c r="M47" i="62" s="1"/>
  <c r="M60" i="62" s="1"/>
  <c r="M48" i="62"/>
  <c r="M50" i="62" s="1"/>
  <c r="L55" i="62"/>
  <c r="L53" i="62"/>
  <c r="L54" i="62"/>
  <c r="K50" i="13"/>
  <c r="K55" i="13" s="1"/>
  <c r="L40" i="13"/>
  <c r="L42" i="13"/>
  <c r="L46" i="13" s="1"/>
  <c r="L47" i="13" s="1"/>
  <c r="L60" i="13" s="1"/>
  <c r="L40" i="65"/>
  <c r="L41" i="65"/>
  <c r="L43" i="65" s="1"/>
  <c r="N36" i="40"/>
  <c r="M30" i="69"/>
  <c r="M31" i="69"/>
  <c r="N21" i="69"/>
  <c r="N22" i="69"/>
  <c r="L43" i="69"/>
  <c r="O15" i="69"/>
  <c r="O16" i="69" s="1"/>
  <c r="L51" i="69"/>
  <c r="L54" i="69" s="1"/>
  <c r="L53" i="69"/>
  <c r="L52" i="69"/>
  <c r="O14" i="67"/>
  <c r="N18" i="67"/>
  <c r="N20" i="67" s="1"/>
  <c r="K46" i="67"/>
  <c r="K48" i="67"/>
  <c r="K47" i="67"/>
  <c r="L36" i="67"/>
  <c r="M26" i="67"/>
  <c r="M27" i="67"/>
  <c r="M28" i="67" s="1"/>
  <c r="M29" i="67" s="1"/>
  <c r="M25" i="67"/>
  <c r="L39" i="67"/>
  <c r="L40" i="67" s="1"/>
  <c r="L53" i="67" s="1"/>
  <c r="M39" i="63"/>
  <c r="K61" i="69"/>
  <c r="K56" i="63"/>
  <c r="N21" i="63"/>
  <c r="N22" i="63" s="1"/>
  <c r="N28" i="63"/>
  <c r="L54" i="63"/>
  <c r="K59" i="63"/>
  <c r="K61" i="63" s="1"/>
  <c r="K65" i="69"/>
  <c r="O15" i="63"/>
  <c r="O16" i="63" s="1"/>
  <c r="L42" i="61"/>
  <c r="L46" i="61" s="1"/>
  <c r="L48" i="61" s="1"/>
  <c r="L40" i="61"/>
  <c r="L39" i="61"/>
  <c r="L43" i="61" s="1"/>
  <c r="L41" i="61"/>
  <c r="N18" i="61"/>
  <c r="N20" i="61" s="1"/>
  <c r="O14" i="61"/>
  <c r="M27" i="61"/>
  <c r="M28" i="61"/>
  <c r="M26" i="61"/>
  <c r="K54" i="61"/>
  <c r="N18" i="60"/>
  <c r="N20" i="60" s="1"/>
  <c r="O14" i="60"/>
  <c r="M25" i="60"/>
  <c r="M26" i="60"/>
  <c r="M27" i="60"/>
  <c r="M28" i="60" s="1"/>
  <c r="M29" i="60" s="1"/>
  <c r="L39" i="60"/>
  <c r="L40" i="60" s="1"/>
  <c r="L53" i="60" s="1"/>
  <c r="K48" i="60"/>
  <c r="K46" i="60"/>
  <c r="K47" i="60"/>
  <c r="N27" i="58"/>
  <c r="N26" i="58"/>
  <c r="L59" i="58"/>
  <c r="L61" i="58" s="1"/>
  <c r="L65" i="61"/>
  <c r="P14" i="58"/>
  <c r="P15" i="58" s="1"/>
  <c r="P16" i="58" s="1"/>
  <c r="O18" i="58"/>
  <c r="O20" i="58" s="1"/>
  <c r="M43" i="58"/>
  <c r="L61" i="61"/>
  <c r="L56" i="58"/>
  <c r="N30" i="58"/>
  <c r="N31" i="58"/>
  <c r="M46" i="58"/>
  <c r="M47" i="58" s="1"/>
  <c r="M60" i="58" s="1"/>
  <c r="N18" i="59"/>
  <c r="N20" i="59" s="1"/>
  <c r="O14" i="59"/>
  <c r="M31" i="59"/>
  <c r="L33" i="70" s="1"/>
  <c r="M30" i="59"/>
  <c r="L32" i="70" s="1"/>
  <c r="K66" i="61"/>
  <c r="M26" i="59"/>
  <c r="L29" i="70" s="1"/>
  <c r="M27" i="59"/>
  <c r="L30" i="70" s="1"/>
  <c r="K62" i="61"/>
  <c r="J70" i="61"/>
  <c r="J71" i="61"/>
  <c r="J69" i="61"/>
  <c r="M36" i="64"/>
  <c r="M40" i="64" s="1"/>
  <c r="O15" i="64"/>
  <c r="O16" i="64" s="1"/>
  <c r="K71" i="68"/>
  <c r="N28" i="64"/>
  <c r="N21" i="64"/>
  <c r="N22" i="64" s="1"/>
  <c r="L48" i="64"/>
  <c r="L50" i="64" s="1"/>
  <c r="M26" i="65"/>
  <c r="L67" i="70" s="1"/>
  <c r="M27" i="65"/>
  <c r="L68" i="70" s="1"/>
  <c r="J70" i="69"/>
  <c r="J71" i="69"/>
  <c r="J69" i="69"/>
  <c r="O14" i="65"/>
  <c r="N18" i="65"/>
  <c r="N20" i="65" s="1"/>
  <c r="M31" i="65"/>
  <c r="L71" i="70" s="1"/>
  <c r="M30" i="65"/>
  <c r="L70" i="70" s="1"/>
  <c r="K53" i="65"/>
  <c r="K54" i="65"/>
  <c r="K55" i="65"/>
  <c r="L46" i="65"/>
  <c r="L47" i="65" s="1"/>
  <c r="L60" i="65" s="1"/>
  <c r="N39" i="40"/>
  <c r="N40" i="40"/>
  <c r="N41" i="40"/>
  <c r="N42" i="40"/>
  <c r="L62" i="42"/>
  <c r="L56" i="40"/>
  <c r="O21" i="40"/>
  <c r="O22" i="40" s="1"/>
  <c r="O28" i="40"/>
  <c r="M48" i="40"/>
  <c r="M50" i="40" s="1"/>
  <c r="L66" i="42"/>
  <c r="L59" i="40"/>
  <c r="L61" i="40" s="1"/>
  <c r="P15" i="40"/>
  <c r="P16" i="40" s="1"/>
  <c r="M27" i="13"/>
  <c r="M26" i="13"/>
  <c r="N18" i="13"/>
  <c r="N20" i="13" s="1"/>
  <c r="O14" i="13"/>
  <c r="J61" i="42"/>
  <c r="J56" i="13"/>
  <c r="K54" i="13"/>
  <c r="M30" i="13"/>
  <c r="M31" i="13"/>
  <c r="J65" i="42"/>
  <c r="J59" i="13"/>
  <c r="J61" i="13" s="1"/>
  <c r="K53" i="13" l="1"/>
  <c r="K70" i="68"/>
  <c r="L46" i="59"/>
  <c r="L47" i="59" s="1"/>
  <c r="L60" i="59" s="1"/>
  <c r="K56" i="59"/>
  <c r="M42" i="63"/>
  <c r="L55" i="63"/>
  <c r="L59" i="63" s="1"/>
  <c r="L61" i="63" s="1"/>
  <c r="M40" i="63"/>
  <c r="M48" i="58"/>
  <c r="M50" i="58" s="1"/>
  <c r="M53" i="62"/>
  <c r="M55" i="62"/>
  <c r="M54" i="62"/>
  <c r="L61" i="68"/>
  <c r="L56" i="62"/>
  <c r="Q14" i="62"/>
  <c r="Q15" i="62" s="1"/>
  <c r="Q16" i="62" s="1"/>
  <c r="P18" i="62"/>
  <c r="P20" i="62" s="1"/>
  <c r="L65" i="68"/>
  <c r="L59" i="62"/>
  <c r="L61" i="62" s="1"/>
  <c r="N36" i="62"/>
  <c r="O21" i="62"/>
  <c r="O22" i="62"/>
  <c r="O28" i="62"/>
  <c r="L43" i="13"/>
  <c r="L48" i="13"/>
  <c r="J6" i="25" s="1"/>
  <c r="J10" i="25" s="1"/>
  <c r="J14" i="25" s="1"/>
  <c r="M36" i="13"/>
  <c r="M39" i="13" s="1"/>
  <c r="L48" i="59"/>
  <c r="L50" i="59" s="1"/>
  <c r="L54" i="59" s="1"/>
  <c r="M36" i="59"/>
  <c r="M39" i="59" s="1"/>
  <c r="M42" i="64"/>
  <c r="M39" i="64"/>
  <c r="M41" i="64"/>
  <c r="P14" i="69"/>
  <c r="O18" i="69"/>
  <c r="O20" i="69" s="1"/>
  <c r="N28" i="69"/>
  <c r="N26" i="69"/>
  <c r="N27" i="69"/>
  <c r="M36" i="69"/>
  <c r="M35" i="67"/>
  <c r="M32" i="67"/>
  <c r="M33" i="67"/>
  <c r="M34" i="67"/>
  <c r="K63" i="69"/>
  <c r="K49" i="67"/>
  <c r="N21" i="67"/>
  <c r="N22" i="67"/>
  <c r="K52" i="67"/>
  <c r="K54" i="67" s="1"/>
  <c r="K67" i="69"/>
  <c r="L41" i="67"/>
  <c r="L43" i="67" s="1"/>
  <c r="O15" i="67"/>
  <c r="O16" i="67" s="1"/>
  <c r="L48" i="65"/>
  <c r="L50" i="65" s="1"/>
  <c r="L54" i="65" s="1"/>
  <c r="N30" i="63"/>
  <c r="N31" i="63"/>
  <c r="P14" i="63"/>
  <c r="O18" i="63"/>
  <c r="O20" i="63" s="1"/>
  <c r="N26" i="63"/>
  <c r="N27" i="63"/>
  <c r="M46" i="63"/>
  <c r="M47" i="63" s="1"/>
  <c r="M60" i="63" s="1"/>
  <c r="L56" i="63"/>
  <c r="L61" i="69"/>
  <c r="O15" i="61"/>
  <c r="O16" i="61"/>
  <c r="M30" i="61"/>
  <c r="M36" i="61" s="1"/>
  <c r="M31" i="61"/>
  <c r="N21" i="61"/>
  <c r="N22" i="61"/>
  <c r="L53" i="61"/>
  <c r="L51" i="61"/>
  <c r="L52" i="61"/>
  <c r="M35" i="60"/>
  <c r="M33" i="60"/>
  <c r="M32" i="60"/>
  <c r="M34" i="60"/>
  <c r="L41" i="60"/>
  <c r="L43" i="60" s="1"/>
  <c r="K49" i="60"/>
  <c r="K63" i="61"/>
  <c r="O15" i="60"/>
  <c r="O16" i="60"/>
  <c r="K67" i="61"/>
  <c r="K69" i="61" s="1"/>
  <c r="K52" i="60"/>
  <c r="K54" i="60" s="1"/>
  <c r="N21" i="60"/>
  <c r="N22" i="60"/>
  <c r="N36" i="58"/>
  <c r="O28" i="58"/>
  <c r="O21" i="58"/>
  <c r="O22" i="58" s="1"/>
  <c r="M55" i="58"/>
  <c r="M54" i="58"/>
  <c r="M53" i="58"/>
  <c r="Q14" i="58"/>
  <c r="P18" i="58"/>
  <c r="P20" i="58" s="1"/>
  <c r="K70" i="61"/>
  <c r="K71" i="61"/>
  <c r="O15" i="59"/>
  <c r="O16" i="59" s="1"/>
  <c r="N21" i="59"/>
  <c r="N22" i="59" s="1"/>
  <c r="N28" i="59"/>
  <c r="N27" i="64"/>
  <c r="M49" i="70" s="1"/>
  <c r="N26" i="64"/>
  <c r="M48" i="70" s="1"/>
  <c r="P14" i="64"/>
  <c r="O18" i="64"/>
  <c r="O20" i="64" s="1"/>
  <c r="N31" i="64"/>
  <c r="M52" i="70" s="1"/>
  <c r="N30" i="64"/>
  <c r="M51" i="70" s="1"/>
  <c r="L55" i="64"/>
  <c r="L54" i="64"/>
  <c r="L53" i="64"/>
  <c r="M46" i="64"/>
  <c r="M47" i="64" s="1"/>
  <c r="M60" i="64" s="1"/>
  <c r="M36" i="65"/>
  <c r="M42" i="65" s="1"/>
  <c r="K62" i="69"/>
  <c r="K56" i="65"/>
  <c r="O15" i="65"/>
  <c r="O16" i="65" s="1"/>
  <c r="K66" i="69"/>
  <c r="K59" i="65"/>
  <c r="K61" i="65" s="1"/>
  <c r="N21" i="65"/>
  <c r="N22" i="65" s="1"/>
  <c r="N28" i="65"/>
  <c r="O27" i="40"/>
  <c r="N11" i="70" s="1"/>
  <c r="O26" i="40"/>
  <c r="N10" i="70" s="1"/>
  <c r="O32" i="40"/>
  <c r="Q14" i="40"/>
  <c r="P18" i="40"/>
  <c r="P20" i="40" s="1"/>
  <c r="M53" i="40"/>
  <c r="M55" i="40"/>
  <c r="M54" i="40"/>
  <c r="N46" i="40"/>
  <c r="N47" i="40" s="1"/>
  <c r="N48" i="40" s="1"/>
  <c r="N50" i="40" s="1"/>
  <c r="O31" i="40"/>
  <c r="N14" i="70" s="1"/>
  <c r="O30" i="40"/>
  <c r="N13" i="70" s="1"/>
  <c r="N43" i="40"/>
  <c r="K65" i="42"/>
  <c r="K59" i="13"/>
  <c r="K61" i="13" s="1"/>
  <c r="N21" i="13"/>
  <c r="N22" i="13" s="1"/>
  <c r="N28" i="13"/>
  <c r="J70" i="42"/>
  <c r="J71" i="42"/>
  <c r="J69" i="42"/>
  <c r="K56" i="13"/>
  <c r="K61" i="42"/>
  <c r="O15" i="13"/>
  <c r="O16" i="13" s="1"/>
  <c r="L53" i="59" l="1"/>
  <c r="L55" i="59"/>
  <c r="M41" i="59"/>
  <c r="M42" i="59"/>
  <c r="M46" i="59" s="1"/>
  <c r="M47" i="59" s="1"/>
  <c r="M60" i="59" s="1"/>
  <c r="M43" i="64"/>
  <c r="N36" i="63"/>
  <c r="N41" i="63" s="1"/>
  <c r="L65" i="69"/>
  <c r="M43" i="63"/>
  <c r="O27" i="62"/>
  <c r="O26" i="62"/>
  <c r="O32" i="62"/>
  <c r="P28" i="62"/>
  <c r="P21" i="62"/>
  <c r="P22" i="62" s="1"/>
  <c r="N42" i="62"/>
  <c r="N46" i="62" s="1"/>
  <c r="N47" i="62" s="1"/>
  <c r="N48" i="62" s="1"/>
  <c r="N50" i="62" s="1"/>
  <c r="N41" i="62"/>
  <c r="N40" i="62"/>
  <c r="N39" i="62"/>
  <c r="R14" i="62"/>
  <c r="Q18" i="62"/>
  <c r="Q20" i="62" s="1"/>
  <c r="M65" i="68"/>
  <c r="M59" i="62"/>
  <c r="M61" i="62" s="1"/>
  <c r="O30" i="62"/>
  <c r="O31" i="62"/>
  <c r="M61" i="68"/>
  <c r="M56" i="62"/>
  <c r="M42" i="13"/>
  <c r="M46" i="13" s="1"/>
  <c r="M47" i="13" s="1"/>
  <c r="M60" i="13" s="1"/>
  <c r="M40" i="13"/>
  <c r="L50" i="13"/>
  <c r="L54" i="13" s="1"/>
  <c r="M41" i="13"/>
  <c r="M41" i="65"/>
  <c r="M40" i="59"/>
  <c r="L53" i="65"/>
  <c r="L62" i="69" s="1"/>
  <c r="L55" i="65"/>
  <c r="L59" i="65" s="1"/>
  <c r="L61" i="65" s="1"/>
  <c r="M40" i="69"/>
  <c r="M42" i="69"/>
  <c r="M46" i="69" s="1"/>
  <c r="M48" i="69" s="1"/>
  <c r="M41" i="69"/>
  <c r="M39" i="69"/>
  <c r="N30" i="69"/>
  <c r="N36" i="69" s="1"/>
  <c r="N31" i="69"/>
  <c r="O21" i="69"/>
  <c r="O22" i="69" s="1"/>
  <c r="P15" i="69"/>
  <c r="P16" i="69"/>
  <c r="P14" i="67"/>
  <c r="O18" i="67"/>
  <c r="O20" i="67" s="1"/>
  <c r="L46" i="67"/>
  <c r="L47" i="67"/>
  <c r="L48" i="67"/>
  <c r="N26" i="67"/>
  <c r="N27" i="67"/>
  <c r="N28" i="67" s="1"/>
  <c r="N29" i="67" s="1"/>
  <c r="N25" i="67"/>
  <c r="M36" i="67"/>
  <c r="M39" i="67"/>
  <c r="M40" i="67" s="1"/>
  <c r="M53" i="67" s="1"/>
  <c r="M41" i="67"/>
  <c r="M43" i="67" s="1"/>
  <c r="M40" i="65"/>
  <c r="M39" i="65"/>
  <c r="O21" i="63"/>
  <c r="O22" i="63" s="1"/>
  <c r="O28" i="63"/>
  <c r="N39" i="63"/>
  <c r="N42" i="63"/>
  <c r="N46" i="63" s="1"/>
  <c r="N47" i="63" s="1"/>
  <c r="N48" i="63" s="1"/>
  <c r="N50" i="63" s="1"/>
  <c r="M48" i="63"/>
  <c r="M50" i="63" s="1"/>
  <c r="P15" i="63"/>
  <c r="P16" i="63" s="1"/>
  <c r="M42" i="61"/>
  <c r="M46" i="61" s="1"/>
  <c r="M48" i="61" s="1"/>
  <c r="M40" i="61"/>
  <c r="M41" i="61"/>
  <c r="M39" i="61"/>
  <c r="M43" i="61" s="1"/>
  <c r="N26" i="61"/>
  <c r="N27" i="61"/>
  <c r="N28" i="61"/>
  <c r="O18" i="61"/>
  <c r="O20" i="61" s="1"/>
  <c r="P14" i="61"/>
  <c r="L54" i="61"/>
  <c r="N27" i="60"/>
  <c r="N28" i="60" s="1"/>
  <c r="N25" i="60"/>
  <c r="N29" i="60"/>
  <c r="N26" i="60"/>
  <c r="M36" i="60"/>
  <c r="O18" i="60"/>
  <c r="O20" i="60" s="1"/>
  <c r="P14" i="60"/>
  <c r="L48" i="60"/>
  <c r="L46" i="60"/>
  <c r="L47" i="60"/>
  <c r="M39" i="60"/>
  <c r="M40" i="60" s="1"/>
  <c r="M53" i="60" s="1"/>
  <c r="M59" i="58"/>
  <c r="M61" i="58" s="1"/>
  <c r="M65" i="61"/>
  <c r="O32" i="58"/>
  <c r="O27" i="58"/>
  <c r="O26" i="58"/>
  <c r="M61" i="61"/>
  <c r="M56" i="58"/>
  <c r="O30" i="58"/>
  <c r="O31" i="58"/>
  <c r="P28" i="58"/>
  <c r="P21" i="58"/>
  <c r="P22" i="58" s="1"/>
  <c r="Q15" i="58"/>
  <c r="Q16" i="58" s="1"/>
  <c r="N41" i="58"/>
  <c r="N40" i="58"/>
  <c r="N42" i="58"/>
  <c r="N46" i="58" s="1"/>
  <c r="N47" i="58" s="1"/>
  <c r="N48" i="58" s="1"/>
  <c r="N50" i="58" s="1"/>
  <c r="N39" i="58"/>
  <c r="N26" i="59"/>
  <c r="M29" i="70" s="1"/>
  <c r="N27" i="59"/>
  <c r="M30" i="70" s="1"/>
  <c r="P14" i="59"/>
  <c r="O18" i="59"/>
  <c r="O20" i="59" s="1"/>
  <c r="L62" i="61"/>
  <c r="L56" i="59"/>
  <c r="N31" i="59"/>
  <c r="M33" i="70" s="1"/>
  <c r="N30" i="59"/>
  <c r="M32" i="70" s="1"/>
  <c r="L66" i="61"/>
  <c r="L59" i="59"/>
  <c r="L61" i="59" s="1"/>
  <c r="N36" i="64"/>
  <c r="N41" i="64" s="1"/>
  <c r="N42" i="64"/>
  <c r="N40" i="64"/>
  <c r="L62" i="68"/>
  <c r="L56" i="64"/>
  <c r="O21" i="64"/>
  <c r="O22" i="64" s="1"/>
  <c r="O28" i="64"/>
  <c r="M48" i="64"/>
  <c r="M50" i="64" s="1"/>
  <c r="L66" i="68"/>
  <c r="L59" i="64"/>
  <c r="L61" i="64" s="1"/>
  <c r="P15" i="64"/>
  <c r="P16" i="64" s="1"/>
  <c r="N27" i="65"/>
  <c r="M68" i="70" s="1"/>
  <c r="N26" i="65"/>
  <c r="M67" i="70" s="1"/>
  <c r="K71" i="69"/>
  <c r="K69" i="69"/>
  <c r="K70" i="69"/>
  <c r="N31" i="65"/>
  <c r="M71" i="70" s="1"/>
  <c r="N30" i="65"/>
  <c r="M70" i="70" s="1"/>
  <c r="P14" i="65"/>
  <c r="O18" i="65"/>
  <c r="O20" i="65" s="1"/>
  <c r="M46" i="65"/>
  <c r="M47" i="65" s="1"/>
  <c r="M60" i="65" s="1"/>
  <c r="N53" i="40"/>
  <c r="N55" i="40"/>
  <c r="N54" i="40"/>
  <c r="O34" i="40"/>
  <c r="O35" i="40"/>
  <c r="M62" i="42"/>
  <c r="M56" i="40"/>
  <c r="P28" i="40"/>
  <c r="P21" i="40"/>
  <c r="P22" i="40" s="1"/>
  <c r="M66" i="42"/>
  <c r="M59" i="40"/>
  <c r="M61" i="40" s="1"/>
  <c r="Q15" i="40"/>
  <c r="Q16" i="40" s="1"/>
  <c r="N26" i="13"/>
  <c r="N27" i="13"/>
  <c r="K70" i="42"/>
  <c r="K71" i="42"/>
  <c r="K69" i="42"/>
  <c r="P14" i="13"/>
  <c r="O18" i="13"/>
  <c r="O20" i="13" s="1"/>
  <c r="N30" i="13"/>
  <c r="N31" i="13"/>
  <c r="M43" i="65" l="1"/>
  <c r="M43" i="59"/>
  <c r="J5" i="70"/>
  <c r="L5" i="70" s="1"/>
  <c r="N17" i="70" s="1"/>
  <c r="N22" i="70" s="1"/>
  <c r="L55" i="13"/>
  <c r="L65" i="42" s="1"/>
  <c r="N40" i="63"/>
  <c r="N43" i="63"/>
  <c r="Q28" i="62"/>
  <c r="Q21" i="62"/>
  <c r="Q22" i="62" s="1"/>
  <c r="O34" i="62"/>
  <c r="O35" i="62"/>
  <c r="R15" i="62"/>
  <c r="R16" i="62"/>
  <c r="N53" i="62"/>
  <c r="N54" i="62"/>
  <c r="N55" i="62"/>
  <c r="P31" i="62"/>
  <c r="P30" i="62"/>
  <c r="N43" i="62"/>
  <c r="P27" i="62"/>
  <c r="P32" i="62"/>
  <c r="P26" i="62"/>
  <c r="M43" i="13"/>
  <c r="L53" i="13"/>
  <c r="M48" i="13"/>
  <c r="K6" i="25" s="1"/>
  <c r="K10" i="25" s="1"/>
  <c r="K14" i="25" s="1"/>
  <c r="N36" i="59"/>
  <c r="N39" i="59" s="1"/>
  <c r="L56" i="65"/>
  <c r="L66" i="69"/>
  <c r="L69" i="69" s="1"/>
  <c r="N39" i="64"/>
  <c r="O36" i="40"/>
  <c r="O39" i="40" s="1"/>
  <c r="O27" i="69"/>
  <c r="O28" i="69"/>
  <c r="O26" i="69"/>
  <c r="N42" i="69"/>
  <c r="N46" i="69" s="1"/>
  <c r="N48" i="69" s="1"/>
  <c r="N40" i="69"/>
  <c r="N41" i="69"/>
  <c r="N39" i="69"/>
  <c r="N43" i="69" s="1"/>
  <c r="P18" i="69"/>
  <c r="P20" i="69" s="1"/>
  <c r="Q14" i="69"/>
  <c r="M51" i="69"/>
  <c r="M53" i="69"/>
  <c r="M52" i="69"/>
  <c r="M43" i="69"/>
  <c r="N35" i="67"/>
  <c r="N34" i="67"/>
  <c r="N32" i="67"/>
  <c r="N33" i="67"/>
  <c r="L63" i="69"/>
  <c r="L49" i="67"/>
  <c r="M46" i="67"/>
  <c r="M47" i="67"/>
  <c r="M48" i="67"/>
  <c r="O21" i="67"/>
  <c r="O22" i="67"/>
  <c r="L67" i="69"/>
  <c r="L52" i="67"/>
  <c r="L54" i="67" s="1"/>
  <c r="P15" i="67"/>
  <c r="P16" i="67"/>
  <c r="O26" i="63"/>
  <c r="O27" i="63"/>
  <c r="O32" i="63"/>
  <c r="M54" i="63"/>
  <c r="M53" i="63"/>
  <c r="M55" i="63"/>
  <c r="O31" i="63"/>
  <c r="O30" i="63"/>
  <c r="P18" i="63"/>
  <c r="P20" i="63" s="1"/>
  <c r="Q14" i="63"/>
  <c r="Q15" i="63" s="1"/>
  <c r="Q16" i="63" s="1"/>
  <c r="N53" i="63"/>
  <c r="N55" i="63"/>
  <c r="N54" i="63"/>
  <c r="N31" i="61"/>
  <c r="N30" i="61"/>
  <c r="N36" i="61" s="1"/>
  <c r="P15" i="61"/>
  <c r="P16" i="61"/>
  <c r="O21" i="61"/>
  <c r="O22" i="61"/>
  <c r="M51" i="61"/>
  <c r="M52" i="61"/>
  <c r="M53" i="61"/>
  <c r="L67" i="61"/>
  <c r="L52" i="60"/>
  <c r="L54" i="60" s="1"/>
  <c r="M41" i="60"/>
  <c r="M43" i="60" s="1"/>
  <c r="P15" i="60"/>
  <c r="P16" i="60" s="1"/>
  <c r="N35" i="60"/>
  <c r="N34" i="60"/>
  <c r="N32" i="60"/>
  <c r="N33" i="60"/>
  <c r="O21" i="60"/>
  <c r="O22" i="60"/>
  <c r="L63" i="61"/>
  <c r="L69" i="61" s="1"/>
  <c r="L49" i="60"/>
  <c r="P27" i="58"/>
  <c r="P32" i="58"/>
  <c r="P26" i="58"/>
  <c r="Q18" i="58"/>
  <c r="Q20" i="58" s="1"/>
  <c r="R14" i="58"/>
  <c r="P30" i="58"/>
  <c r="P31" i="58"/>
  <c r="O35" i="58"/>
  <c r="O34" i="58"/>
  <c r="N43" i="58"/>
  <c r="N55" i="58"/>
  <c r="N53" i="58"/>
  <c r="N54" i="58"/>
  <c r="L70" i="61"/>
  <c r="L71" i="61"/>
  <c r="P15" i="59"/>
  <c r="P16" i="59" s="1"/>
  <c r="N40" i="59"/>
  <c r="M48" i="59"/>
  <c r="M50" i="59" s="1"/>
  <c r="O28" i="59"/>
  <c r="O21" i="59"/>
  <c r="O22" i="59" s="1"/>
  <c r="O32" i="64"/>
  <c r="O26" i="64"/>
  <c r="N48" i="70" s="1"/>
  <c r="O27" i="64"/>
  <c r="N49" i="70" s="1"/>
  <c r="N43" i="64"/>
  <c r="M54" i="64"/>
  <c r="M53" i="64"/>
  <c r="M55" i="64"/>
  <c r="N46" i="64"/>
  <c r="N47" i="64" s="1"/>
  <c r="N48" i="64" s="1"/>
  <c r="N50" i="64" s="1"/>
  <c r="Q14" i="64"/>
  <c r="P18" i="64"/>
  <c r="P20" i="64" s="1"/>
  <c r="O31" i="64"/>
  <c r="N52" i="70" s="1"/>
  <c r="O30" i="64"/>
  <c r="N51" i="70" s="1"/>
  <c r="L70" i="68"/>
  <c r="L69" i="68"/>
  <c r="L71" i="68"/>
  <c r="N36" i="65"/>
  <c r="N39" i="65" s="1"/>
  <c r="M48" i="65"/>
  <c r="M50" i="65" s="1"/>
  <c r="M54" i="65" s="1"/>
  <c r="L71" i="69"/>
  <c r="P15" i="65"/>
  <c r="P16" i="65" s="1"/>
  <c r="O21" i="65"/>
  <c r="O22" i="65" s="1"/>
  <c r="O28" i="65"/>
  <c r="O41" i="40"/>
  <c r="O42" i="40"/>
  <c r="R14" i="40"/>
  <c r="Q18" i="40"/>
  <c r="Q20" i="40" s="1"/>
  <c r="P32" i="40"/>
  <c r="P26" i="40"/>
  <c r="O10" i="70" s="1"/>
  <c r="P27" i="40"/>
  <c r="O11" i="70" s="1"/>
  <c r="P30" i="40"/>
  <c r="O13" i="70" s="1"/>
  <c r="P31" i="40"/>
  <c r="O14" i="70" s="1"/>
  <c r="N62" i="42"/>
  <c r="N56" i="40"/>
  <c r="N66" i="42"/>
  <c r="N59" i="40"/>
  <c r="N61" i="40" s="1"/>
  <c r="N36" i="13"/>
  <c r="N41" i="13" s="1"/>
  <c r="O28" i="13"/>
  <c r="O21" i="13"/>
  <c r="O22" i="13" s="1"/>
  <c r="P15" i="13"/>
  <c r="P16" i="13" s="1"/>
  <c r="L56" i="13" l="1"/>
  <c r="L59" i="13"/>
  <c r="L61" i="13" s="1"/>
  <c r="N41" i="59"/>
  <c r="F74" i="70"/>
  <c r="F79" i="70" s="1"/>
  <c r="J74" i="70"/>
  <c r="J79" i="70" s="1"/>
  <c r="D73" i="70"/>
  <c r="D76" i="70" s="1"/>
  <c r="H73" i="70"/>
  <c r="H76" i="70" s="1"/>
  <c r="L73" i="70"/>
  <c r="L76" i="70" s="1"/>
  <c r="B73" i="70"/>
  <c r="B76" i="70" s="1"/>
  <c r="E55" i="70"/>
  <c r="E60" i="70" s="1"/>
  <c r="I55" i="70"/>
  <c r="I60" i="70" s="1"/>
  <c r="M55" i="70"/>
  <c r="M60" i="70" s="1"/>
  <c r="C54" i="70"/>
  <c r="C57" i="70" s="1"/>
  <c r="G54" i="70"/>
  <c r="G57" i="70" s="1"/>
  <c r="K54" i="70"/>
  <c r="K57" i="70" s="1"/>
  <c r="E74" i="70"/>
  <c r="E79" i="70" s="1"/>
  <c r="M74" i="70"/>
  <c r="M79" i="70" s="1"/>
  <c r="K73" i="70"/>
  <c r="K76" i="70" s="1"/>
  <c r="D55" i="70"/>
  <c r="D60" i="70" s="1"/>
  <c r="J54" i="70"/>
  <c r="J57" i="70" s="1"/>
  <c r="C74" i="70"/>
  <c r="C79" i="70" s="1"/>
  <c r="G74" i="70"/>
  <c r="G79" i="70" s="1"/>
  <c r="K74" i="70"/>
  <c r="K79" i="70" s="1"/>
  <c r="E73" i="70"/>
  <c r="E76" i="70" s="1"/>
  <c r="I73" i="70"/>
  <c r="I76" i="70" s="1"/>
  <c r="M73" i="70"/>
  <c r="M76" i="70" s="1"/>
  <c r="F55" i="70"/>
  <c r="F60" i="70" s="1"/>
  <c r="J55" i="70"/>
  <c r="J60" i="70" s="1"/>
  <c r="D54" i="70"/>
  <c r="D57" i="70" s="1"/>
  <c r="H54" i="70"/>
  <c r="H57" i="70" s="1"/>
  <c r="L54" i="70"/>
  <c r="L57" i="70" s="1"/>
  <c r="B54" i="70"/>
  <c r="B57" i="70" s="1"/>
  <c r="G73" i="70"/>
  <c r="G76" i="70" s="1"/>
  <c r="L55" i="70"/>
  <c r="L60" i="70" s="1"/>
  <c r="F54" i="70"/>
  <c r="F57" i="70" s="1"/>
  <c r="D74" i="70"/>
  <c r="D79" i="70" s="1"/>
  <c r="H74" i="70"/>
  <c r="H79" i="70" s="1"/>
  <c r="L74" i="70"/>
  <c r="L79" i="70" s="1"/>
  <c r="B74" i="70"/>
  <c r="B79" i="70" s="1"/>
  <c r="F73" i="70"/>
  <c r="F76" i="70" s="1"/>
  <c r="J73" i="70"/>
  <c r="J76" i="70" s="1"/>
  <c r="C55" i="70"/>
  <c r="C60" i="70" s="1"/>
  <c r="G55" i="70"/>
  <c r="G60" i="70" s="1"/>
  <c r="K55" i="70"/>
  <c r="K60" i="70" s="1"/>
  <c r="E54" i="70"/>
  <c r="E57" i="70" s="1"/>
  <c r="I54" i="70"/>
  <c r="I57" i="70" s="1"/>
  <c r="M54" i="70"/>
  <c r="M57" i="70" s="1"/>
  <c r="I74" i="70"/>
  <c r="I79" i="70" s="1"/>
  <c r="C73" i="70"/>
  <c r="C76" i="70" s="1"/>
  <c r="H55" i="70"/>
  <c r="H60" i="70" s="1"/>
  <c r="B55" i="70"/>
  <c r="B60" i="70" s="1"/>
  <c r="C36" i="70"/>
  <c r="C41" i="70" s="1"/>
  <c r="G36" i="70"/>
  <c r="G41" i="70" s="1"/>
  <c r="K36" i="70"/>
  <c r="K41" i="70" s="1"/>
  <c r="C35" i="70"/>
  <c r="C38" i="70" s="1"/>
  <c r="G35" i="70"/>
  <c r="G38" i="70" s="1"/>
  <c r="K35" i="70"/>
  <c r="K38" i="70" s="1"/>
  <c r="F36" i="70"/>
  <c r="F41" i="70" s="1"/>
  <c r="J35" i="70"/>
  <c r="J38" i="70" s="1"/>
  <c r="D36" i="70"/>
  <c r="D41" i="70" s="1"/>
  <c r="H36" i="70"/>
  <c r="H41" i="70" s="1"/>
  <c r="L36" i="70"/>
  <c r="L41" i="70" s="1"/>
  <c r="D35" i="70"/>
  <c r="D38" i="70" s="1"/>
  <c r="H35" i="70"/>
  <c r="H38" i="70" s="1"/>
  <c r="L35" i="70"/>
  <c r="L38" i="70" s="1"/>
  <c r="B35" i="70"/>
  <c r="B38" i="70" s="1"/>
  <c r="J36" i="70"/>
  <c r="J41" i="70" s="1"/>
  <c r="B36" i="70"/>
  <c r="B41" i="70" s="1"/>
  <c r="E36" i="70"/>
  <c r="E41" i="70" s="1"/>
  <c r="I36" i="70"/>
  <c r="I41" i="70" s="1"/>
  <c r="M36" i="70"/>
  <c r="M41" i="70" s="1"/>
  <c r="E35" i="70"/>
  <c r="E38" i="70" s="1"/>
  <c r="I35" i="70"/>
  <c r="I38" i="70" s="1"/>
  <c r="M35" i="70"/>
  <c r="M38" i="70" s="1"/>
  <c r="F35" i="70"/>
  <c r="F38" i="70" s="1"/>
  <c r="J17" i="70"/>
  <c r="J22" i="70" s="1"/>
  <c r="H16" i="70"/>
  <c r="H19" i="70" s="1"/>
  <c r="D17" i="70"/>
  <c r="D22" i="70" s="1"/>
  <c r="F16" i="70"/>
  <c r="F19" i="70" s="1"/>
  <c r="M17" i="70"/>
  <c r="M22" i="70" s="1"/>
  <c r="K17" i="70"/>
  <c r="K22" i="70" s="1"/>
  <c r="L16" i="70"/>
  <c r="L19" i="70" s="1"/>
  <c r="K16" i="70"/>
  <c r="K19" i="70" s="1"/>
  <c r="C17" i="70"/>
  <c r="C22" i="70" s="1"/>
  <c r="E16" i="70"/>
  <c r="E19" i="70" s="1"/>
  <c r="H17" i="70"/>
  <c r="H22" i="70" s="1"/>
  <c r="J16" i="70"/>
  <c r="J19" i="70" s="1"/>
  <c r="B16" i="70"/>
  <c r="B19" i="70" s="1"/>
  <c r="C16" i="70"/>
  <c r="C19" i="70" s="1"/>
  <c r="M16" i="70"/>
  <c r="M19" i="70" s="1"/>
  <c r="B17" i="70"/>
  <c r="B22" i="70" s="1"/>
  <c r="I17" i="70"/>
  <c r="I22" i="70" s="1"/>
  <c r="G17" i="70"/>
  <c r="G22" i="70" s="1"/>
  <c r="I16" i="70"/>
  <c r="I19" i="70" s="1"/>
  <c r="L17" i="70"/>
  <c r="L22" i="70" s="1"/>
  <c r="D16" i="70"/>
  <c r="D19" i="70" s="1"/>
  <c r="E17" i="70"/>
  <c r="E22" i="70" s="1"/>
  <c r="G16" i="70"/>
  <c r="G19" i="70" s="1"/>
  <c r="F17" i="70"/>
  <c r="F22" i="70" s="1"/>
  <c r="N16" i="70"/>
  <c r="N19" i="70" s="1"/>
  <c r="N42" i="59"/>
  <c r="N43" i="59" s="1"/>
  <c r="O40" i="40"/>
  <c r="O36" i="62"/>
  <c r="P35" i="62"/>
  <c r="P34" i="62"/>
  <c r="P36" i="62" s="1"/>
  <c r="S14" i="62"/>
  <c r="S15" i="62" s="1"/>
  <c r="S16" i="62" s="1"/>
  <c r="R18" i="62"/>
  <c r="R20" i="62" s="1"/>
  <c r="Q26" i="62"/>
  <c r="Q32" i="62"/>
  <c r="Q27" i="62"/>
  <c r="N61" i="68"/>
  <c r="N56" i="62"/>
  <c r="N65" i="68"/>
  <c r="N59" i="62"/>
  <c r="N61" i="62" s="1"/>
  <c r="Q31" i="62"/>
  <c r="Q30" i="62"/>
  <c r="L61" i="42"/>
  <c r="L71" i="42" s="1"/>
  <c r="M50" i="13"/>
  <c r="M53" i="13" s="1"/>
  <c r="N39" i="13"/>
  <c r="N40" i="13"/>
  <c r="N42" i="13"/>
  <c r="L70" i="69"/>
  <c r="M53" i="65"/>
  <c r="N41" i="65"/>
  <c r="O43" i="40"/>
  <c r="M54" i="69"/>
  <c r="O30" i="69"/>
  <c r="O36" i="69" s="1"/>
  <c r="O31" i="69"/>
  <c r="Q15" i="69"/>
  <c r="Q16" i="69"/>
  <c r="P21" i="69"/>
  <c r="P22" i="69"/>
  <c r="N51" i="69"/>
  <c r="N53" i="69"/>
  <c r="N57" i="69" s="1"/>
  <c r="N52" i="69"/>
  <c r="P18" i="67"/>
  <c r="P20" i="67" s="1"/>
  <c r="Q14" i="67"/>
  <c r="O26" i="67"/>
  <c r="O27" i="67"/>
  <c r="O28" i="67" s="1"/>
  <c r="O29" i="67" s="1"/>
  <c r="O25" i="67"/>
  <c r="M63" i="69"/>
  <c r="M49" i="67"/>
  <c r="N36" i="67"/>
  <c r="M67" i="69"/>
  <c r="M52" i="67"/>
  <c r="M54" i="67" s="1"/>
  <c r="N39" i="67"/>
  <c r="N40" i="67" s="1"/>
  <c r="N41" i="67" s="1"/>
  <c r="N43" i="67" s="1"/>
  <c r="M55" i="65"/>
  <c r="M59" i="65" s="1"/>
  <c r="M61" i="65" s="1"/>
  <c r="N40" i="65"/>
  <c r="N42" i="65"/>
  <c r="N46" i="65" s="1"/>
  <c r="N47" i="65" s="1"/>
  <c r="N48" i="65" s="1"/>
  <c r="N50" i="65" s="1"/>
  <c r="M59" i="63"/>
  <c r="M61" i="63" s="1"/>
  <c r="M65" i="69"/>
  <c r="P21" i="63"/>
  <c r="P22" i="63" s="1"/>
  <c r="P28" i="63"/>
  <c r="M56" i="63"/>
  <c r="M61" i="69"/>
  <c r="N61" i="69"/>
  <c r="N56" i="63"/>
  <c r="Q18" i="63"/>
  <c r="Q20" i="63" s="1"/>
  <c r="R14" i="63"/>
  <c r="O34" i="63"/>
  <c r="O35" i="63"/>
  <c r="N59" i="63"/>
  <c r="N61" i="63" s="1"/>
  <c r="N65" i="69"/>
  <c r="P18" i="61"/>
  <c r="P20" i="61" s="1"/>
  <c r="Q14" i="61"/>
  <c r="M54" i="61"/>
  <c r="O27" i="61"/>
  <c r="O28" i="61"/>
  <c r="O26" i="61"/>
  <c r="N42" i="61"/>
  <c r="N46" i="61" s="1"/>
  <c r="N48" i="61" s="1"/>
  <c r="N40" i="61"/>
  <c r="N39" i="61"/>
  <c r="N41" i="61"/>
  <c r="P18" i="60"/>
  <c r="P20" i="60" s="1"/>
  <c r="Q14" i="60"/>
  <c r="N36" i="60"/>
  <c r="O27" i="60"/>
  <c r="O28" i="60" s="1"/>
  <c r="O29" i="60" s="1"/>
  <c r="O25" i="60"/>
  <c r="O26" i="60"/>
  <c r="M46" i="60"/>
  <c r="M48" i="60"/>
  <c r="M47" i="60"/>
  <c r="N39" i="60"/>
  <c r="N40" i="60" s="1"/>
  <c r="N41" i="60"/>
  <c r="N43" i="60" s="1"/>
  <c r="N65" i="61"/>
  <c r="N59" i="58"/>
  <c r="N61" i="58" s="1"/>
  <c r="Q28" i="58"/>
  <c r="Q21" i="58"/>
  <c r="Q22" i="58" s="1"/>
  <c r="P35" i="58"/>
  <c r="P34" i="58"/>
  <c r="N56" i="58"/>
  <c r="N61" i="61"/>
  <c r="O36" i="58"/>
  <c r="R15" i="58"/>
  <c r="R16" i="58"/>
  <c r="O26" i="59"/>
  <c r="N29" i="70" s="1"/>
  <c r="O27" i="59"/>
  <c r="N30" i="70" s="1"/>
  <c r="O32" i="59"/>
  <c r="M53" i="59"/>
  <c r="M55" i="59"/>
  <c r="M54" i="59"/>
  <c r="N46" i="59"/>
  <c r="N47" i="59" s="1"/>
  <c r="N48" i="59" s="1"/>
  <c r="N50" i="59" s="1"/>
  <c r="Q14" i="59"/>
  <c r="P18" i="59"/>
  <c r="P20" i="59" s="1"/>
  <c r="O30" i="59"/>
  <c r="N32" i="70" s="1"/>
  <c r="O31" i="59"/>
  <c r="N33" i="70" s="1"/>
  <c r="N53" i="64"/>
  <c r="N55" i="64"/>
  <c r="N54" i="64"/>
  <c r="P28" i="64"/>
  <c r="P21" i="64"/>
  <c r="P22" i="64" s="1"/>
  <c r="M66" i="68"/>
  <c r="M59" i="64"/>
  <c r="M61" i="64" s="1"/>
  <c r="Q15" i="64"/>
  <c r="Q16" i="64" s="1"/>
  <c r="M56" i="64"/>
  <c r="M62" i="68"/>
  <c r="O35" i="64"/>
  <c r="N55" i="70" s="1"/>
  <c r="N60" i="70" s="1"/>
  <c r="O34" i="64"/>
  <c r="N54" i="70" s="1"/>
  <c r="N57" i="70" s="1"/>
  <c r="P18" i="65"/>
  <c r="P20" i="65" s="1"/>
  <c r="Q14" i="65"/>
  <c r="O30" i="65"/>
  <c r="N70" i="70" s="1"/>
  <c r="O31" i="65"/>
  <c r="N71" i="70" s="1"/>
  <c r="O27" i="65"/>
  <c r="N68" i="70" s="1"/>
  <c r="O32" i="65"/>
  <c r="O26" i="65"/>
  <c r="N67" i="70" s="1"/>
  <c r="M66" i="69"/>
  <c r="M62" i="69"/>
  <c r="P35" i="40"/>
  <c r="O17" i="70" s="1"/>
  <c r="O22" i="70" s="1"/>
  <c r="P34" i="40"/>
  <c r="O16" i="70" s="1"/>
  <c r="O19" i="70" s="1"/>
  <c r="Q28" i="40"/>
  <c r="Q21" i="40"/>
  <c r="Q22" i="40" s="1"/>
  <c r="O46" i="40"/>
  <c r="O47" i="40" s="1"/>
  <c r="O48" i="40" s="1"/>
  <c r="O50" i="40" s="1"/>
  <c r="R15" i="40"/>
  <c r="R16" i="40" s="1"/>
  <c r="O26" i="13"/>
  <c r="O27" i="13"/>
  <c r="O32" i="13"/>
  <c r="Q14" i="13"/>
  <c r="P18" i="13"/>
  <c r="P20" i="13" s="1"/>
  <c r="O30" i="13"/>
  <c r="O31" i="13"/>
  <c r="N46" i="13"/>
  <c r="N47" i="13" s="1"/>
  <c r="N48" i="13" s="1"/>
  <c r="N50" i="13" s="1"/>
  <c r="M55" i="13" l="1"/>
  <c r="M65" i="42" s="1"/>
  <c r="L70" i="42"/>
  <c r="O36" i="63"/>
  <c r="O41" i="63" s="1"/>
  <c r="T14" i="62"/>
  <c r="S18" i="62"/>
  <c r="S20" i="62" s="1"/>
  <c r="Q34" i="62"/>
  <c r="Q35" i="62"/>
  <c r="P39" i="62"/>
  <c r="P42" i="62"/>
  <c r="P41" i="62"/>
  <c r="P40" i="62"/>
  <c r="R28" i="62"/>
  <c r="R21" i="62"/>
  <c r="R22" i="62" s="1"/>
  <c r="O41" i="62"/>
  <c r="O40" i="62"/>
  <c r="O42" i="62"/>
  <c r="O46" i="62" s="1"/>
  <c r="O47" i="62" s="1"/>
  <c r="O48" i="62" s="1"/>
  <c r="O50" i="62" s="1"/>
  <c r="O39" i="62"/>
  <c r="L69" i="42"/>
  <c r="M54" i="13"/>
  <c r="M56" i="13" s="1"/>
  <c r="N43" i="13"/>
  <c r="M56" i="65"/>
  <c r="N43" i="65"/>
  <c r="P36" i="40"/>
  <c r="P41" i="40" s="1"/>
  <c r="O36" i="64"/>
  <c r="O41" i="64" s="1"/>
  <c r="O42" i="69"/>
  <c r="O46" i="69" s="1"/>
  <c r="O48" i="69" s="1"/>
  <c r="O40" i="69"/>
  <c r="O41" i="69"/>
  <c r="O39" i="69"/>
  <c r="O43" i="69" s="1"/>
  <c r="P26" i="69"/>
  <c r="P27" i="69"/>
  <c r="P28" i="69"/>
  <c r="Q18" i="69"/>
  <c r="Q20" i="69" s="1"/>
  <c r="R14" i="69"/>
  <c r="N54" i="69"/>
  <c r="N46" i="67"/>
  <c r="N48" i="67"/>
  <c r="N47" i="67"/>
  <c r="O35" i="67"/>
  <c r="O34" i="67"/>
  <c r="O32" i="67"/>
  <c r="O33" i="67"/>
  <c r="Q15" i="67"/>
  <c r="Q16" i="67" s="1"/>
  <c r="P21" i="67"/>
  <c r="P22" i="67" s="1"/>
  <c r="O39" i="63"/>
  <c r="O42" i="63"/>
  <c r="P27" i="63"/>
  <c r="P32" i="63"/>
  <c r="P26" i="63"/>
  <c r="R15" i="63"/>
  <c r="R16" i="63" s="1"/>
  <c r="Q28" i="63"/>
  <c r="Q21" i="63"/>
  <c r="Q22" i="63" s="1"/>
  <c r="P31" i="63"/>
  <c r="P30" i="63"/>
  <c r="N51" i="61"/>
  <c r="N53" i="61"/>
  <c r="N57" i="61" s="1"/>
  <c r="N52" i="61"/>
  <c r="N43" i="61"/>
  <c r="O30" i="61"/>
  <c r="O36" i="61" s="1"/>
  <c r="O31" i="61"/>
  <c r="Q16" i="61"/>
  <c r="Q15" i="61"/>
  <c r="P21" i="61"/>
  <c r="P22" i="61"/>
  <c r="O35" i="60"/>
  <c r="O32" i="60"/>
  <c r="O33" i="60"/>
  <c r="O34" i="60"/>
  <c r="N48" i="60"/>
  <c r="N46" i="60"/>
  <c r="N47" i="60"/>
  <c r="M63" i="61"/>
  <c r="M49" i="60"/>
  <c r="Q15" i="60"/>
  <c r="Q16" i="60"/>
  <c r="M67" i="61"/>
  <c r="M52" i="60"/>
  <c r="M54" i="60" s="1"/>
  <c r="P21" i="60"/>
  <c r="P22" i="60"/>
  <c r="Q26" i="58"/>
  <c r="Q32" i="58"/>
  <c r="Q27" i="58"/>
  <c r="R18" i="58"/>
  <c r="R20" i="58" s="1"/>
  <c r="S14" i="58"/>
  <c r="S15" i="58" s="1"/>
  <c r="S16" i="58" s="1"/>
  <c r="Q31" i="58"/>
  <c r="Q30" i="58"/>
  <c r="P36" i="58"/>
  <c r="O39" i="58"/>
  <c r="O41" i="58"/>
  <c r="O40" i="58"/>
  <c r="O42" i="58"/>
  <c r="P21" i="59"/>
  <c r="P22" i="59" s="1"/>
  <c r="P28" i="59"/>
  <c r="O35" i="59"/>
  <c r="N36" i="70" s="1"/>
  <c r="N41" i="70" s="1"/>
  <c r="O34" i="59"/>
  <c r="N35" i="70" s="1"/>
  <c r="N38" i="70" s="1"/>
  <c r="Q15" i="59"/>
  <c r="Q16" i="59" s="1"/>
  <c r="M66" i="61"/>
  <c r="M59" i="59"/>
  <c r="M61" i="59" s="1"/>
  <c r="N53" i="59"/>
  <c r="N55" i="59"/>
  <c r="N54" i="59"/>
  <c r="M62" i="61"/>
  <c r="M56" i="59"/>
  <c r="R14" i="64"/>
  <c r="Q18" i="64"/>
  <c r="Q20" i="64" s="1"/>
  <c r="P32" i="64"/>
  <c r="P27" i="64"/>
  <c r="O49" i="70" s="1"/>
  <c r="P26" i="64"/>
  <c r="O48" i="70" s="1"/>
  <c r="N66" i="68"/>
  <c r="N59" i="64"/>
  <c r="N61" i="64" s="1"/>
  <c r="M71" i="68"/>
  <c r="M70" i="68"/>
  <c r="M69" i="68"/>
  <c r="P30" i="64"/>
  <c r="O51" i="70" s="1"/>
  <c r="P31" i="64"/>
  <c r="O52" i="70" s="1"/>
  <c r="N56" i="64"/>
  <c r="N62" i="68"/>
  <c r="N54" i="65"/>
  <c r="N53" i="65"/>
  <c r="N55" i="65"/>
  <c r="O34" i="65"/>
  <c r="N73" i="70" s="1"/>
  <c r="N76" i="70" s="1"/>
  <c r="O35" i="65"/>
  <c r="N74" i="70" s="1"/>
  <c r="N79" i="70" s="1"/>
  <c r="Q15" i="65"/>
  <c r="Q16" i="65" s="1"/>
  <c r="M71" i="69"/>
  <c r="M69" i="69"/>
  <c r="M70" i="69"/>
  <c r="P21" i="65"/>
  <c r="P22" i="65" s="1"/>
  <c r="P28" i="65"/>
  <c r="Q27" i="40"/>
  <c r="P11" i="70" s="1"/>
  <c r="Q32" i="40"/>
  <c r="Q26" i="40"/>
  <c r="P10" i="70" s="1"/>
  <c r="R18" i="40"/>
  <c r="R20" i="40" s="1"/>
  <c r="S14" i="40"/>
  <c r="P40" i="40"/>
  <c r="O55" i="40"/>
  <c r="O53" i="40"/>
  <c r="O54" i="40"/>
  <c r="Q30" i="40"/>
  <c r="P13" i="70" s="1"/>
  <c r="Q31" i="40"/>
  <c r="P14" i="70" s="1"/>
  <c r="N54" i="13"/>
  <c r="N53" i="13"/>
  <c r="N55" i="13"/>
  <c r="O35" i="13"/>
  <c r="O34" i="13"/>
  <c r="P28" i="13"/>
  <c r="P21" i="13"/>
  <c r="P22" i="13" s="1"/>
  <c r="M61" i="42"/>
  <c r="Q15" i="13"/>
  <c r="Q16" i="13" s="1"/>
  <c r="M59" i="13" l="1"/>
  <c r="M61" i="13" s="1"/>
  <c r="O42" i="64"/>
  <c r="O39" i="64"/>
  <c r="O40" i="64"/>
  <c r="O40" i="63"/>
  <c r="O43" i="63" s="1"/>
  <c r="O36" i="59"/>
  <c r="P42" i="40"/>
  <c r="P39" i="40"/>
  <c r="P43" i="40" s="1"/>
  <c r="R27" i="62"/>
  <c r="R32" i="62"/>
  <c r="R26" i="62"/>
  <c r="O43" i="62"/>
  <c r="O54" i="62"/>
  <c r="O53" i="62"/>
  <c r="O55" i="62"/>
  <c r="R30" i="62"/>
  <c r="R31" i="62"/>
  <c r="P46" i="62"/>
  <c r="P47" i="62" s="1"/>
  <c r="P48" i="62" s="1"/>
  <c r="P50" i="62" s="1"/>
  <c r="S28" i="62"/>
  <c r="S21" i="62"/>
  <c r="S22" i="62" s="1"/>
  <c r="Q36" i="62"/>
  <c r="P43" i="62"/>
  <c r="T15" i="62"/>
  <c r="T16" i="62" s="1"/>
  <c r="O36" i="65"/>
  <c r="O41" i="65" s="1"/>
  <c r="R15" i="69"/>
  <c r="R16" i="69"/>
  <c r="P31" i="69"/>
  <c r="P30" i="69"/>
  <c r="P36" i="69" s="1"/>
  <c r="Q21" i="69"/>
  <c r="Q22" i="69" s="1"/>
  <c r="O51" i="69"/>
  <c r="O53" i="69"/>
  <c r="O57" i="69" s="1"/>
  <c r="O52" i="69"/>
  <c r="R14" i="67"/>
  <c r="Q18" i="67"/>
  <c r="Q20" i="67" s="1"/>
  <c r="P27" i="67"/>
  <c r="P28" i="67" s="1"/>
  <c r="P29" i="67" s="1"/>
  <c r="P26" i="67"/>
  <c r="P25" i="67"/>
  <c r="O36" i="67"/>
  <c r="N67" i="69"/>
  <c r="N52" i="67"/>
  <c r="N54" i="67" s="1"/>
  <c r="O39" i="67"/>
  <c r="O40" i="67" s="1"/>
  <c r="O41" i="67"/>
  <c r="O43" i="67" s="1"/>
  <c r="N63" i="69"/>
  <c r="N49" i="67"/>
  <c r="R18" i="63"/>
  <c r="R20" i="63" s="1"/>
  <c r="S14" i="63"/>
  <c r="Q32" i="63"/>
  <c r="Q26" i="63"/>
  <c r="Q27" i="63"/>
  <c r="O46" i="63"/>
  <c r="O47" i="63" s="1"/>
  <c r="O48" i="63" s="1"/>
  <c r="O50" i="63" s="1"/>
  <c r="Q30" i="63"/>
  <c r="Q31" i="63"/>
  <c r="P34" i="63"/>
  <c r="P35" i="63"/>
  <c r="O42" i="61"/>
  <c r="O46" i="61" s="1"/>
  <c r="O48" i="61" s="1"/>
  <c r="O41" i="61"/>
  <c r="O39" i="61"/>
  <c r="O43" i="61" s="1"/>
  <c r="O40" i="61"/>
  <c r="Q18" i="61"/>
  <c r="Q20" i="61" s="1"/>
  <c r="R14" i="61"/>
  <c r="P28" i="61"/>
  <c r="P26" i="61"/>
  <c r="P27" i="61"/>
  <c r="N54" i="61"/>
  <c r="P27" i="60"/>
  <c r="P28" i="60" s="1"/>
  <c r="P25" i="60"/>
  <c r="P29" i="60"/>
  <c r="P26" i="60"/>
  <c r="Q18" i="60"/>
  <c r="Q20" i="60" s="1"/>
  <c r="R14" i="60"/>
  <c r="N49" i="60"/>
  <c r="N63" i="61"/>
  <c r="O36" i="60"/>
  <c r="N67" i="61"/>
  <c r="N52" i="60"/>
  <c r="N54" i="60" s="1"/>
  <c r="O39" i="60"/>
  <c r="O40" i="60" s="1"/>
  <c r="O41" i="60" s="1"/>
  <c r="O43" i="60" s="1"/>
  <c r="O46" i="58"/>
  <c r="O47" i="58" s="1"/>
  <c r="O48" i="58" s="1"/>
  <c r="O50" i="58" s="1"/>
  <c r="R28" i="58"/>
  <c r="R22" i="58"/>
  <c r="R21" i="58"/>
  <c r="Q35" i="58"/>
  <c r="Q34" i="58"/>
  <c r="Q36" i="58" s="1"/>
  <c r="P41" i="58"/>
  <c r="P39" i="58"/>
  <c r="P42" i="58"/>
  <c r="P46" i="58" s="1"/>
  <c r="P47" i="58" s="1"/>
  <c r="P48" i="58" s="1"/>
  <c r="P50" i="58" s="1"/>
  <c r="P40" i="58"/>
  <c r="O43" i="58"/>
  <c r="T14" i="58"/>
  <c r="S18" i="58"/>
  <c r="S20" i="58" s="1"/>
  <c r="Q18" i="59"/>
  <c r="Q20" i="59" s="1"/>
  <c r="R14" i="59"/>
  <c r="O42" i="59"/>
  <c r="O41" i="59"/>
  <c r="O39" i="59"/>
  <c r="O40" i="59"/>
  <c r="P27" i="59"/>
  <c r="O30" i="70" s="1"/>
  <c r="P32" i="59"/>
  <c r="P26" i="59"/>
  <c r="O29" i="70" s="1"/>
  <c r="N62" i="61"/>
  <c r="N56" i="59"/>
  <c r="P30" i="59"/>
  <c r="O32" i="70" s="1"/>
  <c r="P31" i="59"/>
  <c r="O33" i="70" s="1"/>
  <c r="N66" i="61"/>
  <c r="N59" i="59"/>
  <c r="N61" i="59" s="1"/>
  <c r="M70" i="61"/>
  <c r="M71" i="61"/>
  <c r="M69" i="61"/>
  <c r="N70" i="68"/>
  <c r="N69" i="68"/>
  <c r="N71" i="68"/>
  <c r="P34" i="64"/>
  <c r="O54" i="70" s="1"/>
  <c r="O57" i="70" s="1"/>
  <c r="P35" i="64"/>
  <c r="O55" i="70" s="1"/>
  <c r="O60" i="70" s="1"/>
  <c r="O46" i="64"/>
  <c r="O47" i="64" s="1"/>
  <c r="O48" i="64" s="1"/>
  <c r="O50" i="64" s="1"/>
  <c r="Q21" i="64"/>
  <c r="Q22" i="64" s="1"/>
  <c r="Q28" i="64"/>
  <c r="R15" i="64"/>
  <c r="R16" i="64" s="1"/>
  <c r="O43" i="64"/>
  <c r="P27" i="65"/>
  <c r="O68" i="70" s="1"/>
  <c r="P32" i="65"/>
  <c r="P26" i="65"/>
  <c r="O67" i="70" s="1"/>
  <c r="Q18" i="65"/>
  <c r="Q20" i="65" s="1"/>
  <c r="R14" i="65"/>
  <c r="O40" i="65"/>
  <c r="N62" i="69"/>
  <c r="N56" i="65"/>
  <c r="P30" i="65"/>
  <c r="O70" i="70" s="1"/>
  <c r="P31" i="65"/>
  <c r="O71" i="70" s="1"/>
  <c r="N59" i="65"/>
  <c r="N61" i="65" s="1"/>
  <c r="N66" i="69"/>
  <c r="O56" i="40"/>
  <c r="O62" i="42"/>
  <c r="O66" i="42"/>
  <c r="O59" i="40"/>
  <c r="O61" i="40" s="1"/>
  <c r="S15" i="40"/>
  <c r="S16" i="40" s="1"/>
  <c r="Q35" i="40"/>
  <c r="P17" i="70" s="1"/>
  <c r="P22" i="70" s="1"/>
  <c r="Q34" i="40"/>
  <c r="P46" i="40"/>
  <c r="P47" i="40" s="1"/>
  <c r="P48" i="40" s="1"/>
  <c r="P50" i="40" s="1"/>
  <c r="R28" i="40"/>
  <c r="R21" i="40"/>
  <c r="R22" i="40" s="1"/>
  <c r="O36" i="13"/>
  <c r="O40" i="13" s="1"/>
  <c r="Q18" i="13"/>
  <c r="Q20" i="13" s="1"/>
  <c r="R14" i="13"/>
  <c r="N65" i="42"/>
  <c r="N59" i="13"/>
  <c r="N61" i="13" s="1"/>
  <c r="N56" i="13"/>
  <c r="N61" i="42"/>
  <c r="P26" i="13"/>
  <c r="P27" i="13"/>
  <c r="P32" i="13"/>
  <c r="P30" i="13"/>
  <c r="P31" i="13"/>
  <c r="M71" i="42"/>
  <c r="M70" i="42"/>
  <c r="M69" i="42"/>
  <c r="O42" i="65" l="1"/>
  <c r="Q36" i="40"/>
  <c r="P16" i="70"/>
  <c r="P19" i="70" s="1"/>
  <c r="O39" i="65"/>
  <c r="O43" i="65" s="1"/>
  <c r="U14" i="62"/>
  <c r="T18" i="62"/>
  <c r="T20" i="62" s="1"/>
  <c r="S31" i="62"/>
  <c r="S30" i="62"/>
  <c r="P55" i="62"/>
  <c r="P54" i="62"/>
  <c r="P53" i="62"/>
  <c r="O59" i="62"/>
  <c r="O61" i="62" s="1"/>
  <c r="O65" i="68"/>
  <c r="Q40" i="62"/>
  <c r="Q39" i="62"/>
  <c r="Q41" i="62"/>
  <c r="Q42" i="62"/>
  <c r="Q46" i="62" s="1"/>
  <c r="Q47" i="62" s="1"/>
  <c r="Q48" i="62" s="1"/>
  <c r="Q50" i="62" s="1"/>
  <c r="O56" i="62"/>
  <c r="O61" i="68"/>
  <c r="R35" i="62"/>
  <c r="R34" i="62"/>
  <c r="S27" i="62"/>
  <c r="S26" i="62"/>
  <c r="S32" i="62"/>
  <c r="O41" i="13"/>
  <c r="O39" i="13"/>
  <c r="O42" i="13"/>
  <c r="P36" i="64"/>
  <c r="P41" i="64" s="1"/>
  <c r="Q26" i="69"/>
  <c r="Q27" i="69"/>
  <c r="Q28" i="69"/>
  <c r="O54" i="69"/>
  <c r="P42" i="69"/>
  <c r="P46" i="69" s="1"/>
  <c r="P48" i="69" s="1"/>
  <c r="P41" i="69"/>
  <c r="P39" i="69"/>
  <c r="P43" i="69" s="1"/>
  <c r="P40" i="69"/>
  <c r="S14" i="69"/>
  <c r="R18" i="69"/>
  <c r="R20" i="69" s="1"/>
  <c r="P35" i="67"/>
  <c r="P32" i="67"/>
  <c r="P33" i="67"/>
  <c r="P34" i="67"/>
  <c r="O46" i="67"/>
  <c r="O48" i="67"/>
  <c r="O47" i="67"/>
  <c r="Q21" i="67"/>
  <c r="Q22" i="67" s="1"/>
  <c r="R15" i="67"/>
  <c r="R16" i="67"/>
  <c r="O55" i="63"/>
  <c r="O54" i="63"/>
  <c r="O53" i="63"/>
  <c r="Q35" i="63"/>
  <c r="Q34" i="63"/>
  <c r="P36" i="63"/>
  <c r="S15" i="63"/>
  <c r="S16" i="63" s="1"/>
  <c r="R28" i="63"/>
  <c r="R21" i="63"/>
  <c r="R22" i="63" s="1"/>
  <c r="P30" i="61"/>
  <c r="P31" i="61"/>
  <c r="R15" i="61"/>
  <c r="R16" i="61" s="1"/>
  <c r="Q21" i="61"/>
  <c r="Q22" i="61" s="1"/>
  <c r="O51" i="61"/>
  <c r="O54" i="61" s="1"/>
  <c r="O53" i="61"/>
  <c r="O57" i="61" s="1"/>
  <c r="O52" i="61"/>
  <c r="O48" i="60"/>
  <c r="O46" i="60"/>
  <c r="O47" i="60"/>
  <c r="P32" i="60"/>
  <c r="P33" i="60"/>
  <c r="P35" i="60"/>
  <c r="P34" i="60"/>
  <c r="R15" i="60"/>
  <c r="R16" i="60"/>
  <c r="Q21" i="60"/>
  <c r="Q22" i="60" s="1"/>
  <c r="O55" i="58"/>
  <c r="O54" i="58"/>
  <c r="O53" i="58"/>
  <c r="Q40" i="58"/>
  <c r="Q42" i="58"/>
  <c r="Q46" i="58" s="1"/>
  <c r="Q47" i="58" s="1"/>
  <c r="Q48" i="58" s="1"/>
  <c r="Q50" i="58" s="1"/>
  <c r="Q41" i="58"/>
  <c r="Q39" i="58"/>
  <c r="R30" i="58"/>
  <c r="R31" i="58"/>
  <c r="R26" i="58"/>
  <c r="R32" i="58"/>
  <c r="R27" i="58"/>
  <c r="S21" i="58"/>
  <c r="S22" i="58" s="1"/>
  <c r="S28" i="58"/>
  <c r="P53" i="58"/>
  <c r="P55" i="58"/>
  <c r="P54" i="58"/>
  <c r="T15" i="58"/>
  <c r="T16" i="58" s="1"/>
  <c r="P43" i="58"/>
  <c r="N69" i="61"/>
  <c r="N71" i="61"/>
  <c r="N70" i="61"/>
  <c r="O46" i="59"/>
  <c r="O47" i="59" s="1"/>
  <c r="O48" i="59" s="1"/>
  <c r="O50" i="59" s="1"/>
  <c r="R15" i="59"/>
  <c r="R16" i="59" s="1"/>
  <c r="P34" i="59"/>
  <c r="O35" i="70" s="1"/>
  <c r="O38" i="70" s="1"/>
  <c r="P35" i="59"/>
  <c r="O36" i="70" s="1"/>
  <c r="O41" i="70" s="1"/>
  <c r="O43" i="59"/>
  <c r="Q21" i="59"/>
  <c r="Q22" i="59" s="1"/>
  <c r="Q28" i="59"/>
  <c r="O55" i="64"/>
  <c r="O54" i="64"/>
  <c r="O53" i="64"/>
  <c r="R18" i="64"/>
  <c r="R20" i="64" s="1"/>
  <c r="S14" i="64"/>
  <c r="Q30" i="64"/>
  <c r="P51" i="70" s="1"/>
  <c r="Q31" i="64"/>
  <c r="P52" i="70" s="1"/>
  <c r="Q27" i="64"/>
  <c r="P49" i="70" s="1"/>
  <c r="Q26" i="64"/>
  <c r="P48" i="70" s="1"/>
  <c r="Q32" i="64"/>
  <c r="O46" i="65"/>
  <c r="O47" i="65" s="1"/>
  <c r="O48" i="65" s="1"/>
  <c r="O50" i="65" s="1"/>
  <c r="R15" i="65"/>
  <c r="R16" i="65" s="1"/>
  <c r="P34" i="65"/>
  <c r="O73" i="70" s="1"/>
  <c r="O76" i="70" s="1"/>
  <c r="P35" i="65"/>
  <c r="O74" i="70" s="1"/>
  <c r="O79" i="70" s="1"/>
  <c r="N71" i="69"/>
  <c r="N70" i="69"/>
  <c r="N69" i="69"/>
  <c r="Q28" i="65"/>
  <c r="Q21" i="65"/>
  <c r="Q22" i="65" s="1"/>
  <c r="S18" i="40"/>
  <c r="S20" i="40" s="1"/>
  <c r="T14" i="40"/>
  <c r="Q42" i="40"/>
  <c r="Q39" i="40"/>
  <c r="Q40" i="40"/>
  <c r="Q41" i="40"/>
  <c r="R27" i="40"/>
  <c r="Q11" i="70" s="1"/>
  <c r="R26" i="40"/>
  <c r="Q10" i="70" s="1"/>
  <c r="R32" i="40"/>
  <c r="P55" i="40"/>
  <c r="P54" i="40"/>
  <c r="P53" i="40"/>
  <c r="R31" i="40"/>
  <c r="Q14" i="70" s="1"/>
  <c r="R30" i="40"/>
  <c r="Q13" i="70" s="1"/>
  <c r="O46" i="13"/>
  <c r="O47" i="13" s="1"/>
  <c r="O48" i="13" s="1"/>
  <c r="O50" i="13" s="1"/>
  <c r="N70" i="42"/>
  <c r="N71" i="42"/>
  <c r="N69" i="42"/>
  <c r="R15" i="13"/>
  <c r="R16" i="13" s="1"/>
  <c r="P35" i="13"/>
  <c r="P34" i="13"/>
  <c r="Q28" i="13"/>
  <c r="Q21" i="13"/>
  <c r="Q22" i="13" s="1"/>
  <c r="Q19" i="70" l="1"/>
  <c r="P39" i="64"/>
  <c r="P42" i="64"/>
  <c r="P40" i="64"/>
  <c r="P61" i="68"/>
  <c r="P56" i="62"/>
  <c r="T21" i="62"/>
  <c r="T22" i="62" s="1"/>
  <c r="T28" i="62"/>
  <c r="S34" i="62"/>
  <c r="S35" i="62"/>
  <c r="Q43" i="62"/>
  <c r="R36" i="62"/>
  <c r="Q54" i="62"/>
  <c r="Q53" i="62"/>
  <c r="Q55" i="62"/>
  <c r="P59" i="62"/>
  <c r="P61" i="62" s="1"/>
  <c r="P65" i="68"/>
  <c r="U15" i="62"/>
  <c r="U16" i="62"/>
  <c r="O43" i="13"/>
  <c r="P36" i="13"/>
  <c r="P41" i="13" s="1"/>
  <c r="P36" i="59"/>
  <c r="P41" i="59" s="1"/>
  <c r="Q43" i="40"/>
  <c r="R21" i="69"/>
  <c r="R22" i="69"/>
  <c r="Q30" i="69"/>
  <c r="Q36" i="69" s="1"/>
  <c r="Q31" i="69"/>
  <c r="S15" i="69"/>
  <c r="S16" i="69"/>
  <c r="P51" i="69"/>
  <c r="P54" i="69" s="1"/>
  <c r="P53" i="69"/>
  <c r="P57" i="69" s="1"/>
  <c r="P52" i="69"/>
  <c r="Q27" i="67"/>
  <c r="Q28" i="67" s="1"/>
  <c r="Q25" i="67"/>
  <c r="Q26" i="67"/>
  <c r="Q29" i="67"/>
  <c r="R18" i="67"/>
  <c r="R20" i="67" s="1"/>
  <c r="S14" i="67"/>
  <c r="O67" i="69"/>
  <c r="O52" i="67"/>
  <c r="O54" i="67" s="1"/>
  <c r="P36" i="67"/>
  <c r="O63" i="69"/>
  <c r="O49" i="67"/>
  <c r="P39" i="67"/>
  <c r="P40" i="67" s="1"/>
  <c r="P41" i="67" s="1"/>
  <c r="P43" i="67" s="1"/>
  <c r="P36" i="65"/>
  <c r="P42" i="65" s="1"/>
  <c r="T14" i="63"/>
  <c r="T15" i="63" s="1"/>
  <c r="T16" i="63" s="1"/>
  <c r="S18" i="63"/>
  <c r="S20" i="63" s="1"/>
  <c r="R32" i="63"/>
  <c r="R26" i="63"/>
  <c r="R27" i="63"/>
  <c r="O56" i="63"/>
  <c r="O61" i="69"/>
  <c r="R30" i="63"/>
  <c r="R31" i="63"/>
  <c r="P39" i="63"/>
  <c r="P41" i="63"/>
  <c r="P42" i="63"/>
  <c r="P46" i="63" s="1"/>
  <c r="P47" i="63" s="1"/>
  <c r="P48" i="63" s="1"/>
  <c r="P50" i="63" s="1"/>
  <c r="P40" i="63"/>
  <c r="Q36" i="63"/>
  <c r="O59" i="63"/>
  <c r="O61" i="63" s="1"/>
  <c r="O65" i="69"/>
  <c r="Q26" i="61"/>
  <c r="Q27" i="61"/>
  <c r="Q28" i="61"/>
  <c r="R18" i="61"/>
  <c r="R20" i="61" s="1"/>
  <c r="S14" i="61"/>
  <c r="P36" i="61"/>
  <c r="Q27" i="60"/>
  <c r="Q28" i="60" s="1"/>
  <c r="Q29" i="60" s="1"/>
  <c r="Q25" i="60"/>
  <c r="Q26" i="60"/>
  <c r="P36" i="60"/>
  <c r="P39" i="60"/>
  <c r="P40" i="60" s="1"/>
  <c r="P41" i="60" s="1"/>
  <c r="P43" i="60" s="1"/>
  <c r="O63" i="61"/>
  <c r="O49" i="60"/>
  <c r="R18" i="60"/>
  <c r="R20" i="60" s="1"/>
  <c r="S14" i="60"/>
  <c r="O67" i="61"/>
  <c r="O52" i="60"/>
  <c r="O54" i="60" s="1"/>
  <c r="S32" i="58"/>
  <c r="S26" i="58"/>
  <c r="S27" i="58"/>
  <c r="R35" i="58"/>
  <c r="R34" i="58"/>
  <c r="Q43" i="58"/>
  <c r="O61" i="61"/>
  <c r="O56" i="58"/>
  <c r="S30" i="58"/>
  <c r="S31" i="58"/>
  <c r="T18" i="58"/>
  <c r="T20" i="58" s="1"/>
  <c r="U14" i="58"/>
  <c r="U15" i="58" s="1"/>
  <c r="U16" i="58" s="1"/>
  <c r="P61" i="61"/>
  <c r="P56" i="58"/>
  <c r="P65" i="61"/>
  <c r="P59" i="58"/>
  <c r="P61" i="58" s="1"/>
  <c r="Q54" i="58"/>
  <c r="Q55" i="58"/>
  <c r="Q53" i="58"/>
  <c r="O65" i="61"/>
  <c r="O59" i="58"/>
  <c r="O61" i="58" s="1"/>
  <c r="P42" i="59"/>
  <c r="P39" i="59"/>
  <c r="P40" i="59"/>
  <c r="O53" i="59"/>
  <c r="O54" i="59"/>
  <c r="O55" i="59"/>
  <c r="Q26" i="59"/>
  <c r="P29" i="70" s="1"/>
  <c r="Q27" i="59"/>
  <c r="P30" i="70" s="1"/>
  <c r="Q32" i="59"/>
  <c r="R18" i="59"/>
  <c r="R20" i="59" s="1"/>
  <c r="S14" i="59"/>
  <c r="Q31" i="59"/>
  <c r="P33" i="70" s="1"/>
  <c r="Q30" i="59"/>
  <c r="P32" i="70" s="1"/>
  <c r="R28" i="64"/>
  <c r="R21" i="64"/>
  <c r="R22" i="64" s="1"/>
  <c r="O62" i="68"/>
  <c r="O56" i="64"/>
  <c r="Q35" i="64"/>
  <c r="P55" i="70" s="1"/>
  <c r="P60" i="70" s="1"/>
  <c r="Q34" i="64"/>
  <c r="P46" i="64"/>
  <c r="P47" i="64" s="1"/>
  <c r="P48" i="64" s="1"/>
  <c r="P50" i="64" s="1"/>
  <c r="S15" i="64"/>
  <c r="S16" i="64" s="1"/>
  <c r="O59" i="64"/>
  <c r="O61" i="64" s="1"/>
  <c r="O66" i="68"/>
  <c r="R18" i="65"/>
  <c r="R20" i="65" s="1"/>
  <c r="S14" i="65"/>
  <c r="Q26" i="65"/>
  <c r="P67" i="70" s="1"/>
  <c r="Q32" i="65"/>
  <c r="Q27" i="65"/>
  <c r="P68" i="70" s="1"/>
  <c r="O53" i="65"/>
  <c r="O55" i="65"/>
  <c r="O54" i="65"/>
  <c r="Q30" i="65"/>
  <c r="P70" i="70" s="1"/>
  <c r="Q31" i="65"/>
  <c r="P71" i="70" s="1"/>
  <c r="P66" i="42"/>
  <c r="P59" i="40"/>
  <c r="P61" i="40" s="1"/>
  <c r="R35" i="40"/>
  <c r="Q17" i="70" s="1"/>
  <c r="Q22" i="70" s="1"/>
  <c r="R34" i="40"/>
  <c r="Q16" i="70" s="1"/>
  <c r="T15" i="40"/>
  <c r="T16" i="40" s="1"/>
  <c r="Q46" i="40"/>
  <c r="Q47" i="40" s="1"/>
  <c r="Q48" i="40" s="1"/>
  <c r="Q50" i="40" s="1"/>
  <c r="P62" i="42"/>
  <c r="P56" i="40"/>
  <c r="S21" i="40"/>
  <c r="S22" i="40" s="1"/>
  <c r="S28" i="40"/>
  <c r="P42" i="13"/>
  <c r="S14" i="13"/>
  <c r="R18" i="13"/>
  <c r="R20" i="13" s="1"/>
  <c r="O53" i="13"/>
  <c r="O54" i="13"/>
  <c r="O55" i="13"/>
  <c r="Q30" i="13"/>
  <c r="Q31" i="13"/>
  <c r="Q26" i="13"/>
  <c r="Q27" i="13"/>
  <c r="Q32" i="13"/>
  <c r="P43" i="64" l="1"/>
  <c r="Q36" i="64"/>
  <c r="P54" i="70"/>
  <c r="P57" i="70" s="1"/>
  <c r="P39" i="65"/>
  <c r="P41" i="65"/>
  <c r="P40" i="65"/>
  <c r="R36" i="40"/>
  <c r="R40" i="40" s="1"/>
  <c r="S36" i="62"/>
  <c r="R41" i="62"/>
  <c r="R39" i="62"/>
  <c r="R42" i="62"/>
  <c r="R46" i="62" s="1"/>
  <c r="R47" i="62" s="1"/>
  <c r="R48" i="62" s="1"/>
  <c r="R50" i="62" s="1"/>
  <c r="R40" i="62"/>
  <c r="U18" i="62"/>
  <c r="U20" i="62" s="1"/>
  <c r="V14" i="62"/>
  <c r="Q65" i="68"/>
  <c r="Q59" i="62"/>
  <c r="Q61" i="62" s="1"/>
  <c r="T26" i="62"/>
  <c r="T32" i="62"/>
  <c r="T27" i="62"/>
  <c r="Q61" i="68"/>
  <c r="Q56" i="62"/>
  <c r="T31" i="62"/>
  <c r="T30" i="62"/>
  <c r="S41" i="62"/>
  <c r="S40" i="62"/>
  <c r="S42" i="62"/>
  <c r="S46" i="62" s="1"/>
  <c r="S47" i="62" s="1"/>
  <c r="S48" i="62" s="1"/>
  <c r="S50" i="62" s="1"/>
  <c r="S39" i="62"/>
  <c r="P39" i="13"/>
  <c r="P40" i="13"/>
  <c r="P43" i="13" s="1"/>
  <c r="Q42" i="69"/>
  <c r="Q46" i="69" s="1"/>
  <c r="Q48" i="69" s="1"/>
  <c r="Q39" i="69"/>
  <c r="Q40" i="69"/>
  <c r="Q41" i="69"/>
  <c r="T14" i="69"/>
  <c r="S18" i="69"/>
  <c r="S20" i="69" s="1"/>
  <c r="R28" i="69"/>
  <c r="R26" i="69"/>
  <c r="R27" i="69"/>
  <c r="P46" i="67"/>
  <c r="P47" i="67"/>
  <c r="P48" i="67"/>
  <c r="Q35" i="67"/>
  <c r="Q34" i="67"/>
  <c r="Q32" i="67"/>
  <c r="Q33" i="67"/>
  <c r="S15" i="67"/>
  <c r="S16" i="67" s="1"/>
  <c r="R21" i="67"/>
  <c r="R22" i="67" s="1"/>
  <c r="R34" i="63"/>
  <c r="R35" i="63"/>
  <c r="R36" i="63" s="1"/>
  <c r="Q41" i="63"/>
  <c r="Q40" i="63"/>
  <c r="Q42" i="63"/>
  <c r="Q46" i="63" s="1"/>
  <c r="Q47" i="63" s="1"/>
  <c r="Q48" i="63" s="1"/>
  <c r="Q50" i="63" s="1"/>
  <c r="Q39" i="63"/>
  <c r="P43" i="63"/>
  <c r="S28" i="63"/>
  <c r="S21" i="63"/>
  <c r="S22" i="63" s="1"/>
  <c r="P53" i="63"/>
  <c r="P54" i="63"/>
  <c r="P55" i="63"/>
  <c r="T18" i="63"/>
  <c r="T20" i="63" s="1"/>
  <c r="U14" i="63"/>
  <c r="Q30" i="61"/>
  <c r="Q31" i="61"/>
  <c r="P42" i="61"/>
  <c r="P46" i="61" s="1"/>
  <c r="P48" i="61" s="1"/>
  <c r="P40" i="61"/>
  <c r="P41" i="61"/>
  <c r="P39" i="61"/>
  <c r="P43" i="61" s="1"/>
  <c r="S15" i="61"/>
  <c r="S16" i="61" s="1"/>
  <c r="R21" i="61"/>
  <c r="R22" i="61"/>
  <c r="P48" i="60"/>
  <c r="P46" i="60"/>
  <c r="P47" i="60"/>
  <c r="Q35" i="60"/>
  <c r="Q32" i="60"/>
  <c r="Q33" i="60"/>
  <c r="Q34" i="60"/>
  <c r="S15" i="60"/>
  <c r="S16" i="60"/>
  <c r="R21" i="60"/>
  <c r="R22" i="60" s="1"/>
  <c r="V14" i="58"/>
  <c r="U18" i="58"/>
  <c r="U20" i="58" s="1"/>
  <c r="Q56" i="58"/>
  <c r="Q61" i="61"/>
  <c r="T21" i="58"/>
  <c r="T28" i="58"/>
  <c r="T22" i="58"/>
  <c r="Q59" i="58"/>
  <c r="Q61" i="58" s="1"/>
  <c r="Q65" i="61"/>
  <c r="R36" i="58"/>
  <c r="S34" i="58"/>
  <c r="S35" i="58"/>
  <c r="R28" i="59"/>
  <c r="R21" i="59"/>
  <c r="R22" i="59" s="1"/>
  <c r="O66" i="61"/>
  <c r="O59" i="59"/>
  <c r="O61" i="59" s="1"/>
  <c r="Q34" i="59"/>
  <c r="P35" i="70" s="1"/>
  <c r="P38" i="70" s="1"/>
  <c r="Q35" i="59"/>
  <c r="P36" i="70" s="1"/>
  <c r="P41" i="70" s="1"/>
  <c r="P43" i="59"/>
  <c r="S15" i="59"/>
  <c r="S16" i="59" s="1"/>
  <c r="O62" i="61"/>
  <c r="O56" i="59"/>
  <c r="P46" i="59"/>
  <c r="P47" i="59" s="1"/>
  <c r="P48" i="59" s="1"/>
  <c r="P50" i="59" s="1"/>
  <c r="P54" i="64"/>
  <c r="P53" i="64"/>
  <c r="P55" i="64"/>
  <c r="R32" i="64"/>
  <c r="R27" i="64"/>
  <c r="Q49" i="70" s="1"/>
  <c r="R26" i="64"/>
  <c r="Q48" i="70" s="1"/>
  <c r="O70" i="68"/>
  <c r="O71" i="68"/>
  <c r="O69" i="68"/>
  <c r="T14" i="64"/>
  <c r="S18" i="64"/>
  <c r="S20" i="64" s="1"/>
  <c r="Q42" i="64"/>
  <c r="Q41" i="64"/>
  <c r="Q39" i="64"/>
  <c r="Q40" i="64"/>
  <c r="R30" i="64"/>
  <c r="Q51" i="70" s="1"/>
  <c r="R31" i="64"/>
  <c r="Q52" i="70" s="1"/>
  <c r="O62" i="69"/>
  <c r="O56" i="65"/>
  <c r="S15" i="65"/>
  <c r="S16" i="65" s="1"/>
  <c r="O59" i="65"/>
  <c r="O61" i="65" s="1"/>
  <c r="O66" i="69"/>
  <c r="Q35" i="65"/>
  <c r="P74" i="70" s="1"/>
  <c r="P79" i="70" s="1"/>
  <c r="Q34" i="65"/>
  <c r="P73" i="70" s="1"/>
  <c r="P76" i="70" s="1"/>
  <c r="R21" i="65"/>
  <c r="R22" i="65" s="1"/>
  <c r="R28" i="65"/>
  <c r="P46" i="65"/>
  <c r="P47" i="65" s="1"/>
  <c r="P48" i="65" s="1"/>
  <c r="P50" i="65" s="1"/>
  <c r="R39" i="40"/>
  <c r="U14" i="40"/>
  <c r="T18" i="40"/>
  <c r="T20" i="40" s="1"/>
  <c r="Q55" i="40"/>
  <c r="Q53" i="40"/>
  <c r="Q54" i="40"/>
  <c r="S32" i="40"/>
  <c r="S26" i="40"/>
  <c r="R10" i="70" s="1"/>
  <c r="S27" i="40"/>
  <c r="R11" i="70" s="1"/>
  <c r="S30" i="40"/>
  <c r="R13" i="70" s="1"/>
  <c r="S31" i="40"/>
  <c r="R14" i="70" s="1"/>
  <c r="Q35" i="13"/>
  <c r="Q34" i="13"/>
  <c r="O61" i="42"/>
  <c r="O56" i="13"/>
  <c r="R28" i="13"/>
  <c r="R21" i="13"/>
  <c r="R22" i="13" s="1"/>
  <c r="O65" i="42"/>
  <c r="O59" i="13"/>
  <c r="O61" i="13" s="1"/>
  <c r="S15" i="13"/>
  <c r="S16" i="13" s="1"/>
  <c r="P46" i="13"/>
  <c r="P47" i="13" s="1"/>
  <c r="P48" i="13" s="1"/>
  <c r="P50" i="13" s="1"/>
  <c r="P43" i="65" l="1"/>
  <c r="R42" i="40"/>
  <c r="R41" i="40"/>
  <c r="Q36" i="59"/>
  <c r="Q42" i="59" s="1"/>
  <c r="S43" i="62"/>
  <c r="R54" i="62"/>
  <c r="R53" i="62"/>
  <c r="R55" i="62"/>
  <c r="S55" i="62"/>
  <c r="S54" i="62"/>
  <c r="S53" i="62"/>
  <c r="T34" i="62"/>
  <c r="T36" i="62" s="1"/>
  <c r="T35" i="62"/>
  <c r="V15" i="62"/>
  <c r="V16" i="62" s="1"/>
  <c r="R43" i="62"/>
  <c r="U22" i="62"/>
  <c r="U21" i="62"/>
  <c r="U28" i="62"/>
  <c r="Q36" i="13"/>
  <c r="Q39" i="13" s="1"/>
  <c r="R30" i="69"/>
  <c r="R36" i="69" s="1"/>
  <c r="R31" i="69"/>
  <c r="S21" i="69"/>
  <c r="S22" i="69"/>
  <c r="Q43" i="69"/>
  <c r="T15" i="69"/>
  <c r="T16" i="69"/>
  <c r="Q53" i="69"/>
  <c r="Q57" i="69" s="1"/>
  <c r="Q52" i="69"/>
  <c r="Q51" i="69"/>
  <c r="T14" i="67"/>
  <c r="S18" i="67"/>
  <c r="S20" i="67" s="1"/>
  <c r="R27" i="67"/>
  <c r="R28" i="67" s="1"/>
  <c r="R29" i="67" s="1"/>
  <c r="R26" i="67"/>
  <c r="R25" i="67"/>
  <c r="Q39" i="67"/>
  <c r="Q40" i="67" s="1"/>
  <c r="Q41" i="67"/>
  <c r="Q43" i="67" s="1"/>
  <c r="P67" i="69"/>
  <c r="P52" i="67"/>
  <c r="P54" i="67" s="1"/>
  <c r="Q36" i="67"/>
  <c r="P63" i="69"/>
  <c r="P49" i="67"/>
  <c r="S27" i="63"/>
  <c r="S32" i="63"/>
  <c r="S26" i="63"/>
  <c r="S31" i="63"/>
  <c r="S30" i="63"/>
  <c r="U15" i="63"/>
  <c r="U16" i="63" s="1"/>
  <c r="P56" i="63"/>
  <c r="P61" i="69"/>
  <c r="T28" i="63"/>
  <c r="T21" i="63"/>
  <c r="T22" i="63" s="1"/>
  <c r="Q43" i="63"/>
  <c r="R40" i="63"/>
  <c r="R39" i="63"/>
  <c r="R42" i="63"/>
  <c r="R41" i="63"/>
  <c r="P65" i="69"/>
  <c r="P59" i="63"/>
  <c r="P61" i="63" s="1"/>
  <c r="Q54" i="63"/>
  <c r="Q53" i="63"/>
  <c r="Q55" i="63"/>
  <c r="S18" i="61"/>
  <c r="S20" i="61" s="1"/>
  <c r="T14" i="61"/>
  <c r="P53" i="61"/>
  <c r="P57" i="61" s="1"/>
  <c r="P51" i="61"/>
  <c r="P52" i="61"/>
  <c r="R26" i="61"/>
  <c r="R27" i="61"/>
  <c r="R28" i="61"/>
  <c r="Q36" i="61"/>
  <c r="R27" i="60"/>
  <c r="R28" i="60" s="1"/>
  <c r="R29" i="60" s="1"/>
  <c r="R25" i="60"/>
  <c r="R26" i="60"/>
  <c r="Q39" i="60"/>
  <c r="Q40" i="60" s="1"/>
  <c r="Q41" i="60" s="1"/>
  <c r="Q43" i="60" s="1"/>
  <c r="P49" i="60"/>
  <c r="P63" i="61"/>
  <c r="S18" i="60"/>
  <c r="S20" i="60" s="1"/>
  <c r="T14" i="60"/>
  <c r="Q36" i="60"/>
  <c r="P67" i="61"/>
  <c r="P52" i="60"/>
  <c r="P54" i="60" s="1"/>
  <c r="R41" i="58"/>
  <c r="R40" i="58"/>
  <c r="R42" i="58"/>
  <c r="R46" i="58" s="1"/>
  <c r="R47" i="58" s="1"/>
  <c r="R48" i="58" s="1"/>
  <c r="R50" i="58" s="1"/>
  <c r="R39" i="58"/>
  <c r="T30" i="58"/>
  <c r="T31" i="58"/>
  <c r="U21" i="58"/>
  <c r="U22" i="58" s="1"/>
  <c r="U28" i="58"/>
  <c r="S36" i="58"/>
  <c r="T27" i="58"/>
  <c r="T32" i="58"/>
  <c r="T26" i="58"/>
  <c r="V15" i="58"/>
  <c r="V16" i="58" s="1"/>
  <c r="R26" i="59"/>
  <c r="Q29" i="70" s="1"/>
  <c r="R27" i="59"/>
  <c r="Q30" i="70" s="1"/>
  <c r="R32" i="59"/>
  <c r="O71" i="61"/>
  <c r="O69" i="61"/>
  <c r="O70" i="61"/>
  <c r="P55" i="59"/>
  <c r="P53" i="59"/>
  <c r="P54" i="59"/>
  <c r="S18" i="59"/>
  <c r="S20" i="59" s="1"/>
  <c r="T14" i="59"/>
  <c r="R30" i="59"/>
  <c r="Q32" i="70" s="1"/>
  <c r="R31" i="59"/>
  <c r="Q33" i="70" s="1"/>
  <c r="S21" i="64"/>
  <c r="S22" i="64"/>
  <c r="S28" i="64"/>
  <c r="R35" i="64"/>
  <c r="Q55" i="70" s="1"/>
  <c r="Q60" i="70" s="1"/>
  <c r="R34" i="64"/>
  <c r="Q54" i="70" s="1"/>
  <c r="Q57" i="70" s="1"/>
  <c r="Q43" i="64"/>
  <c r="T15" i="64"/>
  <c r="T16" i="64" s="1"/>
  <c r="P66" i="68"/>
  <c r="P59" i="64"/>
  <c r="P61" i="64" s="1"/>
  <c r="P56" i="64"/>
  <c r="P62" i="68"/>
  <c r="Q46" i="64"/>
  <c r="Q47" i="64" s="1"/>
  <c r="Q48" i="64" s="1"/>
  <c r="Q50" i="64" s="1"/>
  <c r="S18" i="65"/>
  <c r="S20" i="65" s="1"/>
  <c r="T14" i="65"/>
  <c r="R31" i="65"/>
  <c r="Q71" i="70" s="1"/>
  <c r="R30" i="65"/>
  <c r="Q70" i="70" s="1"/>
  <c r="P53" i="65"/>
  <c r="P54" i="65"/>
  <c r="P55" i="65"/>
  <c r="R26" i="65"/>
  <c r="Q67" i="70" s="1"/>
  <c r="R27" i="65"/>
  <c r="Q68" i="70" s="1"/>
  <c r="R32" i="65"/>
  <c r="Q36" i="65"/>
  <c r="O69" i="69"/>
  <c r="O71" i="69"/>
  <c r="O70" i="69"/>
  <c r="S35" i="40"/>
  <c r="R17" i="70" s="1"/>
  <c r="R22" i="70" s="1"/>
  <c r="S34" i="40"/>
  <c r="R16" i="70" s="1"/>
  <c r="R19" i="70" s="1"/>
  <c r="R46" i="40"/>
  <c r="R47" i="40" s="1"/>
  <c r="R48" i="40" s="1"/>
  <c r="R50" i="40" s="1"/>
  <c r="Q62" i="42"/>
  <c r="Q56" i="40"/>
  <c r="Q66" i="42"/>
  <c r="Q59" i="40"/>
  <c r="Q61" i="40" s="1"/>
  <c r="R43" i="40"/>
  <c r="T28" i="40"/>
  <c r="T21" i="40"/>
  <c r="T22" i="40" s="1"/>
  <c r="U15" i="40"/>
  <c r="U16" i="40" s="1"/>
  <c r="T14" i="13"/>
  <c r="S18" i="13"/>
  <c r="S20" i="13" s="1"/>
  <c r="Q42" i="13"/>
  <c r="Q41" i="13"/>
  <c r="P55" i="13"/>
  <c r="P54" i="13"/>
  <c r="P53" i="13"/>
  <c r="R32" i="13"/>
  <c r="R26" i="13"/>
  <c r="R27" i="13"/>
  <c r="R30" i="13"/>
  <c r="R31" i="13"/>
  <c r="O70" i="42"/>
  <c r="O71" i="42"/>
  <c r="O69" i="42"/>
  <c r="Q39" i="59" l="1"/>
  <c r="Q40" i="59"/>
  <c r="Q41" i="59"/>
  <c r="Q43" i="59"/>
  <c r="R43" i="58"/>
  <c r="W14" i="62"/>
  <c r="W15" i="62" s="1"/>
  <c r="W16" i="62" s="1"/>
  <c r="V18" i="62"/>
  <c r="V20" i="62" s="1"/>
  <c r="R65" i="68"/>
  <c r="R59" i="62"/>
  <c r="R61" i="62" s="1"/>
  <c r="U30" i="62"/>
  <c r="U31" i="62"/>
  <c r="S61" i="68"/>
  <c r="S56" i="62"/>
  <c r="R61" i="68"/>
  <c r="R56" i="62"/>
  <c r="T42" i="62"/>
  <c r="T46" i="62" s="1"/>
  <c r="T47" i="62" s="1"/>
  <c r="T48" i="62" s="1"/>
  <c r="T50" i="62" s="1"/>
  <c r="T41" i="62"/>
  <c r="T40" i="62"/>
  <c r="T39" i="62"/>
  <c r="U27" i="62"/>
  <c r="U26" i="62"/>
  <c r="U32" i="62"/>
  <c r="S59" i="62"/>
  <c r="S61" i="62" s="1"/>
  <c r="S65" i="68"/>
  <c r="Q40" i="13"/>
  <c r="S36" i="40"/>
  <c r="S41" i="40" s="1"/>
  <c r="T18" i="69"/>
  <c r="T20" i="69" s="1"/>
  <c r="U14" i="69"/>
  <c r="S27" i="69"/>
  <c r="S28" i="69"/>
  <c r="S26" i="69"/>
  <c r="Q54" i="69"/>
  <c r="R42" i="69"/>
  <c r="R46" i="69" s="1"/>
  <c r="R48" i="69" s="1"/>
  <c r="R41" i="69"/>
  <c r="R40" i="69"/>
  <c r="R39" i="69"/>
  <c r="R35" i="67"/>
  <c r="R34" i="67"/>
  <c r="R32" i="67"/>
  <c r="R33" i="67"/>
  <c r="Q46" i="67"/>
  <c r="Q48" i="67"/>
  <c r="Q47" i="67"/>
  <c r="S21" i="67"/>
  <c r="S22" i="67" s="1"/>
  <c r="T15" i="67"/>
  <c r="T16" i="67"/>
  <c r="Q61" i="69"/>
  <c r="Q56" i="63"/>
  <c r="R46" i="63"/>
  <c r="R47" i="63" s="1"/>
  <c r="R48" i="63" s="1"/>
  <c r="R50" i="63" s="1"/>
  <c r="U18" i="63"/>
  <c r="U20" i="63" s="1"/>
  <c r="V14" i="63"/>
  <c r="V15" i="63" s="1"/>
  <c r="V16" i="63" s="1"/>
  <c r="R43" i="63"/>
  <c r="T30" i="63"/>
  <c r="T31" i="63"/>
  <c r="S34" i="63"/>
  <c r="S35" i="63"/>
  <c r="T32" i="63"/>
  <c r="T26" i="63"/>
  <c r="T27" i="63"/>
  <c r="Q59" i="63"/>
  <c r="Q61" i="63" s="1"/>
  <c r="Q65" i="69"/>
  <c r="P54" i="61"/>
  <c r="Q42" i="61"/>
  <c r="Q46" i="61" s="1"/>
  <c r="Q48" i="61" s="1"/>
  <c r="Q40" i="61"/>
  <c r="Q41" i="61"/>
  <c r="Q39" i="61"/>
  <c r="T15" i="61"/>
  <c r="T16" i="61" s="1"/>
  <c r="R31" i="61"/>
  <c r="R30" i="61"/>
  <c r="R36" i="61" s="1"/>
  <c r="S21" i="61"/>
  <c r="S22" i="61" s="1"/>
  <c r="Q48" i="60"/>
  <c r="Q46" i="60"/>
  <c r="Q47" i="60"/>
  <c r="R34" i="60"/>
  <c r="R35" i="60"/>
  <c r="R33" i="60"/>
  <c r="R32" i="60"/>
  <c r="S21" i="60"/>
  <c r="S22" i="60" s="1"/>
  <c r="T15" i="60"/>
  <c r="T16" i="60"/>
  <c r="U26" i="58"/>
  <c r="U32" i="58"/>
  <c r="U27" i="58"/>
  <c r="V18" i="58"/>
  <c r="V20" i="58" s="1"/>
  <c r="W14" i="58"/>
  <c r="R55" i="58"/>
  <c r="R54" i="58"/>
  <c r="R53" i="58"/>
  <c r="T34" i="58"/>
  <c r="T35" i="58"/>
  <c r="S40" i="58"/>
  <c r="S42" i="58"/>
  <c r="S46" i="58" s="1"/>
  <c r="S47" i="58" s="1"/>
  <c r="S48" i="58" s="1"/>
  <c r="S50" i="58" s="1"/>
  <c r="S39" i="58"/>
  <c r="S41" i="58"/>
  <c r="U30" i="58"/>
  <c r="U31" i="58"/>
  <c r="T15" i="59"/>
  <c r="T16" i="59" s="1"/>
  <c r="P66" i="61"/>
  <c r="P59" i="59"/>
  <c r="P61" i="59" s="1"/>
  <c r="R35" i="59"/>
  <c r="Q36" i="70" s="1"/>
  <c r="Q41" i="70" s="1"/>
  <c r="R34" i="59"/>
  <c r="S21" i="59"/>
  <c r="S22" i="59" s="1"/>
  <c r="S28" i="59"/>
  <c r="P62" i="61"/>
  <c r="P56" i="59"/>
  <c r="Q46" i="59"/>
  <c r="Q47" i="59" s="1"/>
  <c r="Q48" i="59" s="1"/>
  <c r="Q50" i="59" s="1"/>
  <c r="R36" i="64"/>
  <c r="R42" i="64" s="1"/>
  <c r="Q55" i="64"/>
  <c r="Q53" i="64"/>
  <c r="Q54" i="64"/>
  <c r="U14" i="64"/>
  <c r="T18" i="64"/>
  <c r="T20" i="64" s="1"/>
  <c r="S30" i="64"/>
  <c r="R51" i="70" s="1"/>
  <c r="S31" i="64"/>
  <c r="R52" i="70" s="1"/>
  <c r="S32" i="64"/>
  <c r="S26" i="64"/>
  <c r="R48" i="70" s="1"/>
  <c r="S27" i="64"/>
  <c r="R49" i="70" s="1"/>
  <c r="P69" i="68"/>
  <c r="P70" i="68"/>
  <c r="P71" i="68"/>
  <c r="P59" i="65"/>
  <c r="P61" i="65" s="1"/>
  <c r="P66" i="69"/>
  <c r="T15" i="65"/>
  <c r="T16" i="65" s="1"/>
  <c r="Q39" i="65"/>
  <c r="Q41" i="65"/>
  <c r="Q40" i="65"/>
  <c r="Q42" i="65"/>
  <c r="R34" i="65"/>
  <c r="Q73" i="70" s="1"/>
  <c r="Q76" i="70" s="1"/>
  <c r="R35" i="65"/>
  <c r="Q74" i="70" s="1"/>
  <c r="Q79" i="70" s="1"/>
  <c r="P62" i="69"/>
  <c r="P56" i="65"/>
  <c r="S21" i="65"/>
  <c r="S22" i="65" s="1"/>
  <c r="S28" i="65"/>
  <c r="V14" i="40"/>
  <c r="U18" i="40"/>
  <c r="U20" i="40" s="1"/>
  <c r="S42" i="40"/>
  <c r="S39" i="40"/>
  <c r="S40" i="40"/>
  <c r="R55" i="40"/>
  <c r="R54" i="40"/>
  <c r="R53" i="40"/>
  <c r="T27" i="40"/>
  <c r="S11" i="70" s="1"/>
  <c r="T32" i="40"/>
  <c r="T26" i="40"/>
  <c r="S10" i="70" s="1"/>
  <c r="T30" i="40"/>
  <c r="S13" i="70" s="1"/>
  <c r="T31" i="40"/>
  <c r="S14" i="70" s="1"/>
  <c r="Q46" i="13"/>
  <c r="Q47" i="13" s="1"/>
  <c r="Q48" i="13" s="1"/>
  <c r="Q50" i="13" s="1"/>
  <c r="P65" i="42"/>
  <c r="P59" i="13"/>
  <c r="P61" i="13" s="1"/>
  <c r="Q43" i="13"/>
  <c r="S28" i="13"/>
  <c r="S21" i="13"/>
  <c r="S22" i="13" s="1"/>
  <c r="R34" i="13"/>
  <c r="R35" i="13"/>
  <c r="P61" i="42"/>
  <c r="P56" i="13"/>
  <c r="T15" i="13"/>
  <c r="T16" i="13" s="1"/>
  <c r="R36" i="59" l="1"/>
  <c r="R40" i="59" s="1"/>
  <c r="Q35" i="70"/>
  <c r="Q38" i="70" s="1"/>
  <c r="S22" i="70"/>
  <c r="V21" i="62"/>
  <c r="V28" i="62"/>
  <c r="V22" i="62"/>
  <c r="T55" i="62"/>
  <c r="T53" i="62"/>
  <c r="T54" i="62"/>
  <c r="T43" i="62"/>
  <c r="U34" i="62"/>
  <c r="U36" i="62" s="1"/>
  <c r="U35" i="62"/>
  <c r="X14" i="62"/>
  <c r="X15" i="62" s="1"/>
  <c r="X16" i="62" s="1"/>
  <c r="W18" i="62"/>
  <c r="W20" i="62" s="1"/>
  <c r="R36" i="65"/>
  <c r="R42" i="65" s="1"/>
  <c r="R39" i="64"/>
  <c r="R43" i="64" s="1"/>
  <c r="R41" i="64"/>
  <c r="R40" i="64"/>
  <c r="R51" i="69"/>
  <c r="R52" i="69"/>
  <c r="R53" i="69"/>
  <c r="R57" i="69" s="1"/>
  <c r="R43" i="69"/>
  <c r="U15" i="69"/>
  <c r="U16" i="69" s="1"/>
  <c r="S30" i="69"/>
  <c r="S31" i="69"/>
  <c r="T21" i="69"/>
  <c r="T22" i="69"/>
  <c r="S27" i="67"/>
  <c r="S28" i="67" s="1"/>
  <c r="S25" i="67"/>
  <c r="S26" i="67"/>
  <c r="S29" i="67"/>
  <c r="T18" i="67"/>
  <c r="T20" i="67" s="1"/>
  <c r="U14" i="67"/>
  <c r="R36" i="67"/>
  <c r="Q67" i="69"/>
  <c r="Q52" i="67"/>
  <c r="Q54" i="67" s="1"/>
  <c r="Q63" i="69"/>
  <c r="Q49" i="67"/>
  <c r="R39" i="67"/>
  <c r="R40" i="67" s="1"/>
  <c r="R41" i="67" s="1"/>
  <c r="R43" i="67" s="1"/>
  <c r="T35" i="63"/>
  <c r="T34" i="63"/>
  <c r="R53" i="63"/>
  <c r="R54" i="63"/>
  <c r="R55" i="63"/>
  <c r="S36" i="63"/>
  <c r="W14" i="63"/>
  <c r="V18" i="63"/>
  <c r="V20" i="63" s="1"/>
  <c r="U28" i="63"/>
  <c r="U21" i="63"/>
  <c r="U22" i="63" s="1"/>
  <c r="R42" i="61"/>
  <c r="R46" i="61" s="1"/>
  <c r="R48" i="61" s="1"/>
  <c r="R41" i="61"/>
  <c r="R39" i="61"/>
  <c r="R40" i="61"/>
  <c r="T18" i="61"/>
  <c r="T20" i="61" s="1"/>
  <c r="U14" i="61"/>
  <c r="S27" i="61"/>
  <c r="S28" i="61"/>
  <c r="S26" i="61"/>
  <c r="Q51" i="61"/>
  <c r="Q53" i="61"/>
  <c r="Q57" i="61" s="1"/>
  <c r="Q52" i="61"/>
  <c r="Q43" i="61"/>
  <c r="S27" i="60"/>
  <c r="S28" i="60" s="1"/>
  <c r="S25" i="60"/>
  <c r="S26" i="60"/>
  <c r="S29" i="60" s="1"/>
  <c r="T18" i="60"/>
  <c r="T20" i="60" s="1"/>
  <c r="U14" i="60"/>
  <c r="R36" i="60"/>
  <c r="Q63" i="61"/>
  <c r="Q49" i="60"/>
  <c r="R39" i="60"/>
  <c r="R40" i="60" s="1"/>
  <c r="R41" i="60"/>
  <c r="R43" i="60" s="1"/>
  <c r="Q67" i="61"/>
  <c r="Q52" i="60"/>
  <c r="Q54" i="60" s="1"/>
  <c r="V21" i="58"/>
  <c r="V22" i="58" s="1"/>
  <c r="V28" i="58"/>
  <c r="R59" i="58"/>
  <c r="R61" i="58" s="1"/>
  <c r="R65" i="61"/>
  <c r="U35" i="58"/>
  <c r="U34" i="58"/>
  <c r="S53" i="58"/>
  <c r="S54" i="58"/>
  <c r="S55" i="58"/>
  <c r="R61" i="61"/>
  <c r="R56" i="58"/>
  <c r="S43" i="58"/>
  <c r="T36" i="58"/>
  <c r="W15" i="58"/>
  <c r="W16" i="58" s="1"/>
  <c r="Q55" i="59"/>
  <c r="Q53" i="59"/>
  <c r="Q54" i="59"/>
  <c r="R41" i="59"/>
  <c r="R39" i="59"/>
  <c r="S27" i="59"/>
  <c r="R30" i="70" s="1"/>
  <c r="S26" i="59"/>
  <c r="R29" i="70" s="1"/>
  <c r="S32" i="59"/>
  <c r="P69" i="61"/>
  <c r="P70" i="61"/>
  <c r="P71" i="61"/>
  <c r="U14" i="59"/>
  <c r="T18" i="59"/>
  <c r="T20" i="59" s="1"/>
  <c r="S30" i="59"/>
  <c r="R32" i="70" s="1"/>
  <c r="S31" i="59"/>
  <c r="R33" i="70" s="1"/>
  <c r="S35" i="64"/>
  <c r="R55" i="70" s="1"/>
  <c r="R60" i="70" s="1"/>
  <c r="S34" i="64"/>
  <c r="R54" i="70" s="1"/>
  <c r="R57" i="70" s="1"/>
  <c r="U15" i="64"/>
  <c r="U16" i="64" s="1"/>
  <c r="Q56" i="64"/>
  <c r="Q62" i="68"/>
  <c r="R46" i="64"/>
  <c r="R47" i="64" s="1"/>
  <c r="R48" i="64" s="1"/>
  <c r="R50" i="64" s="1"/>
  <c r="T28" i="64"/>
  <c r="T21" i="64"/>
  <c r="T22" i="64" s="1"/>
  <c r="Q66" i="68"/>
  <c r="Q59" i="64"/>
  <c r="Q61" i="64" s="1"/>
  <c r="U14" i="65"/>
  <c r="T18" i="65"/>
  <c r="T20" i="65" s="1"/>
  <c r="P71" i="69"/>
  <c r="P70" i="69"/>
  <c r="P69" i="69"/>
  <c r="S31" i="65"/>
  <c r="R71" i="70" s="1"/>
  <c r="S30" i="65"/>
  <c r="R70" i="70" s="1"/>
  <c r="Q43" i="65"/>
  <c r="S27" i="65"/>
  <c r="R68" i="70" s="1"/>
  <c r="S32" i="65"/>
  <c r="S26" i="65"/>
  <c r="R67" i="70" s="1"/>
  <c r="Q46" i="65"/>
  <c r="Q47" i="65" s="1"/>
  <c r="Q48" i="65" s="1"/>
  <c r="Q50" i="65" s="1"/>
  <c r="R66" i="42"/>
  <c r="R59" i="40"/>
  <c r="R61" i="40" s="1"/>
  <c r="U21" i="40"/>
  <c r="U22" i="40" s="1"/>
  <c r="U28" i="40"/>
  <c r="T35" i="40"/>
  <c r="S17" i="70" s="1"/>
  <c r="T34" i="40"/>
  <c r="S16" i="70" s="1"/>
  <c r="S19" i="70" s="1"/>
  <c r="S46" i="40"/>
  <c r="S47" i="40" s="1"/>
  <c r="S48" i="40" s="1"/>
  <c r="S50" i="40" s="1"/>
  <c r="R56" i="40"/>
  <c r="R62" i="42"/>
  <c r="S43" i="40"/>
  <c r="V15" i="40"/>
  <c r="V16" i="40" s="1"/>
  <c r="S32" i="13"/>
  <c r="S27" i="13"/>
  <c r="S26" i="13"/>
  <c r="Q53" i="13"/>
  <c r="Q54" i="13"/>
  <c r="Q55" i="13"/>
  <c r="P70" i="42"/>
  <c r="P71" i="42"/>
  <c r="P69" i="42"/>
  <c r="S30" i="13"/>
  <c r="S31" i="13"/>
  <c r="T18" i="13"/>
  <c r="T20" i="13" s="1"/>
  <c r="U14" i="13"/>
  <c r="R36" i="13"/>
  <c r="R42" i="59" l="1"/>
  <c r="R46" i="59" s="1"/>
  <c r="R47" i="59" s="1"/>
  <c r="R48" i="59" s="1"/>
  <c r="R50" i="59" s="1"/>
  <c r="U36" i="58"/>
  <c r="R41" i="65"/>
  <c r="R39" i="65"/>
  <c r="T59" i="62"/>
  <c r="T61" i="62" s="1"/>
  <c r="T65" i="68"/>
  <c r="W28" i="62"/>
  <c r="W21" i="62"/>
  <c r="W22" i="62" s="1"/>
  <c r="V32" i="62"/>
  <c r="V27" i="62"/>
  <c r="V26" i="62"/>
  <c r="Y14" i="62"/>
  <c r="X18" i="62"/>
  <c r="X20" i="62" s="1"/>
  <c r="V30" i="62"/>
  <c r="V31" i="62"/>
  <c r="U39" i="62"/>
  <c r="U43" i="62" s="1"/>
  <c r="U41" i="62"/>
  <c r="U40" i="62"/>
  <c r="U42" i="62"/>
  <c r="U46" i="62" s="1"/>
  <c r="U47" i="62" s="1"/>
  <c r="U48" i="62" s="1"/>
  <c r="U50" i="62" s="1"/>
  <c r="T56" i="62"/>
  <c r="T61" i="68"/>
  <c r="R40" i="65"/>
  <c r="S36" i="64"/>
  <c r="S42" i="64" s="1"/>
  <c r="T36" i="40"/>
  <c r="T42" i="40" s="1"/>
  <c r="U18" i="69"/>
  <c r="U20" i="69" s="1"/>
  <c r="V14" i="69"/>
  <c r="S36" i="69"/>
  <c r="T26" i="69"/>
  <c r="T27" i="69"/>
  <c r="T28" i="69"/>
  <c r="R54" i="69"/>
  <c r="R46" i="67"/>
  <c r="R47" i="67"/>
  <c r="R48" i="67"/>
  <c r="U15" i="67"/>
  <c r="U16" i="67" s="1"/>
  <c r="S35" i="67"/>
  <c r="S34" i="67"/>
  <c r="S32" i="67"/>
  <c r="S36" i="67" s="1"/>
  <c r="S33" i="67"/>
  <c r="T21" i="67"/>
  <c r="T22" i="67" s="1"/>
  <c r="U26" i="63"/>
  <c r="U27" i="63"/>
  <c r="U32" i="63"/>
  <c r="W15" i="63"/>
  <c r="W16" i="63"/>
  <c r="R56" i="63"/>
  <c r="R61" i="69"/>
  <c r="V28" i="63"/>
  <c r="V21" i="63"/>
  <c r="V22" i="63" s="1"/>
  <c r="S41" i="63"/>
  <c r="S39" i="63"/>
  <c r="S42" i="63"/>
  <c r="S40" i="63"/>
  <c r="T36" i="63"/>
  <c r="U30" i="63"/>
  <c r="U31" i="63"/>
  <c r="R65" i="69"/>
  <c r="R59" i="63"/>
  <c r="R61" i="63" s="1"/>
  <c r="Q54" i="61"/>
  <c r="R43" i="61"/>
  <c r="U15" i="61"/>
  <c r="U16" i="61" s="1"/>
  <c r="S30" i="61"/>
  <c r="S36" i="61" s="1"/>
  <c r="S31" i="61"/>
  <c r="T21" i="61"/>
  <c r="T22" i="61"/>
  <c r="R51" i="61"/>
  <c r="R53" i="61"/>
  <c r="R57" i="61" s="1"/>
  <c r="R52" i="61"/>
  <c r="S35" i="60"/>
  <c r="S34" i="60"/>
  <c r="S32" i="60"/>
  <c r="S33" i="60"/>
  <c r="R48" i="60"/>
  <c r="R46" i="60"/>
  <c r="R47" i="60"/>
  <c r="U15" i="60"/>
  <c r="U16" i="60" s="1"/>
  <c r="T21" i="60"/>
  <c r="T22" i="60"/>
  <c r="W18" i="58"/>
  <c r="W20" i="58" s="1"/>
  <c r="X14" i="58"/>
  <c r="X15" i="58" s="1"/>
  <c r="X16" i="58" s="1"/>
  <c r="S61" i="61"/>
  <c r="S56" i="58"/>
  <c r="U41" i="58"/>
  <c r="U42" i="58"/>
  <c r="U46" i="58" s="1"/>
  <c r="U47" i="58" s="1"/>
  <c r="U48" i="58" s="1"/>
  <c r="U50" i="58" s="1"/>
  <c r="U39" i="58"/>
  <c r="U40" i="58"/>
  <c r="V31" i="58"/>
  <c r="V30" i="58"/>
  <c r="T41" i="58"/>
  <c r="T42" i="58"/>
  <c r="T40" i="58"/>
  <c r="T39" i="58"/>
  <c r="S59" i="58"/>
  <c r="S61" i="58" s="1"/>
  <c r="S65" i="61"/>
  <c r="V27" i="58"/>
  <c r="V32" i="58"/>
  <c r="V26" i="58"/>
  <c r="T21" i="59"/>
  <c r="T22" i="59" s="1"/>
  <c r="T28" i="59"/>
  <c r="R43" i="59"/>
  <c r="Q62" i="61"/>
  <c r="Q56" i="59"/>
  <c r="U15" i="59"/>
  <c r="U16" i="59" s="1"/>
  <c r="S35" i="59"/>
  <c r="R36" i="70" s="1"/>
  <c r="R41" i="70" s="1"/>
  <c r="S34" i="59"/>
  <c r="R35" i="70" s="1"/>
  <c r="R38" i="70" s="1"/>
  <c r="Q66" i="61"/>
  <c r="Q59" i="59"/>
  <c r="Q61" i="59" s="1"/>
  <c r="S41" i="64"/>
  <c r="S39" i="64"/>
  <c r="U18" i="64"/>
  <c r="U20" i="64" s="1"/>
  <c r="V14" i="64"/>
  <c r="T32" i="64"/>
  <c r="T26" i="64"/>
  <c r="S48" i="70" s="1"/>
  <c r="T27" i="64"/>
  <c r="S49" i="70" s="1"/>
  <c r="R54" i="64"/>
  <c r="R53" i="64"/>
  <c r="R55" i="64"/>
  <c r="Q71" i="68"/>
  <c r="Q69" i="68"/>
  <c r="Q70" i="68"/>
  <c r="T30" i="64"/>
  <c r="S51" i="70" s="1"/>
  <c r="T31" i="64"/>
  <c r="S52" i="70" s="1"/>
  <c r="Q53" i="65"/>
  <c r="Q55" i="65"/>
  <c r="Q54" i="65"/>
  <c r="S34" i="65"/>
  <c r="R73" i="70" s="1"/>
  <c r="R76" i="70" s="1"/>
  <c r="S35" i="65"/>
  <c r="R74" i="70" s="1"/>
  <c r="R79" i="70" s="1"/>
  <c r="T21" i="65"/>
  <c r="T22" i="65" s="1"/>
  <c r="T28" i="65"/>
  <c r="U15" i="65"/>
  <c r="U16" i="65" s="1"/>
  <c r="R46" i="65"/>
  <c r="R47" i="65" s="1"/>
  <c r="R48" i="65" s="1"/>
  <c r="R50" i="65" s="1"/>
  <c r="S54" i="40"/>
  <c r="S55" i="40"/>
  <c r="S53" i="40"/>
  <c r="W14" i="40"/>
  <c r="V18" i="40"/>
  <c r="V20" i="40" s="1"/>
  <c r="T41" i="40"/>
  <c r="U31" i="40"/>
  <c r="T14" i="70" s="1"/>
  <c r="U30" i="40"/>
  <c r="T13" i="70" s="1"/>
  <c r="U27" i="40"/>
  <c r="T11" i="70" s="1"/>
  <c r="U26" i="40"/>
  <c r="T10" i="70" s="1"/>
  <c r="U32" i="40"/>
  <c r="R39" i="13"/>
  <c r="R40" i="13"/>
  <c r="R42" i="13"/>
  <c r="R41" i="13"/>
  <c r="Q65" i="42"/>
  <c r="Q59" i="13"/>
  <c r="Q61" i="13" s="1"/>
  <c r="U15" i="13"/>
  <c r="U16" i="13" s="1"/>
  <c r="T28" i="13"/>
  <c r="T21" i="13"/>
  <c r="T22" i="13" s="1"/>
  <c r="Q56" i="13"/>
  <c r="Q61" i="42"/>
  <c r="S35" i="13"/>
  <c r="S34" i="13"/>
  <c r="R43" i="65" l="1"/>
  <c r="S40" i="64"/>
  <c r="S43" i="64" s="1"/>
  <c r="T40" i="40"/>
  <c r="T39" i="40"/>
  <c r="Y15" i="62"/>
  <c r="Y16" i="62"/>
  <c r="U54" i="62"/>
  <c r="U55" i="62"/>
  <c r="U53" i="62"/>
  <c r="W32" i="62"/>
  <c r="W26" i="62"/>
  <c r="W27" i="62"/>
  <c r="W30" i="62"/>
  <c r="W31" i="62"/>
  <c r="X21" i="62"/>
  <c r="X22" i="62"/>
  <c r="X28" i="62"/>
  <c r="V34" i="62"/>
  <c r="V35" i="62"/>
  <c r="S36" i="13"/>
  <c r="S39" i="13" s="1"/>
  <c r="S36" i="59"/>
  <c r="S40" i="59" s="1"/>
  <c r="S42" i="69"/>
  <c r="S46" i="69" s="1"/>
  <c r="S48" i="69" s="1"/>
  <c r="S40" i="69"/>
  <c r="S39" i="69"/>
  <c r="S43" i="69" s="1"/>
  <c r="S41" i="69"/>
  <c r="V15" i="69"/>
  <c r="V16" i="69" s="1"/>
  <c r="T31" i="69"/>
  <c r="T30" i="69"/>
  <c r="T36" i="69" s="1"/>
  <c r="U22" i="69"/>
  <c r="U21" i="69"/>
  <c r="U18" i="67"/>
  <c r="U20" i="67" s="1"/>
  <c r="V14" i="67"/>
  <c r="T27" i="67"/>
  <c r="T28" i="67" s="1"/>
  <c r="T29" i="67" s="1"/>
  <c r="T26" i="67"/>
  <c r="T25" i="67"/>
  <c r="R67" i="69"/>
  <c r="R52" i="67"/>
  <c r="R54" i="67" s="1"/>
  <c r="S39" i="67"/>
  <c r="S40" i="67" s="1"/>
  <c r="S41" i="67"/>
  <c r="S43" i="67" s="1"/>
  <c r="R63" i="69"/>
  <c r="R49" i="67"/>
  <c r="V27" i="63"/>
  <c r="V32" i="63"/>
  <c r="V26" i="63"/>
  <c r="U34" i="63"/>
  <c r="U35" i="63"/>
  <c r="T39" i="63"/>
  <c r="T40" i="63"/>
  <c r="T41" i="63"/>
  <c r="T42" i="63"/>
  <c r="T46" i="63" s="1"/>
  <c r="T47" i="63" s="1"/>
  <c r="T48" i="63" s="1"/>
  <c r="T50" i="63" s="1"/>
  <c r="S46" i="63"/>
  <c r="S47" i="63" s="1"/>
  <c r="S48" i="63" s="1"/>
  <c r="S50" i="63" s="1"/>
  <c r="X14" i="63"/>
  <c r="X15" i="63" s="1"/>
  <c r="X16" i="63" s="1"/>
  <c r="W18" i="63"/>
  <c r="W20" i="63" s="1"/>
  <c r="S43" i="63"/>
  <c r="V30" i="63"/>
  <c r="V31" i="63"/>
  <c r="U18" i="61"/>
  <c r="U20" i="61" s="1"/>
  <c r="V14" i="61"/>
  <c r="T28" i="61"/>
  <c r="T26" i="61"/>
  <c r="T27" i="61"/>
  <c r="R54" i="61"/>
  <c r="S42" i="61"/>
  <c r="S46" i="61" s="1"/>
  <c r="S48" i="61" s="1"/>
  <c r="S39" i="61"/>
  <c r="S43" i="61" s="1"/>
  <c r="S40" i="61"/>
  <c r="S41" i="61"/>
  <c r="U18" i="60"/>
  <c r="U20" i="60" s="1"/>
  <c r="V14" i="60"/>
  <c r="T27" i="60"/>
  <c r="T28" i="60" s="1"/>
  <c r="T29" i="60" s="1"/>
  <c r="T25" i="60"/>
  <c r="T26" i="60"/>
  <c r="S36" i="60"/>
  <c r="R49" i="60"/>
  <c r="R63" i="61"/>
  <c r="R67" i="61"/>
  <c r="R52" i="60"/>
  <c r="R54" i="60" s="1"/>
  <c r="S39" i="60"/>
  <c r="S40" i="60" s="1"/>
  <c r="S41" i="60" s="1"/>
  <c r="S43" i="60" s="1"/>
  <c r="T46" i="58"/>
  <c r="T47" i="58" s="1"/>
  <c r="T48" i="58" s="1"/>
  <c r="T50" i="58" s="1"/>
  <c r="V35" i="58"/>
  <c r="V34" i="58"/>
  <c r="V36" i="58" s="1"/>
  <c r="U53" i="58"/>
  <c r="U54" i="58"/>
  <c r="U55" i="58"/>
  <c r="Y14" i="58"/>
  <c r="X18" i="58"/>
  <c r="X20" i="58" s="1"/>
  <c r="U43" i="58"/>
  <c r="T43" i="58"/>
  <c r="W21" i="58"/>
  <c r="W22" i="58" s="1"/>
  <c r="W28" i="58"/>
  <c r="R53" i="59"/>
  <c r="R55" i="59"/>
  <c r="R54" i="59"/>
  <c r="Q71" i="61"/>
  <c r="Q69" i="61"/>
  <c r="Q70" i="61"/>
  <c r="T27" i="59"/>
  <c r="S30" i="70" s="1"/>
  <c r="T32" i="59"/>
  <c r="T26" i="59"/>
  <c r="S29" i="70" s="1"/>
  <c r="V14" i="59"/>
  <c r="U18" i="59"/>
  <c r="U20" i="59" s="1"/>
  <c r="T30" i="59"/>
  <c r="S32" i="70" s="1"/>
  <c r="T31" i="59"/>
  <c r="S33" i="70" s="1"/>
  <c r="R56" i="64"/>
  <c r="R62" i="68"/>
  <c r="S46" i="64"/>
  <c r="S47" i="64" s="1"/>
  <c r="S48" i="64" s="1"/>
  <c r="S50" i="64" s="1"/>
  <c r="T34" i="64"/>
  <c r="S54" i="70" s="1"/>
  <c r="S57" i="70" s="1"/>
  <c r="T35" i="64"/>
  <c r="S55" i="70" s="1"/>
  <c r="S60" i="70" s="1"/>
  <c r="V15" i="64"/>
  <c r="V16" i="64" s="1"/>
  <c r="R66" i="68"/>
  <c r="R59" i="64"/>
  <c r="R61" i="64" s="1"/>
  <c r="U28" i="64"/>
  <c r="U21" i="64"/>
  <c r="U22" i="64" s="1"/>
  <c r="T32" i="65"/>
  <c r="T26" i="65"/>
  <c r="S67" i="70" s="1"/>
  <c r="T27" i="65"/>
  <c r="S68" i="70" s="1"/>
  <c r="U18" i="65"/>
  <c r="U20" i="65" s="1"/>
  <c r="V14" i="65"/>
  <c r="T30" i="65"/>
  <c r="S70" i="70" s="1"/>
  <c r="T31" i="65"/>
  <c r="S71" i="70" s="1"/>
  <c r="Q59" i="65"/>
  <c r="Q61" i="65" s="1"/>
  <c r="Q66" i="69"/>
  <c r="R53" i="65"/>
  <c r="R55" i="65"/>
  <c r="R54" i="65"/>
  <c r="S36" i="65"/>
  <c r="Q62" i="69"/>
  <c r="Q56" i="65"/>
  <c r="T43" i="40"/>
  <c r="S66" i="42"/>
  <c r="S59" i="40"/>
  <c r="S61" i="40" s="1"/>
  <c r="W15" i="40"/>
  <c r="W16" i="40" s="1"/>
  <c r="U35" i="40"/>
  <c r="T17" i="70" s="1"/>
  <c r="T22" i="70" s="1"/>
  <c r="U34" i="40"/>
  <c r="T16" i="70" s="1"/>
  <c r="T19" i="70" s="1"/>
  <c r="S56" i="40"/>
  <c r="S62" i="42"/>
  <c r="T46" i="40"/>
  <c r="T47" i="40" s="1"/>
  <c r="T48" i="40" s="1"/>
  <c r="T50" i="40" s="1"/>
  <c r="V28" i="40"/>
  <c r="V21" i="40"/>
  <c r="V22" i="40" s="1"/>
  <c r="U18" i="13"/>
  <c r="U20" i="13" s="1"/>
  <c r="V14" i="13"/>
  <c r="S42" i="13"/>
  <c r="S40" i="13"/>
  <c r="T27" i="13"/>
  <c r="T32" i="13"/>
  <c r="T26" i="13"/>
  <c r="R46" i="13"/>
  <c r="R47" i="13" s="1"/>
  <c r="R48" i="13" s="1"/>
  <c r="R50" i="13" s="1"/>
  <c r="T31" i="13"/>
  <c r="T30" i="13"/>
  <c r="R43" i="13"/>
  <c r="Q71" i="42"/>
  <c r="Q70" i="42"/>
  <c r="Q69" i="42"/>
  <c r="S39" i="59" l="1"/>
  <c r="U36" i="63"/>
  <c r="S41" i="59"/>
  <c r="S43" i="59" s="1"/>
  <c r="S42" i="59"/>
  <c r="S46" i="59" s="1"/>
  <c r="S47" i="59" s="1"/>
  <c r="S48" i="59" s="1"/>
  <c r="S50" i="59" s="1"/>
  <c r="V36" i="62"/>
  <c r="W34" i="62"/>
  <c r="W35" i="62"/>
  <c r="Z14" i="62"/>
  <c r="Z15" i="62" s="1"/>
  <c r="Z16" i="62" s="1"/>
  <c r="Y18" i="62"/>
  <c r="Y20" i="62" s="1"/>
  <c r="X26" i="62"/>
  <c r="X32" i="62"/>
  <c r="X27" i="62"/>
  <c r="U65" i="68"/>
  <c r="U59" i="62"/>
  <c r="U61" i="62" s="1"/>
  <c r="X31" i="62"/>
  <c r="X30" i="62"/>
  <c r="U56" i="62"/>
  <c r="U61" i="68"/>
  <c r="S41" i="13"/>
  <c r="U36" i="40"/>
  <c r="U40" i="40" s="1"/>
  <c r="T41" i="69"/>
  <c r="T42" i="69"/>
  <c r="T46" i="69" s="1"/>
  <c r="T48" i="69" s="1"/>
  <c r="T39" i="69"/>
  <c r="T40" i="69"/>
  <c r="W14" i="69"/>
  <c r="V18" i="69"/>
  <c r="V20" i="69" s="1"/>
  <c r="U26" i="69"/>
  <c r="U27" i="69"/>
  <c r="U28" i="69"/>
  <c r="S51" i="69"/>
  <c r="S53" i="69"/>
  <c r="S57" i="69" s="1"/>
  <c r="S52" i="69"/>
  <c r="T35" i="67"/>
  <c r="T34" i="67"/>
  <c r="T33" i="67"/>
  <c r="T32" i="67"/>
  <c r="T36" i="67" s="1"/>
  <c r="S46" i="67"/>
  <c r="S48" i="67"/>
  <c r="S47" i="67"/>
  <c r="V15" i="67"/>
  <c r="V16" i="67" s="1"/>
  <c r="U21" i="67"/>
  <c r="U22" i="67" s="1"/>
  <c r="S53" i="63"/>
  <c r="S54" i="63"/>
  <c r="S55" i="63"/>
  <c r="U41" i="63"/>
  <c r="U40" i="63"/>
  <c r="U42" i="63"/>
  <c r="U46" i="63" s="1"/>
  <c r="U47" i="63" s="1"/>
  <c r="U48" i="63" s="1"/>
  <c r="U50" i="63" s="1"/>
  <c r="U39" i="63"/>
  <c r="T43" i="63"/>
  <c r="V35" i="63"/>
  <c r="V34" i="63"/>
  <c r="X18" i="63"/>
  <c r="X20" i="63" s="1"/>
  <c r="Y14" i="63"/>
  <c r="Y15" i="63" s="1"/>
  <c r="Y16" i="63" s="1"/>
  <c r="W21" i="63"/>
  <c r="W22" i="63" s="1"/>
  <c r="W28" i="63"/>
  <c r="T53" i="63"/>
  <c r="T55" i="63"/>
  <c r="T54" i="63"/>
  <c r="S51" i="61"/>
  <c r="S53" i="61"/>
  <c r="S57" i="61" s="1"/>
  <c r="S52" i="61"/>
  <c r="T30" i="61"/>
  <c r="T36" i="61" s="1"/>
  <c r="T31" i="61"/>
  <c r="V15" i="61"/>
  <c r="V16" i="61"/>
  <c r="U21" i="61"/>
  <c r="U22" i="61" s="1"/>
  <c r="T32" i="60"/>
  <c r="T33" i="60"/>
  <c r="T35" i="60"/>
  <c r="T34" i="60"/>
  <c r="S48" i="60"/>
  <c r="S46" i="60"/>
  <c r="S47" i="60"/>
  <c r="V15" i="60"/>
  <c r="V16" i="60" s="1"/>
  <c r="U21" i="60"/>
  <c r="U22" i="60"/>
  <c r="T54" i="58"/>
  <c r="T53" i="58"/>
  <c r="T55" i="58"/>
  <c r="V39" i="58"/>
  <c r="V41" i="58"/>
  <c r="V42" i="58"/>
  <c r="V46" i="58" s="1"/>
  <c r="V47" i="58" s="1"/>
  <c r="V48" i="58" s="1"/>
  <c r="V50" i="58" s="1"/>
  <c r="V40" i="58"/>
  <c r="U65" i="61"/>
  <c r="U59" i="58"/>
  <c r="U61" i="58" s="1"/>
  <c r="Y15" i="58"/>
  <c r="Y16" i="58" s="1"/>
  <c r="W27" i="58"/>
  <c r="W32" i="58"/>
  <c r="W26" i="58"/>
  <c r="W31" i="58"/>
  <c r="W30" i="58"/>
  <c r="X21" i="58"/>
  <c r="X22" i="58" s="1"/>
  <c r="X28" i="58"/>
  <c r="U56" i="58"/>
  <c r="U61" i="61"/>
  <c r="V15" i="59"/>
  <c r="V16" i="59" s="1"/>
  <c r="U21" i="59"/>
  <c r="U22" i="59" s="1"/>
  <c r="U28" i="59"/>
  <c r="T34" i="59"/>
  <c r="S35" i="70" s="1"/>
  <c r="S38" i="70" s="1"/>
  <c r="T35" i="59"/>
  <c r="S36" i="70" s="1"/>
  <c r="S41" i="70" s="1"/>
  <c r="R66" i="61"/>
  <c r="R59" i="59"/>
  <c r="R61" i="59" s="1"/>
  <c r="R62" i="61"/>
  <c r="R56" i="59"/>
  <c r="T36" i="64"/>
  <c r="T40" i="64" s="1"/>
  <c r="S53" i="64"/>
  <c r="S54" i="64"/>
  <c r="S55" i="64"/>
  <c r="U27" i="64"/>
  <c r="T49" i="70" s="1"/>
  <c r="U32" i="64"/>
  <c r="U26" i="64"/>
  <c r="T48" i="70" s="1"/>
  <c r="W14" i="64"/>
  <c r="V18" i="64"/>
  <c r="V20" i="64" s="1"/>
  <c r="R70" i="68"/>
  <c r="R71" i="68"/>
  <c r="R69" i="68"/>
  <c r="U31" i="64"/>
  <c r="T52" i="70" s="1"/>
  <c r="U30" i="64"/>
  <c r="T51" i="70" s="1"/>
  <c r="R56" i="65"/>
  <c r="R62" i="69"/>
  <c r="R66" i="69"/>
  <c r="R59" i="65"/>
  <c r="R61" i="65" s="1"/>
  <c r="Q70" i="69"/>
  <c r="Q69" i="69"/>
  <c r="Q71" i="69"/>
  <c r="S42" i="65"/>
  <c r="S41" i="65"/>
  <c r="S39" i="65"/>
  <c r="S40" i="65"/>
  <c r="V15" i="65"/>
  <c r="V16" i="65" s="1"/>
  <c r="U21" i="65"/>
  <c r="U22" i="65" s="1"/>
  <c r="U28" i="65"/>
  <c r="T34" i="65"/>
  <c r="S73" i="70" s="1"/>
  <c r="S76" i="70" s="1"/>
  <c r="T35" i="65"/>
  <c r="S74" i="70" s="1"/>
  <c r="S79" i="70" s="1"/>
  <c r="U42" i="40"/>
  <c r="T54" i="40"/>
  <c r="T53" i="40"/>
  <c r="T55" i="40"/>
  <c r="V32" i="40"/>
  <c r="V26" i="40"/>
  <c r="U10" i="70" s="1"/>
  <c r="V27" i="40"/>
  <c r="U11" i="70" s="1"/>
  <c r="V31" i="40"/>
  <c r="U14" i="70" s="1"/>
  <c r="V30" i="40"/>
  <c r="U13" i="70" s="1"/>
  <c r="W18" i="40"/>
  <c r="W20" i="40" s="1"/>
  <c r="X14" i="40"/>
  <c r="R53" i="13"/>
  <c r="R55" i="13"/>
  <c r="R54" i="13"/>
  <c r="S46" i="13"/>
  <c r="S47" i="13" s="1"/>
  <c r="S48" i="13" s="1"/>
  <c r="S50" i="13" s="1"/>
  <c r="V15" i="13"/>
  <c r="V16" i="13" s="1"/>
  <c r="T34" i="13"/>
  <c r="T35" i="13"/>
  <c r="S43" i="13"/>
  <c r="U28" i="13"/>
  <c r="U21" i="13"/>
  <c r="U22" i="13" s="1"/>
  <c r="V36" i="63" l="1"/>
  <c r="V43" i="58"/>
  <c r="U41" i="40"/>
  <c r="U39" i="40"/>
  <c r="U43" i="40" s="1"/>
  <c r="Z18" i="62"/>
  <c r="Z20" i="62" s="1"/>
  <c r="AA14" i="62"/>
  <c r="W36" i="62"/>
  <c r="X35" i="62"/>
  <c r="X34" i="62"/>
  <c r="Y21" i="62"/>
  <c r="Y22" i="62" s="1"/>
  <c r="Y28" i="62"/>
  <c r="V40" i="62"/>
  <c r="V42" i="62"/>
  <c r="V46" i="62" s="1"/>
  <c r="V47" i="62" s="1"/>
  <c r="V48" i="62" s="1"/>
  <c r="V50" i="62" s="1"/>
  <c r="V39" i="62"/>
  <c r="V41" i="62"/>
  <c r="T36" i="13"/>
  <c r="T39" i="13" s="1"/>
  <c r="T36" i="59"/>
  <c r="T40" i="59" s="1"/>
  <c r="T39" i="64"/>
  <c r="T42" i="64"/>
  <c r="T41" i="64"/>
  <c r="S54" i="69"/>
  <c r="T43" i="69"/>
  <c r="V21" i="69"/>
  <c r="V22" i="69" s="1"/>
  <c r="T51" i="69"/>
  <c r="T53" i="69"/>
  <c r="T57" i="69" s="1"/>
  <c r="T52" i="69"/>
  <c r="U30" i="69"/>
  <c r="U31" i="69"/>
  <c r="W15" i="69"/>
  <c r="W16" i="69"/>
  <c r="V18" i="67"/>
  <c r="V20" i="67" s="1"/>
  <c r="W14" i="67"/>
  <c r="U27" i="67"/>
  <c r="U28" i="67" s="1"/>
  <c r="U29" i="67" s="1"/>
  <c r="U25" i="67"/>
  <c r="U26" i="67"/>
  <c r="S67" i="69"/>
  <c r="S52" i="67"/>
  <c r="S54" i="67" s="1"/>
  <c r="S63" i="69"/>
  <c r="S49" i="67"/>
  <c r="T39" i="67"/>
  <c r="T40" i="67" s="1"/>
  <c r="T41" i="67"/>
  <c r="T43" i="67" s="1"/>
  <c r="T36" i="65"/>
  <c r="T41" i="65" s="1"/>
  <c r="W27" i="63"/>
  <c r="W32" i="63"/>
  <c r="W26" i="63"/>
  <c r="Y18" i="63"/>
  <c r="Y20" i="63" s="1"/>
  <c r="Z14" i="63"/>
  <c r="W31" i="63"/>
  <c r="W30" i="63"/>
  <c r="X21" i="63"/>
  <c r="X22" i="63" s="1"/>
  <c r="X28" i="63"/>
  <c r="U43" i="63"/>
  <c r="S65" i="69"/>
  <c r="S59" i="63"/>
  <c r="S61" i="63" s="1"/>
  <c r="V40" i="63"/>
  <c r="V42" i="63"/>
  <c r="V39" i="63"/>
  <c r="V41" i="63"/>
  <c r="U55" i="63"/>
  <c r="U53" i="63"/>
  <c r="U54" i="63"/>
  <c r="T61" i="69"/>
  <c r="T56" i="63"/>
  <c r="T65" i="69"/>
  <c r="T59" i="63"/>
  <c r="T61" i="63" s="1"/>
  <c r="S61" i="69"/>
  <c r="S56" i="63"/>
  <c r="T42" i="61"/>
  <c r="T46" i="61" s="1"/>
  <c r="T48" i="61" s="1"/>
  <c r="T40" i="61"/>
  <c r="T41" i="61"/>
  <c r="T39" i="61"/>
  <c r="T43" i="61" s="1"/>
  <c r="U26" i="61"/>
  <c r="U27" i="61"/>
  <c r="U28" i="61"/>
  <c r="S54" i="61"/>
  <c r="V18" i="61"/>
  <c r="V20" i="61" s="1"/>
  <c r="W14" i="61"/>
  <c r="V18" i="60"/>
  <c r="V20" i="60" s="1"/>
  <c r="W14" i="60"/>
  <c r="S63" i="61"/>
  <c r="S49" i="60"/>
  <c r="U27" i="60"/>
  <c r="U28" i="60" s="1"/>
  <c r="U29" i="60" s="1"/>
  <c r="U25" i="60"/>
  <c r="U26" i="60"/>
  <c r="T39" i="60"/>
  <c r="T40" i="60" s="1"/>
  <c r="T41" i="60"/>
  <c r="T43" i="60" s="1"/>
  <c r="S67" i="61"/>
  <c r="S52" i="60"/>
  <c r="S54" i="60" s="1"/>
  <c r="T36" i="60"/>
  <c r="Y18" i="58"/>
  <c r="Y20" i="58" s="1"/>
  <c r="Z14" i="58"/>
  <c r="Z15" i="58" s="1"/>
  <c r="Z16" i="58" s="1"/>
  <c r="T65" i="61"/>
  <c r="T59" i="58"/>
  <c r="T61" i="58" s="1"/>
  <c r="X31" i="58"/>
  <c r="X30" i="58"/>
  <c r="V53" i="58"/>
  <c r="V55" i="58"/>
  <c r="V54" i="58"/>
  <c r="T61" i="61"/>
  <c r="T56" i="58"/>
  <c r="X32" i="58"/>
  <c r="X27" i="58"/>
  <c r="X26" i="58"/>
  <c r="W34" i="58"/>
  <c r="W35" i="58"/>
  <c r="U27" i="59"/>
  <c r="T30" i="70" s="1"/>
  <c r="U32" i="59"/>
  <c r="U26" i="59"/>
  <c r="T29" i="70" s="1"/>
  <c r="T42" i="59"/>
  <c r="T39" i="59"/>
  <c r="V18" i="59"/>
  <c r="V20" i="59" s="1"/>
  <c r="W14" i="59"/>
  <c r="R70" i="61"/>
  <c r="R71" i="61"/>
  <c r="R69" i="61"/>
  <c r="S53" i="59"/>
  <c r="S54" i="59"/>
  <c r="S55" i="59"/>
  <c r="U30" i="59"/>
  <c r="T32" i="70" s="1"/>
  <c r="U31" i="59"/>
  <c r="T33" i="70" s="1"/>
  <c r="W15" i="64"/>
  <c r="W16" i="64" s="1"/>
  <c r="S66" i="68"/>
  <c r="S59" i="64"/>
  <c r="S61" i="64" s="1"/>
  <c r="T46" i="64"/>
  <c r="T47" i="64" s="1"/>
  <c r="T48" i="64" s="1"/>
  <c r="T50" i="64" s="1"/>
  <c r="V21" i="64"/>
  <c r="V22" i="64" s="1"/>
  <c r="V28" i="64"/>
  <c r="U34" i="64"/>
  <c r="T54" i="70" s="1"/>
  <c r="T57" i="70" s="1"/>
  <c r="U35" i="64"/>
  <c r="T55" i="70" s="1"/>
  <c r="T60" i="70" s="1"/>
  <c r="S56" i="64"/>
  <c r="S62" i="68"/>
  <c r="U26" i="65"/>
  <c r="T67" i="70" s="1"/>
  <c r="U27" i="65"/>
  <c r="T68" i="70" s="1"/>
  <c r="U32" i="65"/>
  <c r="S43" i="65"/>
  <c r="R71" i="69"/>
  <c r="R69" i="69"/>
  <c r="R70" i="69"/>
  <c r="V18" i="65"/>
  <c r="V20" i="65" s="1"/>
  <c r="W14" i="65"/>
  <c r="U30" i="65"/>
  <c r="T70" i="70" s="1"/>
  <c r="U31" i="65"/>
  <c r="T71" i="70" s="1"/>
  <c r="S46" i="65"/>
  <c r="S47" i="65" s="1"/>
  <c r="S48" i="65" s="1"/>
  <c r="S50" i="65" s="1"/>
  <c r="V34" i="40"/>
  <c r="U16" i="70" s="1"/>
  <c r="U19" i="70" s="1"/>
  <c r="V35" i="40"/>
  <c r="U17" i="70" s="1"/>
  <c r="U22" i="70" s="1"/>
  <c r="W28" i="40"/>
  <c r="W21" i="40"/>
  <c r="W22" i="40" s="1"/>
  <c r="T56" i="40"/>
  <c r="T62" i="42"/>
  <c r="U46" i="40"/>
  <c r="U47" i="40" s="1"/>
  <c r="U48" i="40" s="1"/>
  <c r="U50" i="40" s="1"/>
  <c r="X15" i="40"/>
  <c r="X16" i="40" s="1"/>
  <c r="T66" i="42"/>
  <c r="T59" i="40"/>
  <c r="T61" i="40" s="1"/>
  <c r="T40" i="13"/>
  <c r="T42" i="13"/>
  <c r="V18" i="13"/>
  <c r="V20" i="13" s="1"/>
  <c r="W14" i="13"/>
  <c r="U31" i="13"/>
  <c r="U30" i="13"/>
  <c r="R65" i="42"/>
  <c r="R59" i="13"/>
  <c r="R61" i="13" s="1"/>
  <c r="S55" i="13"/>
  <c r="S53" i="13"/>
  <c r="S54" i="13"/>
  <c r="U27" i="13"/>
  <c r="U32" i="13"/>
  <c r="U26" i="13"/>
  <c r="R61" i="42"/>
  <c r="R56" i="13"/>
  <c r="T43" i="64" l="1"/>
  <c r="V43" i="63"/>
  <c r="T42" i="65"/>
  <c r="T46" i="65" s="1"/>
  <c r="T47" i="65" s="1"/>
  <c r="T48" i="65" s="1"/>
  <c r="T50" i="65" s="1"/>
  <c r="T41" i="59"/>
  <c r="T43" i="59" s="1"/>
  <c r="Y27" i="62"/>
  <c r="Y32" i="62"/>
  <c r="Y26" i="62"/>
  <c r="Y31" i="62"/>
  <c r="Y30" i="62"/>
  <c r="V43" i="62"/>
  <c r="W40" i="62"/>
  <c r="W42" i="62"/>
  <c r="W46" i="62" s="1"/>
  <c r="W47" i="62" s="1"/>
  <c r="W48" i="62" s="1"/>
  <c r="W50" i="62" s="1"/>
  <c r="W39" i="62"/>
  <c r="W41" i="62"/>
  <c r="V53" i="62"/>
  <c r="V54" i="62"/>
  <c r="V55" i="62"/>
  <c r="AA15" i="62"/>
  <c r="AA16" i="62" s="1"/>
  <c r="X36" i="62"/>
  <c r="Z28" i="62"/>
  <c r="Z21" i="62"/>
  <c r="Z22" i="62" s="1"/>
  <c r="T41" i="13"/>
  <c r="T39" i="65"/>
  <c r="T40" i="65"/>
  <c r="T43" i="65" s="1"/>
  <c r="V36" i="40"/>
  <c r="V41" i="40" s="1"/>
  <c r="V28" i="69"/>
  <c r="V26" i="69"/>
  <c r="V27" i="69"/>
  <c r="U36" i="69"/>
  <c r="X14" i="69"/>
  <c r="W18" i="69"/>
  <c r="W20" i="69" s="1"/>
  <c r="T54" i="69"/>
  <c r="U35" i="67"/>
  <c r="U34" i="67"/>
  <c r="U32" i="67"/>
  <c r="U33" i="67"/>
  <c r="T46" i="67"/>
  <c r="T47" i="67"/>
  <c r="T48" i="67"/>
  <c r="W15" i="67"/>
  <c r="W16" i="67" s="1"/>
  <c r="V21" i="67"/>
  <c r="V22" i="67"/>
  <c r="U56" i="63"/>
  <c r="U61" i="69"/>
  <c r="V46" i="63"/>
  <c r="V47" i="63" s="1"/>
  <c r="V48" i="63"/>
  <c r="V50" i="63" s="1"/>
  <c r="X26" i="63"/>
  <c r="X27" i="63"/>
  <c r="X32" i="63"/>
  <c r="U59" i="63"/>
  <c r="U61" i="63" s="1"/>
  <c r="U65" i="69"/>
  <c r="X30" i="63"/>
  <c r="X31" i="63"/>
  <c r="W35" i="63"/>
  <c r="W34" i="63"/>
  <c r="Y21" i="63"/>
  <c r="Y22" i="63"/>
  <c r="Y28" i="63"/>
  <c r="Z15" i="63"/>
  <c r="Z16" i="63" s="1"/>
  <c r="U30" i="61"/>
  <c r="U31" i="61"/>
  <c r="W15" i="61"/>
  <c r="W16" i="61" s="1"/>
  <c r="V21" i="61"/>
  <c r="V22" i="61"/>
  <c r="T53" i="61"/>
  <c r="T57" i="61" s="1"/>
  <c r="T52" i="61"/>
  <c r="T51" i="61"/>
  <c r="U35" i="60"/>
  <c r="U34" i="60"/>
  <c r="U33" i="60"/>
  <c r="U32" i="60"/>
  <c r="U36" i="60" s="1"/>
  <c r="T48" i="60"/>
  <c r="T46" i="60"/>
  <c r="T47" i="60"/>
  <c r="W16" i="60"/>
  <c r="W15" i="60"/>
  <c r="V21" i="60"/>
  <c r="V22" i="60"/>
  <c r="X34" i="58"/>
  <c r="X36" i="58" s="1"/>
  <c r="X35" i="58"/>
  <c r="W36" i="58"/>
  <c r="V61" i="61"/>
  <c r="V56" i="58"/>
  <c r="V65" i="61"/>
  <c r="V59" i="58"/>
  <c r="V61" i="58" s="1"/>
  <c r="Z18" i="58"/>
  <c r="Z20" i="58" s="1"/>
  <c r="AA14" i="58"/>
  <c r="AA15" i="58" s="1"/>
  <c r="AA16" i="58" s="1"/>
  <c r="Y28" i="58"/>
  <c r="Y21" i="58"/>
  <c r="Y22" i="58" s="1"/>
  <c r="S66" i="61"/>
  <c r="S59" i="59"/>
  <c r="S61" i="59" s="1"/>
  <c r="S62" i="61"/>
  <c r="S56" i="59"/>
  <c r="W15" i="59"/>
  <c r="W16" i="59" s="1"/>
  <c r="U34" i="59"/>
  <c r="T35" i="70" s="1"/>
  <c r="T38" i="70" s="1"/>
  <c r="U35" i="59"/>
  <c r="T36" i="70" s="1"/>
  <c r="T41" i="70" s="1"/>
  <c r="V28" i="59"/>
  <c r="V21" i="59"/>
  <c r="V22" i="59" s="1"/>
  <c r="T46" i="59"/>
  <c r="T47" i="59" s="1"/>
  <c r="T48" i="59" s="1"/>
  <c r="T50" i="59" s="1"/>
  <c r="U36" i="64"/>
  <c r="U42" i="64" s="1"/>
  <c r="V26" i="64"/>
  <c r="U48" i="70" s="1"/>
  <c r="V27" i="64"/>
  <c r="U49" i="70" s="1"/>
  <c r="V32" i="64"/>
  <c r="T54" i="64"/>
  <c r="T55" i="64"/>
  <c r="T53" i="64"/>
  <c r="V30" i="64"/>
  <c r="U51" i="70" s="1"/>
  <c r="V31" i="64"/>
  <c r="U52" i="70" s="1"/>
  <c r="W18" i="64"/>
  <c r="W20" i="64" s="1"/>
  <c r="X14" i="64"/>
  <c r="S71" i="68"/>
  <c r="S70" i="68"/>
  <c r="S69" i="68"/>
  <c r="U35" i="65"/>
  <c r="T74" i="70" s="1"/>
  <c r="T79" i="70" s="1"/>
  <c r="U34" i="65"/>
  <c r="T73" i="70" s="1"/>
  <c r="T76" i="70" s="1"/>
  <c r="S53" i="65"/>
  <c r="S55" i="65"/>
  <c r="S54" i="65"/>
  <c r="W15" i="65"/>
  <c r="W16" i="65" s="1"/>
  <c r="V21" i="65"/>
  <c r="V22" i="65" s="1"/>
  <c r="V28" i="65"/>
  <c r="Y14" i="40"/>
  <c r="X18" i="40"/>
  <c r="X20" i="40" s="1"/>
  <c r="V42" i="40"/>
  <c r="V39" i="40"/>
  <c r="W32" i="40"/>
  <c r="W26" i="40"/>
  <c r="V10" i="70" s="1"/>
  <c r="W27" i="40"/>
  <c r="V11" i="70" s="1"/>
  <c r="U53" i="40"/>
  <c r="U55" i="40"/>
  <c r="U54" i="40"/>
  <c r="W31" i="40"/>
  <c r="V14" i="70" s="1"/>
  <c r="W30" i="40"/>
  <c r="V13" i="70" s="1"/>
  <c r="U34" i="13"/>
  <c r="U35" i="13"/>
  <c r="T46" i="13"/>
  <c r="T47" i="13" s="1"/>
  <c r="T48" i="13" s="1"/>
  <c r="T50" i="13" s="1"/>
  <c r="S65" i="42"/>
  <c r="S59" i="13"/>
  <c r="S61" i="13" s="1"/>
  <c r="R70" i="42"/>
  <c r="R71" i="42"/>
  <c r="R69" i="42"/>
  <c r="W15" i="13"/>
  <c r="W16" i="13" s="1"/>
  <c r="T43" i="13"/>
  <c r="S56" i="13"/>
  <c r="S61" i="42"/>
  <c r="V21" i="13"/>
  <c r="V22" i="13" s="1"/>
  <c r="V28" i="13"/>
  <c r="V40" i="40" l="1"/>
  <c r="W55" i="62"/>
  <c r="W54" i="62"/>
  <c r="W53" i="62"/>
  <c r="AA18" i="62"/>
  <c r="AA20" i="62" s="1"/>
  <c r="AB14" i="62"/>
  <c r="V61" i="68"/>
  <c r="V56" i="62"/>
  <c r="Z26" i="62"/>
  <c r="Z27" i="62"/>
  <c r="Z32" i="62"/>
  <c r="Y35" i="62"/>
  <c r="Y34" i="62"/>
  <c r="Y36" i="62" s="1"/>
  <c r="X41" i="62"/>
  <c r="X39" i="62"/>
  <c r="X40" i="62"/>
  <c r="X42" i="62"/>
  <c r="X46" i="62" s="1"/>
  <c r="X47" i="62" s="1"/>
  <c r="X48" i="62" s="1"/>
  <c r="X50" i="62" s="1"/>
  <c r="Z30" i="62"/>
  <c r="Z31" i="62"/>
  <c r="V59" i="62"/>
  <c r="V61" i="62" s="1"/>
  <c r="V65" i="68"/>
  <c r="W43" i="62"/>
  <c r="U36" i="13"/>
  <c r="U40" i="13" s="1"/>
  <c r="U36" i="59"/>
  <c r="U40" i="59" s="1"/>
  <c r="U39" i="64"/>
  <c r="U43" i="64" s="1"/>
  <c r="U41" i="64"/>
  <c r="U40" i="64"/>
  <c r="W21" i="69"/>
  <c r="W22" i="69"/>
  <c r="X15" i="69"/>
  <c r="X16" i="69" s="1"/>
  <c r="U40" i="69"/>
  <c r="U41" i="69"/>
  <c r="U39" i="69"/>
  <c r="U43" i="69" s="1"/>
  <c r="U42" i="69"/>
  <c r="U46" i="69" s="1"/>
  <c r="U48" i="69" s="1"/>
  <c r="V31" i="69"/>
  <c r="V30" i="69"/>
  <c r="V36" i="69" s="1"/>
  <c r="X14" i="67"/>
  <c r="W18" i="67"/>
  <c r="W20" i="67" s="1"/>
  <c r="T67" i="69"/>
  <c r="T52" i="67"/>
  <c r="T54" i="67" s="1"/>
  <c r="U36" i="67"/>
  <c r="V27" i="67"/>
  <c r="V28" i="67" s="1"/>
  <c r="V26" i="67"/>
  <c r="V29" i="67"/>
  <c r="V25" i="67"/>
  <c r="T63" i="69"/>
  <c r="T49" i="67"/>
  <c r="U39" i="67"/>
  <c r="U40" i="67" s="1"/>
  <c r="U41" i="67" s="1"/>
  <c r="U43" i="67" s="1"/>
  <c r="U36" i="65"/>
  <c r="U42" i="65" s="1"/>
  <c r="Y31" i="63"/>
  <c r="Y30" i="63"/>
  <c r="Y32" i="63"/>
  <c r="Y27" i="63"/>
  <c r="Y26" i="63"/>
  <c r="X35" i="63"/>
  <c r="X34" i="63"/>
  <c r="X36" i="63" s="1"/>
  <c r="V53" i="63"/>
  <c r="V55" i="63"/>
  <c r="V54" i="63"/>
  <c r="Z18" i="63"/>
  <c r="Z20" i="63" s="1"/>
  <c r="AA14" i="63"/>
  <c r="W36" i="63"/>
  <c r="X14" i="61"/>
  <c r="W18" i="61"/>
  <c r="W20" i="61" s="1"/>
  <c r="V27" i="61"/>
  <c r="V28" i="61"/>
  <c r="V26" i="61"/>
  <c r="T54" i="61"/>
  <c r="U36" i="61"/>
  <c r="T49" i="60"/>
  <c r="T63" i="61"/>
  <c r="W18" i="60"/>
  <c r="W20" i="60" s="1"/>
  <c r="X14" i="60"/>
  <c r="V25" i="60"/>
  <c r="V26" i="60"/>
  <c r="V27" i="60"/>
  <c r="V28" i="60" s="1"/>
  <c r="V29" i="60" s="1"/>
  <c r="T67" i="61"/>
  <c r="T52" i="60"/>
  <c r="T54" i="60" s="1"/>
  <c r="U39" i="60"/>
  <c r="U40" i="60" s="1"/>
  <c r="U41" i="60"/>
  <c r="U43" i="60" s="1"/>
  <c r="Z28" i="58"/>
  <c r="Z21" i="58"/>
  <c r="Z22" i="58"/>
  <c r="Y27" i="58"/>
  <c r="Y26" i="58"/>
  <c r="Y32" i="58"/>
  <c r="W42" i="58"/>
  <c r="W41" i="58"/>
  <c r="W40" i="58"/>
  <c r="W39" i="58"/>
  <c r="Y31" i="58"/>
  <c r="Y30" i="58"/>
  <c r="AB14" i="58"/>
  <c r="AA18" i="58"/>
  <c r="AA20" i="58" s="1"/>
  <c r="X41" i="58"/>
  <c r="X42" i="58"/>
  <c r="X46" i="58" s="1"/>
  <c r="X47" i="58" s="1"/>
  <c r="X48" i="58" s="1"/>
  <c r="X50" i="58" s="1"/>
  <c r="X40" i="58"/>
  <c r="X39" i="58"/>
  <c r="W18" i="59"/>
  <c r="W20" i="59" s="1"/>
  <c r="X14" i="59"/>
  <c r="S70" i="61"/>
  <c r="S71" i="61"/>
  <c r="S69" i="61"/>
  <c r="V31" i="59"/>
  <c r="U33" i="70" s="1"/>
  <c r="V30" i="59"/>
  <c r="U32" i="70" s="1"/>
  <c r="V26" i="59"/>
  <c r="U29" i="70" s="1"/>
  <c r="V27" i="59"/>
  <c r="U30" i="70" s="1"/>
  <c r="V32" i="59"/>
  <c r="T55" i="59"/>
  <c r="T53" i="59"/>
  <c r="T54" i="59"/>
  <c r="V35" i="64"/>
  <c r="U55" i="70" s="1"/>
  <c r="U60" i="70" s="1"/>
  <c r="V34" i="64"/>
  <c r="U54" i="70" s="1"/>
  <c r="U57" i="70" s="1"/>
  <c r="X15" i="64"/>
  <c r="X16" i="64" s="1"/>
  <c r="T62" i="68"/>
  <c r="T56" i="64"/>
  <c r="W28" i="64"/>
  <c r="W21" i="64"/>
  <c r="W22" i="64" s="1"/>
  <c r="T66" i="68"/>
  <c r="T59" i="64"/>
  <c r="T61" i="64" s="1"/>
  <c r="U46" i="64"/>
  <c r="U47" i="64" s="1"/>
  <c r="U48" i="64" s="1"/>
  <c r="U50" i="64" s="1"/>
  <c r="T53" i="65"/>
  <c r="T54" i="65"/>
  <c r="T55" i="65"/>
  <c r="W18" i="65"/>
  <c r="W20" i="65" s="1"/>
  <c r="X14" i="65"/>
  <c r="S62" i="69"/>
  <c r="S56" i="65"/>
  <c r="V32" i="65"/>
  <c r="V27" i="65"/>
  <c r="U68" i="70" s="1"/>
  <c r="V26" i="65"/>
  <c r="U67" i="70" s="1"/>
  <c r="V30" i="65"/>
  <c r="U70" i="70" s="1"/>
  <c r="V31" i="65"/>
  <c r="U71" i="70" s="1"/>
  <c r="S59" i="65"/>
  <c r="S61" i="65" s="1"/>
  <c r="S66" i="69"/>
  <c r="U59" i="40"/>
  <c r="U61" i="40" s="1"/>
  <c r="U66" i="42"/>
  <c r="U62" i="42"/>
  <c r="U56" i="40"/>
  <c r="V43" i="40"/>
  <c r="X21" i="40"/>
  <c r="X22" i="40" s="1"/>
  <c r="X28" i="40"/>
  <c r="W35" i="40"/>
  <c r="V17" i="70" s="1"/>
  <c r="V22" i="70" s="1"/>
  <c r="W34" i="40"/>
  <c r="V16" i="70" s="1"/>
  <c r="V19" i="70" s="1"/>
  <c r="V46" i="40"/>
  <c r="V47" i="40" s="1"/>
  <c r="V48" i="40" s="1"/>
  <c r="V50" i="40" s="1"/>
  <c r="Y15" i="40"/>
  <c r="Y16" i="40" s="1"/>
  <c r="W18" i="13"/>
  <c r="W20" i="13" s="1"/>
  <c r="X14" i="13"/>
  <c r="U42" i="13"/>
  <c r="U39" i="13"/>
  <c r="V32" i="13"/>
  <c r="V27" i="13"/>
  <c r="V26" i="13"/>
  <c r="T54" i="13"/>
  <c r="T55" i="13"/>
  <c r="T53" i="13"/>
  <c r="V30" i="13"/>
  <c r="V31" i="13"/>
  <c r="S70" i="42"/>
  <c r="S71" i="42"/>
  <c r="S69" i="42"/>
  <c r="U39" i="59" l="1"/>
  <c r="U41" i="59"/>
  <c r="X43" i="58"/>
  <c r="U42" i="59"/>
  <c r="U46" i="59" s="1"/>
  <c r="U47" i="59" s="1"/>
  <c r="U48" i="59" s="1"/>
  <c r="U50" i="59" s="1"/>
  <c r="Y40" i="62"/>
  <c r="Y42" i="62"/>
  <c r="Y46" i="62" s="1"/>
  <c r="Y47" i="62" s="1"/>
  <c r="Y48" i="62" s="1"/>
  <c r="Y50" i="62" s="1"/>
  <c r="Y39" i="62"/>
  <c r="Y41" i="62"/>
  <c r="X43" i="62"/>
  <c r="Z34" i="62"/>
  <c r="Z35" i="62"/>
  <c r="X53" i="62"/>
  <c r="X55" i="62"/>
  <c r="X54" i="62"/>
  <c r="AA22" i="62"/>
  <c r="AA28" i="62"/>
  <c r="AA21" i="62"/>
  <c r="W61" i="68"/>
  <c r="W56" i="62"/>
  <c r="AB15" i="62"/>
  <c r="AB16" i="62" s="1"/>
  <c r="W59" i="62"/>
  <c r="W61" i="62" s="1"/>
  <c r="W65" i="68"/>
  <c r="U41" i="13"/>
  <c r="U43" i="13" s="1"/>
  <c r="U40" i="65"/>
  <c r="U39" i="65"/>
  <c r="U41" i="65"/>
  <c r="W36" i="40"/>
  <c r="W42" i="40" s="1"/>
  <c r="V36" i="64"/>
  <c r="V41" i="64" s="1"/>
  <c r="X18" i="69"/>
  <c r="X20" i="69" s="1"/>
  <c r="Y14" i="69"/>
  <c r="V42" i="69"/>
  <c r="V46" i="69" s="1"/>
  <c r="V48" i="69" s="1"/>
  <c r="V41" i="69"/>
  <c r="V39" i="69"/>
  <c r="V43" i="69" s="1"/>
  <c r="V40" i="69"/>
  <c r="W27" i="69"/>
  <c r="W26" i="69"/>
  <c r="W32" i="69"/>
  <c r="W28" i="69"/>
  <c r="U51" i="69"/>
  <c r="U53" i="69"/>
  <c r="U57" i="69" s="1"/>
  <c r="U52" i="69"/>
  <c r="U46" i="67"/>
  <c r="U48" i="67"/>
  <c r="U47" i="67"/>
  <c r="V35" i="67"/>
  <c r="V32" i="67"/>
  <c r="V33" i="67"/>
  <c r="V34" i="67"/>
  <c r="W21" i="67"/>
  <c r="W22" i="67" s="1"/>
  <c r="X15" i="67"/>
  <c r="X16" i="67"/>
  <c r="V56" i="63"/>
  <c r="V61" i="69"/>
  <c r="Z28" i="63"/>
  <c r="Z21" i="63"/>
  <c r="Z22" i="63" s="1"/>
  <c r="X41" i="63"/>
  <c r="X40" i="63"/>
  <c r="X42" i="63"/>
  <c r="X46" i="63" s="1"/>
  <c r="X47" i="63" s="1"/>
  <c r="X48" i="63" s="1"/>
  <c r="X50" i="63" s="1"/>
  <c r="X39" i="63"/>
  <c r="Y34" i="63"/>
  <c r="Y35" i="63"/>
  <c r="AA15" i="63"/>
  <c r="AA16" i="63" s="1"/>
  <c r="W39" i="63"/>
  <c r="W40" i="63"/>
  <c r="W42" i="63"/>
  <c r="W41" i="63"/>
  <c r="V65" i="69"/>
  <c r="V59" i="63"/>
  <c r="V61" i="63" s="1"/>
  <c r="U40" i="61"/>
  <c r="U42" i="61"/>
  <c r="U46" i="61" s="1"/>
  <c r="U48" i="61" s="1"/>
  <c r="U39" i="61"/>
  <c r="U43" i="61" s="1"/>
  <c r="U41" i="61"/>
  <c r="W21" i="61"/>
  <c r="W22" i="61"/>
  <c r="V30" i="61"/>
  <c r="V36" i="61" s="1"/>
  <c r="V31" i="61"/>
  <c r="X15" i="61"/>
  <c r="X16" i="61"/>
  <c r="V35" i="60"/>
  <c r="V33" i="60"/>
  <c r="V34" i="60"/>
  <c r="V32" i="60"/>
  <c r="V36" i="60" s="1"/>
  <c r="X15" i="60"/>
  <c r="X16" i="60" s="1"/>
  <c r="W21" i="60"/>
  <c r="W22" i="60" s="1"/>
  <c r="U48" i="60"/>
  <c r="U46" i="60"/>
  <c r="U47" i="60"/>
  <c r="X55" i="58"/>
  <c r="X54" i="58"/>
  <c r="X53" i="58"/>
  <c r="W46" i="58"/>
  <c r="W47" i="58" s="1"/>
  <c r="W48" i="58" s="1"/>
  <c r="W50" i="58" s="1"/>
  <c r="Z32" i="58"/>
  <c r="Z27" i="58"/>
  <c r="Z26" i="58"/>
  <c r="AA28" i="58"/>
  <c r="AA21" i="58"/>
  <c r="AA22" i="58" s="1"/>
  <c r="W43" i="58"/>
  <c r="Y34" i="58"/>
  <c r="Y35" i="58"/>
  <c r="Y36" i="58" s="1"/>
  <c r="AB15" i="58"/>
  <c r="AB16" i="58" s="1"/>
  <c r="Z30" i="58"/>
  <c r="Z31" i="58"/>
  <c r="T66" i="61"/>
  <c r="T59" i="59"/>
  <c r="T61" i="59" s="1"/>
  <c r="V35" i="59"/>
  <c r="U36" i="70" s="1"/>
  <c r="U41" i="70" s="1"/>
  <c r="V34" i="59"/>
  <c r="U35" i="70" s="1"/>
  <c r="U38" i="70" s="1"/>
  <c r="X15" i="59"/>
  <c r="X16" i="59" s="1"/>
  <c r="T62" i="61"/>
  <c r="T56" i="59"/>
  <c r="W21" i="59"/>
  <c r="W22" i="59" s="1"/>
  <c r="W28" i="59"/>
  <c r="Y14" i="64"/>
  <c r="X18" i="64"/>
  <c r="X20" i="64" s="1"/>
  <c r="W27" i="64"/>
  <c r="V49" i="70" s="1"/>
  <c r="W32" i="64"/>
  <c r="W26" i="64"/>
  <c r="V48" i="70" s="1"/>
  <c r="V39" i="64"/>
  <c r="V40" i="64"/>
  <c r="U55" i="64"/>
  <c r="U54" i="64"/>
  <c r="U53" i="64"/>
  <c r="T71" i="68"/>
  <c r="T69" i="68"/>
  <c r="T70" i="68"/>
  <c r="W31" i="64"/>
  <c r="V52" i="70" s="1"/>
  <c r="W30" i="64"/>
  <c r="V51" i="70" s="1"/>
  <c r="V34" i="65"/>
  <c r="U73" i="70" s="1"/>
  <c r="U76" i="70" s="1"/>
  <c r="V35" i="65"/>
  <c r="U74" i="70" s="1"/>
  <c r="U79" i="70" s="1"/>
  <c r="W21" i="65"/>
  <c r="W22" i="65" s="1"/>
  <c r="W28" i="65"/>
  <c r="T66" i="69"/>
  <c r="T59" i="65"/>
  <c r="T61" i="65" s="1"/>
  <c r="S70" i="69"/>
  <c r="S69" i="69"/>
  <c r="S71" i="69"/>
  <c r="U46" i="65"/>
  <c r="U47" i="65" s="1"/>
  <c r="U48" i="65" s="1"/>
  <c r="U50" i="65" s="1"/>
  <c r="X15" i="65"/>
  <c r="X16" i="65" s="1"/>
  <c r="T62" i="69"/>
  <c r="T56" i="65"/>
  <c r="V53" i="40"/>
  <c r="V55" i="40"/>
  <c r="V54" i="40"/>
  <c r="X27" i="40"/>
  <c r="W11" i="70" s="1"/>
  <c r="X26" i="40"/>
  <c r="W10" i="70" s="1"/>
  <c r="X32" i="40"/>
  <c r="W41" i="40"/>
  <c r="X30" i="40"/>
  <c r="W13" i="70" s="1"/>
  <c r="X31" i="40"/>
  <c r="W14" i="70" s="1"/>
  <c r="Z14" i="40"/>
  <c r="Y18" i="40"/>
  <c r="Y20" i="40" s="1"/>
  <c r="T65" i="42"/>
  <c r="T59" i="13"/>
  <c r="T61" i="13" s="1"/>
  <c r="V35" i="13"/>
  <c r="V34" i="13"/>
  <c r="U46" i="13"/>
  <c r="U47" i="13" s="1"/>
  <c r="U48" i="13" s="1"/>
  <c r="U50" i="13" s="1"/>
  <c r="X15" i="13"/>
  <c r="X16" i="13" s="1"/>
  <c r="T56" i="13"/>
  <c r="T61" i="42"/>
  <c r="W21" i="13"/>
  <c r="W22" i="13" s="1"/>
  <c r="W28" i="13"/>
  <c r="U43" i="65" l="1"/>
  <c r="U43" i="59"/>
  <c r="X43" i="63"/>
  <c r="W40" i="40"/>
  <c r="W39" i="40"/>
  <c r="AB18" i="62"/>
  <c r="AB20" i="62" s="1"/>
  <c r="AC14" i="62"/>
  <c r="AA30" i="62"/>
  <c r="AA31" i="62"/>
  <c r="AA26" i="62"/>
  <c r="AA32" i="62"/>
  <c r="AA27" i="62"/>
  <c r="Z36" i="62"/>
  <c r="Y54" i="62"/>
  <c r="Y55" i="62"/>
  <c r="Y53" i="62"/>
  <c r="X61" i="68"/>
  <c r="X56" i="62"/>
  <c r="Y43" i="62"/>
  <c r="X59" i="62"/>
  <c r="X61" i="62" s="1"/>
  <c r="X65" i="68"/>
  <c r="V36" i="13"/>
  <c r="V40" i="13" s="1"/>
  <c r="V36" i="59"/>
  <c r="V41" i="59" s="1"/>
  <c r="V42" i="64"/>
  <c r="V46" i="64" s="1"/>
  <c r="V47" i="64" s="1"/>
  <c r="V48" i="64" s="1"/>
  <c r="V50" i="64" s="1"/>
  <c r="U54" i="69"/>
  <c r="W30" i="69"/>
  <c r="W36" i="69" s="1"/>
  <c r="W31" i="69"/>
  <c r="V51" i="69"/>
  <c r="V52" i="69"/>
  <c r="V53" i="69"/>
  <c r="V57" i="69" s="1"/>
  <c r="W35" i="69"/>
  <c r="W34" i="69"/>
  <c r="Y15" i="69"/>
  <c r="Y16" i="69"/>
  <c r="X21" i="69"/>
  <c r="X22" i="69" s="1"/>
  <c r="W27" i="67"/>
  <c r="W28" i="67" s="1"/>
  <c r="W25" i="67"/>
  <c r="W29" i="67" s="1"/>
  <c r="W26" i="67"/>
  <c r="X18" i="67"/>
  <c r="X20" i="67" s="1"/>
  <c r="Y14" i="67"/>
  <c r="U67" i="69"/>
  <c r="U52" i="67"/>
  <c r="U54" i="67" s="1"/>
  <c r="V39" i="67"/>
  <c r="V40" i="67" s="1"/>
  <c r="V41" i="67"/>
  <c r="V43" i="67" s="1"/>
  <c r="V36" i="67"/>
  <c r="U63" i="69"/>
  <c r="U49" i="67"/>
  <c r="AB14" i="63"/>
  <c r="AA18" i="63"/>
  <c r="AA20" i="63" s="1"/>
  <c r="W46" i="63"/>
  <c r="W47" i="63" s="1"/>
  <c r="W48" i="63" s="1"/>
  <c r="W50" i="63" s="1"/>
  <c r="X54" i="63"/>
  <c r="X55" i="63"/>
  <c r="X53" i="63"/>
  <c r="Z31" i="63"/>
  <c r="Z30" i="63"/>
  <c r="Z32" i="63"/>
  <c r="Z26" i="63"/>
  <c r="Z27" i="63"/>
  <c r="W43" i="63"/>
  <c r="Y36" i="63"/>
  <c r="V42" i="61"/>
  <c r="V46" i="61" s="1"/>
  <c r="V48" i="61" s="1"/>
  <c r="V39" i="61"/>
  <c r="V40" i="61"/>
  <c r="V41" i="61"/>
  <c r="X18" i="61"/>
  <c r="X20" i="61" s="1"/>
  <c r="Y14" i="61"/>
  <c r="W28" i="61"/>
  <c r="W26" i="61"/>
  <c r="W32" i="61"/>
  <c r="W27" i="61"/>
  <c r="U51" i="61"/>
  <c r="U54" i="61" s="1"/>
  <c r="U53" i="61"/>
  <c r="U57" i="61" s="1"/>
  <c r="U52" i="61"/>
  <c r="W25" i="60"/>
  <c r="W26" i="60"/>
  <c r="W27" i="60"/>
  <c r="W28" i="60" s="1"/>
  <c r="W29" i="60" s="1"/>
  <c r="X18" i="60"/>
  <c r="X20" i="60" s="1"/>
  <c r="Y14" i="60"/>
  <c r="U63" i="61"/>
  <c r="U49" i="60"/>
  <c r="U67" i="61"/>
  <c r="U52" i="60"/>
  <c r="U54" i="60" s="1"/>
  <c r="V39" i="60"/>
  <c r="V40" i="60" s="1"/>
  <c r="V41" i="60" s="1"/>
  <c r="V43" i="60" s="1"/>
  <c r="W54" i="58"/>
  <c r="W53" i="58"/>
  <c r="W55" i="58"/>
  <c r="AA26" i="58"/>
  <c r="AA32" i="58"/>
  <c r="AA27" i="58"/>
  <c r="AB18" i="58"/>
  <c r="AB20" i="58" s="1"/>
  <c r="AC14" i="58"/>
  <c r="X56" i="58"/>
  <c r="X61" i="61"/>
  <c r="Y41" i="58"/>
  <c r="Y40" i="58"/>
  <c r="Y42" i="58"/>
  <c r="Y46" i="58" s="1"/>
  <c r="Y47" i="58" s="1"/>
  <c r="Y48" i="58" s="1"/>
  <c r="Y50" i="58" s="1"/>
  <c r="Y39" i="58"/>
  <c r="AA31" i="58"/>
  <c r="AA30" i="58"/>
  <c r="Z35" i="58"/>
  <c r="Z34" i="58"/>
  <c r="X65" i="61"/>
  <c r="X59" i="58"/>
  <c r="X61" i="58" s="1"/>
  <c r="U55" i="59"/>
  <c r="U53" i="59"/>
  <c r="U54" i="59"/>
  <c r="V42" i="59"/>
  <c r="W26" i="59"/>
  <c r="V29" i="70" s="1"/>
  <c r="W32" i="59"/>
  <c r="W27" i="59"/>
  <c r="V30" i="70" s="1"/>
  <c r="W30" i="59"/>
  <c r="V32" i="70" s="1"/>
  <c r="W31" i="59"/>
  <c r="V33" i="70" s="1"/>
  <c r="T70" i="61"/>
  <c r="T71" i="61"/>
  <c r="T69" i="61"/>
  <c r="Y14" i="59"/>
  <c r="X18" i="59"/>
  <c r="X20" i="59" s="1"/>
  <c r="U66" i="68"/>
  <c r="U59" i="64"/>
  <c r="U61" i="64" s="1"/>
  <c r="V43" i="64"/>
  <c r="X28" i="64"/>
  <c r="X21" i="64"/>
  <c r="X22" i="64" s="1"/>
  <c r="U62" i="68"/>
  <c r="U56" i="64"/>
  <c r="W34" i="64"/>
  <c r="V54" i="70" s="1"/>
  <c r="V57" i="70" s="1"/>
  <c r="W35" i="64"/>
  <c r="V55" i="70" s="1"/>
  <c r="V60" i="70" s="1"/>
  <c r="Y15" i="64"/>
  <c r="Y16" i="64" s="1"/>
  <c r="V36" i="65"/>
  <c r="V40" i="65" s="1"/>
  <c r="T69" i="69"/>
  <c r="T71" i="69"/>
  <c r="T70" i="69"/>
  <c r="U53" i="65"/>
  <c r="U55" i="65"/>
  <c r="U54" i="65"/>
  <c r="W26" i="65"/>
  <c r="V67" i="70" s="1"/>
  <c r="W32" i="65"/>
  <c r="W27" i="65"/>
  <c r="V68" i="70" s="1"/>
  <c r="X18" i="65"/>
  <c r="X20" i="65" s="1"/>
  <c r="Y14" i="65"/>
  <c r="W30" i="65"/>
  <c r="V70" i="70" s="1"/>
  <c r="W31" i="65"/>
  <c r="V71" i="70" s="1"/>
  <c r="Y28" i="40"/>
  <c r="Y21" i="40"/>
  <c r="Y22" i="40" s="1"/>
  <c r="W43" i="40"/>
  <c r="X35" i="40"/>
  <c r="W17" i="70" s="1"/>
  <c r="W22" i="70" s="1"/>
  <c r="X34" i="40"/>
  <c r="W16" i="70" s="1"/>
  <c r="W19" i="70" s="1"/>
  <c r="Z15" i="40"/>
  <c r="Z16" i="40" s="1"/>
  <c r="W46" i="40"/>
  <c r="W47" i="40" s="1"/>
  <c r="W48" i="40" s="1"/>
  <c r="W50" i="40" s="1"/>
  <c r="V66" i="42"/>
  <c r="V59" i="40"/>
  <c r="V61" i="40" s="1"/>
  <c r="V56" i="40"/>
  <c r="V62" i="42"/>
  <c r="W27" i="13"/>
  <c r="W32" i="13"/>
  <c r="W26" i="13"/>
  <c r="X18" i="13"/>
  <c r="X20" i="13" s="1"/>
  <c r="Y14" i="13"/>
  <c r="U53" i="13"/>
  <c r="U54" i="13"/>
  <c r="U55" i="13"/>
  <c r="T70" i="42"/>
  <c r="T71" i="42"/>
  <c r="T69" i="42"/>
  <c r="W31" i="13"/>
  <c r="W30" i="13"/>
  <c r="V39" i="59" l="1"/>
  <c r="V40" i="59"/>
  <c r="V43" i="59" s="1"/>
  <c r="Z41" i="62"/>
  <c r="Z40" i="62"/>
  <c r="Z39" i="62"/>
  <c r="Z42" i="62"/>
  <c r="Y56" i="62"/>
  <c r="Y61" i="68"/>
  <c r="Y65" i="68"/>
  <c r="Y59" i="62"/>
  <c r="Y61" i="62" s="1"/>
  <c r="AA34" i="62"/>
  <c r="AA36" i="62" s="1"/>
  <c r="AA35" i="62"/>
  <c r="AC15" i="62"/>
  <c r="AC16" i="62" s="1"/>
  <c r="AB21" i="62"/>
  <c r="AB22" i="62" s="1"/>
  <c r="AB28" i="62"/>
  <c r="V41" i="13"/>
  <c r="V42" i="13"/>
  <c r="V39" i="13"/>
  <c r="V39" i="65"/>
  <c r="V42" i="65"/>
  <c r="V43" i="65" s="1"/>
  <c r="X36" i="40"/>
  <c r="X40" i="40" s="1"/>
  <c r="X26" i="69"/>
  <c r="X28" i="69"/>
  <c r="X27" i="69"/>
  <c r="X32" i="69"/>
  <c r="W41" i="69"/>
  <c r="W39" i="69"/>
  <c r="W42" i="69"/>
  <c r="W46" i="69" s="1"/>
  <c r="W48" i="69" s="1"/>
  <c r="W40" i="69"/>
  <c r="Y18" i="69"/>
  <c r="Y20" i="69" s="1"/>
  <c r="Z14" i="69"/>
  <c r="V54" i="69"/>
  <c r="W35" i="67"/>
  <c r="W33" i="67"/>
  <c r="W34" i="67"/>
  <c r="W32" i="67"/>
  <c r="W36" i="67" s="1"/>
  <c r="V46" i="67"/>
  <c r="V48" i="67"/>
  <c r="V47" i="67"/>
  <c r="Y15" i="67"/>
  <c r="Y16" i="67" s="1"/>
  <c r="X21" i="67"/>
  <c r="X22" i="67"/>
  <c r="V41" i="65"/>
  <c r="W55" i="63"/>
  <c r="W54" i="63"/>
  <c r="W53" i="63"/>
  <c r="X61" i="69"/>
  <c r="X56" i="63"/>
  <c r="Y39" i="63"/>
  <c r="Y40" i="63"/>
  <c r="Y42" i="63"/>
  <c r="Y46" i="63" s="1"/>
  <c r="Y47" i="63" s="1"/>
  <c r="Y48" i="63" s="1"/>
  <c r="Y50" i="63" s="1"/>
  <c r="Y41" i="63"/>
  <c r="Z34" i="63"/>
  <c r="Z35" i="63"/>
  <c r="X65" i="69"/>
  <c r="X59" i="63"/>
  <c r="X61" i="63" s="1"/>
  <c r="AA28" i="63"/>
  <c r="AA21" i="63"/>
  <c r="AA22" i="63" s="1"/>
  <c r="AB15" i="63"/>
  <c r="AB16" i="63"/>
  <c r="W30" i="61"/>
  <c r="W36" i="61" s="1"/>
  <c r="W31" i="61"/>
  <c r="W35" i="61"/>
  <c r="W34" i="61"/>
  <c r="Y15" i="61"/>
  <c r="Y16" i="61"/>
  <c r="V43" i="61"/>
  <c r="X21" i="61"/>
  <c r="X22" i="61"/>
  <c r="V51" i="61"/>
  <c r="V54" i="61" s="1"/>
  <c r="V53" i="61"/>
  <c r="V57" i="61" s="1"/>
  <c r="V52" i="61"/>
  <c r="W35" i="60"/>
  <c r="W34" i="60"/>
  <c r="W32" i="60"/>
  <c r="W33" i="60"/>
  <c r="V46" i="60"/>
  <c r="V48" i="60"/>
  <c r="V47" i="60"/>
  <c r="Y16" i="60"/>
  <c r="Y15" i="60"/>
  <c r="X21" i="60"/>
  <c r="X22" i="60" s="1"/>
  <c r="AC15" i="58"/>
  <c r="AC16" i="58"/>
  <c r="AB21" i="58"/>
  <c r="AB22" i="58" s="1"/>
  <c r="AB28" i="58"/>
  <c r="W59" i="58"/>
  <c r="W61" i="58" s="1"/>
  <c r="W65" i="61"/>
  <c r="Z36" i="58"/>
  <c r="Y43" i="58"/>
  <c r="W61" i="61"/>
  <c r="W56" i="58"/>
  <c r="Y54" i="58"/>
  <c r="Y55" i="58"/>
  <c r="Y53" i="58"/>
  <c r="AA35" i="58"/>
  <c r="AA34" i="58"/>
  <c r="V46" i="59"/>
  <c r="V47" i="59" s="1"/>
  <c r="V48" i="59" s="1"/>
  <c r="V50" i="59" s="1"/>
  <c r="X21" i="59"/>
  <c r="X22" i="59" s="1"/>
  <c r="X28" i="59"/>
  <c r="W35" i="59"/>
  <c r="V36" i="70" s="1"/>
  <c r="V41" i="70" s="1"/>
  <c r="W34" i="59"/>
  <c r="U62" i="61"/>
  <c r="U56" i="59"/>
  <c r="Y15" i="59"/>
  <c r="Y16" i="59" s="1"/>
  <c r="U66" i="61"/>
  <c r="U59" i="59"/>
  <c r="U61" i="59" s="1"/>
  <c r="W36" i="64"/>
  <c r="W40" i="64" s="1"/>
  <c r="Z14" i="64"/>
  <c r="Y18" i="64"/>
  <c r="Y20" i="64" s="1"/>
  <c r="V55" i="64"/>
  <c r="V54" i="64"/>
  <c r="V53" i="64"/>
  <c r="X30" i="64"/>
  <c r="W51" i="70" s="1"/>
  <c r="X31" i="64"/>
  <c r="W52" i="70" s="1"/>
  <c r="U70" i="68"/>
  <c r="U71" i="68"/>
  <c r="U69" i="68"/>
  <c r="W41" i="64"/>
  <c r="W42" i="64"/>
  <c r="X26" i="64"/>
  <c r="W48" i="70" s="1"/>
  <c r="X27" i="64"/>
  <c r="W49" i="70" s="1"/>
  <c r="X32" i="64"/>
  <c r="U62" i="69"/>
  <c r="U56" i="65"/>
  <c r="X21" i="65"/>
  <c r="X22" i="65" s="1"/>
  <c r="X28" i="65"/>
  <c r="Y15" i="65"/>
  <c r="Y16" i="65" s="1"/>
  <c r="W35" i="65"/>
  <c r="V74" i="70" s="1"/>
  <c r="V79" i="70" s="1"/>
  <c r="W34" i="65"/>
  <c r="V73" i="70" s="1"/>
  <c r="V76" i="70" s="1"/>
  <c r="U66" i="69"/>
  <c r="U59" i="65"/>
  <c r="U61" i="65" s="1"/>
  <c r="X42" i="40"/>
  <c r="AA14" i="40"/>
  <c r="Z18" i="40"/>
  <c r="Z20" i="40" s="1"/>
  <c r="Y32" i="40"/>
  <c r="Y27" i="40"/>
  <c r="X11" i="70" s="1"/>
  <c r="Y26" i="40"/>
  <c r="X10" i="70" s="1"/>
  <c r="W53" i="40"/>
  <c r="W54" i="40"/>
  <c r="W55" i="40"/>
  <c r="Y30" i="40"/>
  <c r="X13" i="70" s="1"/>
  <c r="Y31" i="40"/>
  <c r="X14" i="70" s="1"/>
  <c r="U56" i="13"/>
  <c r="U61" i="42"/>
  <c r="Y15" i="13"/>
  <c r="Y16" i="13" s="1"/>
  <c r="W35" i="13"/>
  <c r="W34" i="13"/>
  <c r="V46" i="13"/>
  <c r="V47" i="13" s="1"/>
  <c r="V48" i="13" s="1"/>
  <c r="V50" i="13" s="1"/>
  <c r="U65" i="42"/>
  <c r="U59" i="13"/>
  <c r="U61" i="13" s="1"/>
  <c r="X28" i="13"/>
  <c r="X21" i="13"/>
  <c r="X22" i="13" s="1"/>
  <c r="W36" i="59" l="1"/>
  <c r="W40" i="59" s="1"/>
  <c r="V35" i="70"/>
  <c r="V38" i="70" s="1"/>
  <c r="X41" i="40"/>
  <c r="Z36" i="63"/>
  <c r="AA36" i="58"/>
  <c r="V46" i="65"/>
  <c r="V47" i="65" s="1"/>
  <c r="V48" i="65" s="1"/>
  <c r="V50" i="65" s="1"/>
  <c r="V55" i="65" s="1"/>
  <c r="W39" i="64"/>
  <c r="W43" i="64" s="1"/>
  <c r="X39" i="40"/>
  <c r="AD14" i="62"/>
  <c r="AC18" i="62"/>
  <c r="AC20" i="62" s="1"/>
  <c r="Z46" i="62"/>
  <c r="Z47" i="62" s="1"/>
  <c r="Z48" i="62" s="1"/>
  <c r="Z50" i="62" s="1"/>
  <c r="Z43" i="62"/>
  <c r="AB30" i="62"/>
  <c r="AB31" i="62"/>
  <c r="AB32" i="62"/>
  <c r="AB26" i="62"/>
  <c r="AB27" i="62"/>
  <c r="AA40" i="62"/>
  <c r="AA41" i="62"/>
  <c r="AA42" i="62"/>
  <c r="AA46" i="62" s="1"/>
  <c r="AA47" i="62" s="1"/>
  <c r="AA48" i="62" s="1"/>
  <c r="AA50" i="62" s="1"/>
  <c r="AA39" i="62"/>
  <c r="V43" i="13"/>
  <c r="W36" i="13"/>
  <c r="W40" i="13" s="1"/>
  <c r="W36" i="65"/>
  <c r="W42" i="65" s="1"/>
  <c r="W51" i="69"/>
  <c r="W54" i="69" s="1"/>
  <c r="W53" i="69"/>
  <c r="W57" i="69" s="1"/>
  <c r="W52" i="69"/>
  <c r="Z15" i="69"/>
  <c r="Z16" i="69"/>
  <c r="W43" i="69"/>
  <c r="Y21" i="69"/>
  <c r="Y22" i="69" s="1"/>
  <c r="X31" i="69"/>
  <c r="X30" i="69"/>
  <c r="X36" i="69" s="1"/>
  <c r="X35" i="69"/>
  <c r="X34" i="69"/>
  <c r="Y18" i="67"/>
  <c r="Y20" i="67" s="1"/>
  <c r="Z14" i="67"/>
  <c r="X27" i="67"/>
  <c r="X28" i="67" s="1"/>
  <c r="X29" i="67"/>
  <c r="X25" i="67"/>
  <c r="X26" i="67"/>
  <c r="V67" i="69"/>
  <c r="V52" i="67"/>
  <c r="V54" i="67" s="1"/>
  <c r="V49" i="67"/>
  <c r="V63" i="69"/>
  <c r="W39" i="67"/>
  <c r="W40" i="67" s="1"/>
  <c r="W41" i="67"/>
  <c r="W43" i="67" s="1"/>
  <c r="AA32" i="63"/>
  <c r="AA26" i="63"/>
  <c r="AA27" i="63"/>
  <c r="AA30" i="63"/>
  <c r="AA31" i="63"/>
  <c r="W56" i="63"/>
  <c r="W61" i="69"/>
  <c r="AB18" i="63"/>
  <c r="AB20" i="63" s="1"/>
  <c r="AC14" i="63"/>
  <c r="AC15" i="63" s="1"/>
  <c r="AC16" i="63" s="1"/>
  <c r="Z39" i="63"/>
  <c r="Z42" i="63"/>
  <c r="Z41" i="63"/>
  <c r="Z40" i="63"/>
  <c r="Y43" i="63"/>
  <c r="Y55" i="63"/>
  <c r="Y53" i="63"/>
  <c r="Y54" i="63"/>
  <c r="W65" i="69"/>
  <c r="W59" i="63"/>
  <c r="W61" i="63" s="1"/>
  <c r="W42" i="61"/>
  <c r="W46" i="61" s="1"/>
  <c r="W48" i="61" s="1"/>
  <c r="W40" i="61"/>
  <c r="W39" i="61"/>
  <c r="W41" i="61"/>
  <c r="Y18" i="61"/>
  <c r="Y20" i="61" s="1"/>
  <c r="Z14" i="61"/>
  <c r="X27" i="61"/>
  <c r="X28" i="61"/>
  <c r="X26" i="61"/>
  <c r="X32" i="61"/>
  <c r="X25" i="60"/>
  <c r="X26" i="60"/>
  <c r="X27" i="60"/>
  <c r="X28" i="60" s="1"/>
  <c r="X29" i="60" s="1"/>
  <c r="W36" i="60"/>
  <c r="Y18" i="60"/>
  <c r="Y20" i="60" s="1"/>
  <c r="Z14" i="60"/>
  <c r="V67" i="61"/>
  <c r="V52" i="60"/>
  <c r="V54" i="60" s="1"/>
  <c r="V63" i="61"/>
  <c r="V49" i="60"/>
  <c r="W41" i="60"/>
  <c r="W43" i="60" s="1"/>
  <c r="W39" i="60"/>
  <c r="W40" i="60" s="1"/>
  <c r="Y65" i="61"/>
  <c r="Y59" i="58"/>
  <c r="Y61" i="58" s="1"/>
  <c r="AB31" i="58"/>
  <c r="AB30" i="58"/>
  <c r="AA41" i="58"/>
  <c r="AA40" i="58"/>
  <c r="AA42" i="58"/>
  <c r="AA46" i="58" s="1"/>
  <c r="AA47" i="58" s="1"/>
  <c r="AA48" i="58" s="1"/>
  <c r="AA50" i="58" s="1"/>
  <c r="AA39" i="58"/>
  <c r="Z41" i="58"/>
  <c r="Z40" i="58"/>
  <c r="Z39" i="58"/>
  <c r="Z42" i="58"/>
  <c r="Z46" i="58" s="1"/>
  <c r="Z47" i="58" s="1"/>
  <c r="Z48" i="58" s="1"/>
  <c r="Z50" i="58" s="1"/>
  <c r="AB26" i="58"/>
  <c r="AB27" i="58"/>
  <c r="AB32" i="58"/>
  <c r="AC18" i="58"/>
  <c r="AC20" i="58" s="1"/>
  <c r="AD14" i="58"/>
  <c r="AD15" i="58" s="1"/>
  <c r="AD16" i="58" s="1"/>
  <c r="Y61" i="61"/>
  <c r="Y56" i="58"/>
  <c r="X32" i="59"/>
  <c r="X26" i="59"/>
  <c r="W29" i="70" s="1"/>
  <c r="X27" i="59"/>
  <c r="W30" i="70" s="1"/>
  <c r="Z14" i="59"/>
  <c r="Y18" i="59"/>
  <c r="Y20" i="59" s="1"/>
  <c r="W42" i="59"/>
  <c r="W39" i="59"/>
  <c r="V53" i="59"/>
  <c r="V54" i="59"/>
  <c r="V55" i="59"/>
  <c r="U70" i="61"/>
  <c r="U69" i="61"/>
  <c r="U71" i="61"/>
  <c r="X30" i="59"/>
  <c r="W32" i="70" s="1"/>
  <c r="X31" i="59"/>
  <c r="W33" i="70" s="1"/>
  <c r="V66" i="68"/>
  <c r="V59" i="64"/>
  <c r="V61" i="64" s="1"/>
  <c r="X34" i="64"/>
  <c r="W54" i="70" s="1"/>
  <c r="W57" i="70" s="1"/>
  <c r="X35" i="64"/>
  <c r="W55" i="70" s="1"/>
  <c r="W60" i="70" s="1"/>
  <c r="Y21" i="64"/>
  <c r="Y22" i="64" s="1"/>
  <c r="Y28" i="64"/>
  <c r="W46" i="64"/>
  <c r="W47" i="64" s="1"/>
  <c r="W48" i="64"/>
  <c r="W50" i="64" s="1"/>
  <c r="V62" i="68"/>
  <c r="V56" i="64"/>
  <c r="Z15" i="64"/>
  <c r="Z16" i="64"/>
  <c r="V53" i="65"/>
  <c r="V54" i="65"/>
  <c r="X26" i="65"/>
  <c r="W67" i="70" s="1"/>
  <c r="X27" i="65"/>
  <c r="W68" i="70" s="1"/>
  <c r="X32" i="65"/>
  <c r="Z14" i="65"/>
  <c r="Y18" i="65"/>
  <c r="Y20" i="65" s="1"/>
  <c r="X31" i="65"/>
  <c r="W71" i="70" s="1"/>
  <c r="X30" i="65"/>
  <c r="W70" i="70" s="1"/>
  <c r="U71" i="69"/>
  <c r="U69" i="69"/>
  <c r="U70" i="69"/>
  <c r="W56" i="40"/>
  <c r="W62" i="42"/>
  <c r="Y35" i="40"/>
  <c r="X17" i="70" s="1"/>
  <c r="X22" i="70" s="1"/>
  <c r="Y34" i="40"/>
  <c r="X16" i="70" s="1"/>
  <c r="X19" i="70" s="1"/>
  <c r="X43" i="40"/>
  <c r="Z28" i="40"/>
  <c r="Z21" i="40"/>
  <c r="Z22" i="40" s="1"/>
  <c r="W66" i="42"/>
  <c r="W59" i="40"/>
  <c r="W61" i="40" s="1"/>
  <c r="AA15" i="40"/>
  <c r="AA16" i="40" s="1"/>
  <c r="X46" i="40"/>
  <c r="X47" i="40" s="1"/>
  <c r="X48" i="40" s="1"/>
  <c r="X50" i="40" s="1"/>
  <c r="X27" i="13"/>
  <c r="X32" i="13"/>
  <c r="X26" i="13"/>
  <c r="V55" i="13"/>
  <c r="V53" i="13"/>
  <c r="V54" i="13"/>
  <c r="W39" i="13"/>
  <c r="W42" i="13"/>
  <c r="X30" i="13"/>
  <c r="X31" i="13"/>
  <c r="U71" i="42"/>
  <c r="U70" i="42"/>
  <c r="U69" i="42"/>
  <c r="Y18" i="13"/>
  <c r="Y20" i="13" s="1"/>
  <c r="Z14" i="13"/>
  <c r="W41" i="65" l="1"/>
  <c r="W41" i="59"/>
  <c r="W43" i="59" s="1"/>
  <c r="Z43" i="58"/>
  <c r="W39" i="65"/>
  <c r="W43" i="65" s="1"/>
  <c r="W40" i="65"/>
  <c r="AB34" i="62"/>
  <c r="AB36" i="62" s="1"/>
  <c r="AB35" i="62"/>
  <c r="AA43" i="62"/>
  <c r="AC22" i="62"/>
  <c r="AC28" i="62"/>
  <c r="AC21" i="62"/>
  <c r="Z53" i="62"/>
  <c r="Z55" i="62"/>
  <c r="Z54" i="62"/>
  <c r="AA54" i="62"/>
  <c r="AA53" i="62"/>
  <c r="AA55" i="62"/>
  <c r="AD15" i="62"/>
  <c r="AD16" i="62" s="1"/>
  <c r="W41" i="13"/>
  <c r="Y36" i="40"/>
  <c r="Y40" i="40" s="1"/>
  <c r="Y27" i="69"/>
  <c r="Y28" i="69"/>
  <c r="Y26" i="69"/>
  <c r="Y32" i="69"/>
  <c r="X41" i="69"/>
  <c r="X42" i="69"/>
  <c r="X46" i="69" s="1"/>
  <c r="X48" i="69" s="1"/>
  <c r="X39" i="69"/>
  <c r="X43" i="69" s="1"/>
  <c r="X40" i="69"/>
  <c r="Z18" i="69"/>
  <c r="Z20" i="69" s="1"/>
  <c r="AA14" i="69"/>
  <c r="X35" i="67"/>
  <c r="X34" i="67"/>
  <c r="X33" i="67"/>
  <c r="X32" i="67"/>
  <c r="X36" i="67" s="1"/>
  <c r="Z15" i="67"/>
  <c r="Z16" i="67"/>
  <c r="W46" i="67"/>
  <c r="W48" i="67"/>
  <c r="W47" i="67"/>
  <c r="Y21" i="67"/>
  <c r="Y22" i="67"/>
  <c r="Y59" i="63"/>
  <c r="Y61" i="63" s="1"/>
  <c r="Y65" i="69"/>
  <c r="Z46" i="63"/>
  <c r="Z47" i="63" s="1"/>
  <c r="Z48" i="63" s="1"/>
  <c r="Z50" i="63" s="1"/>
  <c r="Y61" i="69"/>
  <c r="Y56" i="63"/>
  <c r="Z43" i="63"/>
  <c r="AB28" i="63"/>
  <c r="AB21" i="63"/>
  <c r="AB22" i="63" s="1"/>
  <c r="AD14" i="63"/>
  <c r="AD15" i="63" s="1"/>
  <c r="AD16" i="63" s="1"/>
  <c r="AC18" i="63"/>
  <c r="AC20" i="63" s="1"/>
  <c r="AA35" i="63"/>
  <c r="AA34" i="63"/>
  <c r="X35" i="61"/>
  <c r="X34" i="61"/>
  <c r="W43" i="61"/>
  <c r="Z15" i="61"/>
  <c r="Z16" i="61" s="1"/>
  <c r="X30" i="61"/>
  <c r="X36" i="61" s="1"/>
  <c r="X31" i="61"/>
  <c r="Y21" i="61"/>
  <c r="Y22" i="61" s="1"/>
  <c r="W51" i="61"/>
  <c r="W53" i="61"/>
  <c r="W57" i="61" s="1"/>
  <c r="W52" i="61"/>
  <c r="X35" i="60"/>
  <c r="X34" i="60"/>
  <c r="X32" i="60"/>
  <c r="X33" i="60"/>
  <c r="Z15" i="60"/>
  <c r="Z16" i="60"/>
  <c r="Y21" i="60"/>
  <c r="Y22" i="60" s="1"/>
  <c r="W46" i="60"/>
  <c r="W48" i="60"/>
  <c r="W47" i="60"/>
  <c r="AC21" i="58"/>
  <c r="AC22" i="58" s="1"/>
  <c r="AC28" i="58"/>
  <c r="Z55" i="58"/>
  <c r="Z54" i="58"/>
  <c r="Z53" i="58"/>
  <c r="AA43" i="58"/>
  <c r="AB35" i="58"/>
  <c r="AB34" i="58"/>
  <c r="AA54" i="58"/>
  <c r="AA53" i="58"/>
  <c r="AA55" i="58"/>
  <c r="AE14" i="58"/>
  <c r="AE15" i="58" s="1"/>
  <c r="AE16" i="58" s="1"/>
  <c r="AD18" i="58"/>
  <c r="AD20" i="58" s="1"/>
  <c r="V62" i="61"/>
  <c r="V56" i="59"/>
  <c r="W46" i="59"/>
  <c r="W47" i="59" s="1"/>
  <c r="W48" i="59" s="1"/>
  <c r="W50" i="59" s="1"/>
  <c r="Y21" i="59"/>
  <c r="Y22" i="59" s="1"/>
  <c r="Y28" i="59"/>
  <c r="V66" i="61"/>
  <c r="V59" i="59"/>
  <c r="V61" i="59" s="1"/>
  <c r="Z15" i="59"/>
  <c r="Z16" i="59" s="1"/>
  <c r="X34" i="59"/>
  <c r="W35" i="70" s="1"/>
  <c r="W38" i="70" s="1"/>
  <c r="X35" i="59"/>
  <c r="W36" i="70" s="1"/>
  <c r="W41" i="70" s="1"/>
  <c r="X36" i="64"/>
  <c r="X40" i="64" s="1"/>
  <c r="Y32" i="64"/>
  <c r="Y27" i="64"/>
  <c r="X49" i="70" s="1"/>
  <c r="Y26" i="64"/>
  <c r="X48" i="70" s="1"/>
  <c r="Y30" i="64"/>
  <c r="X51" i="70" s="1"/>
  <c r="Y31" i="64"/>
  <c r="X52" i="70" s="1"/>
  <c r="V69" i="68"/>
  <c r="V70" i="68"/>
  <c r="V71" i="68"/>
  <c r="W54" i="64"/>
  <c r="W55" i="64"/>
  <c r="W53" i="64"/>
  <c r="AA14" i="64"/>
  <c r="Z18" i="64"/>
  <c r="Z20" i="64" s="1"/>
  <c r="W46" i="65"/>
  <c r="W47" i="65" s="1"/>
  <c r="W48" i="65" s="1"/>
  <c r="W50" i="65" s="1"/>
  <c r="Z15" i="65"/>
  <c r="Z16" i="65" s="1"/>
  <c r="X34" i="65"/>
  <c r="W73" i="70" s="1"/>
  <c r="W76" i="70" s="1"/>
  <c r="X35" i="65"/>
  <c r="W74" i="70" s="1"/>
  <c r="W79" i="70" s="1"/>
  <c r="V66" i="69"/>
  <c r="V59" i="65"/>
  <c r="V61" i="65" s="1"/>
  <c r="Y21" i="65"/>
  <c r="Y22" i="65" s="1"/>
  <c r="Y28" i="65"/>
  <c r="V62" i="69"/>
  <c r="V56" i="65"/>
  <c r="Y41" i="40"/>
  <c r="AB14" i="40"/>
  <c r="AA18" i="40"/>
  <c r="AA20" i="40" s="1"/>
  <c r="Z30" i="40"/>
  <c r="Y13" i="70" s="1"/>
  <c r="Z31" i="40"/>
  <c r="Y14" i="70" s="1"/>
  <c r="X55" i="40"/>
  <c r="X53" i="40"/>
  <c r="X54" i="40"/>
  <c r="Z27" i="40"/>
  <c r="Y11" i="70" s="1"/>
  <c r="Z32" i="40"/>
  <c r="Z26" i="40"/>
  <c r="Y10" i="70" s="1"/>
  <c r="W46" i="13"/>
  <c r="W47" i="13" s="1"/>
  <c r="W48" i="13" s="1"/>
  <c r="W50" i="13" s="1"/>
  <c r="X34" i="13"/>
  <c r="X35" i="13"/>
  <c r="Z15" i="13"/>
  <c r="Z16" i="13" s="1"/>
  <c r="W43" i="13"/>
  <c r="V61" i="42"/>
  <c r="V56" i="13"/>
  <c r="Y28" i="13"/>
  <c r="Y21" i="13"/>
  <c r="Y22" i="13" s="1"/>
  <c r="V65" i="42"/>
  <c r="V59" i="13"/>
  <c r="V61" i="13" s="1"/>
  <c r="X41" i="64" l="1"/>
  <c r="X42" i="64"/>
  <c r="X46" i="64" s="1"/>
  <c r="X47" i="64" s="1"/>
  <c r="X48" i="64" s="1"/>
  <c r="X50" i="64" s="1"/>
  <c r="Y39" i="40"/>
  <c r="Y42" i="40"/>
  <c r="Y46" i="40" s="1"/>
  <c r="Y47" i="40" s="1"/>
  <c r="Y48" i="40" s="1"/>
  <c r="Y50" i="40" s="1"/>
  <c r="AD18" i="62"/>
  <c r="AD20" i="62" s="1"/>
  <c r="AE14" i="62"/>
  <c r="AC26" i="62"/>
  <c r="AC32" i="62"/>
  <c r="AC27" i="62"/>
  <c r="AA56" i="62"/>
  <c r="AA61" i="68"/>
  <c r="Z61" i="68"/>
  <c r="Z56" i="62"/>
  <c r="AA59" i="62"/>
  <c r="AA61" i="62" s="1"/>
  <c r="AA65" i="68"/>
  <c r="Z65" i="68"/>
  <c r="Z59" i="62"/>
  <c r="Z61" i="62" s="1"/>
  <c r="AC31" i="62"/>
  <c r="AC30" i="62"/>
  <c r="AB41" i="62"/>
  <c r="AB39" i="62"/>
  <c r="AB40" i="62"/>
  <c r="AB42" i="62"/>
  <c r="X36" i="59"/>
  <c r="X42" i="59" s="1"/>
  <c r="X39" i="64"/>
  <c r="X43" i="64" s="1"/>
  <c r="Y34" i="69"/>
  <c r="Y35" i="69"/>
  <c r="AA15" i="69"/>
  <c r="AA16" i="69"/>
  <c r="X51" i="69"/>
  <c r="X53" i="69"/>
  <c r="X57" i="69" s="1"/>
  <c r="X52" i="69"/>
  <c r="Z21" i="69"/>
  <c r="Z22" i="69" s="1"/>
  <c r="Y30" i="69"/>
  <c r="Y36" i="69" s="1"/>
  <c r="Y31" i="69"/>
  <c r="Z18" i="67"/>
  <c r="Z20" i="67" s="1"/>
  <c r="AA14" i="67"/>
  <c r="W67" i="69"/>
  <c r="W52" i="67"/>
  <c r="W54" i="67" s="1"/>
  <c r="Y27" i="67"/>
  <c r="Y28" i="67" s="1"/>
  <c r="Y25" i="67"/>
  <c r="Y29" i="67"/>
  <c r="Y26" i="67"/>
  <c r="W63" i="69"/>
  <c r="W49" i="67"/>
  <c r="X39" i="67"/>
  <c r="X40" i="67" s="1"/>
  <c r="X41" i="67" s="1"/>
  <c r="X43" i="67" s="1"/>
  <c r="AC28" i="63"/>
  <c r="AC21" i="63"/>
  <c r="AC22" i="63" s="1"/>
  <c r="AB30" i="63"/>
  <c r="AB31" i="63"/>
  <c r="AE14" i="63"/>
  <c r="AE15" i="63" s="1"/>
  <c r="AE16" i="63" s="1"/>
  <c r="AD18" i="63"/>
  <c r="AD20" i="63" s="1"/>
  <c r="Z53" i="63"/>
  <c r="Z55" i="63"/>
  <c r="Z54" i="63"/>
  <c r="AA36" i="63"/>
  <c r="AB26" i="63"/>
  <c r="AB27" i="63"/>
  <c r="AB32" i="63"/>
  <c r="Z18" i="61"/>
  <c r="Z20" i="61" s="1"/>
  <c r="AA14" i="61"/>
  <c r="Y28" i="61"/>
  <c r="Y26" i="61"/>
  <c r="Y27" i="61"/>
  <c r="Y32" i="61"/>
  <c r="W54" i="61"/>
  <c r="X42" i="61"/>
  <c r="X46" i="61" s="1"/>
  <c r="X48" i="61" s="1"/>
  <c r="X41" i="61"/>
  <c r="X40" i="61"/>
  <c r="X39" i="61"/>
  <c r="Y25" i="60"/>
  <c r="Y26" i="60"/>
  <c r="Y27" i="60"/>
  <c r="Y28" i="60" s="1"/>
  <c r="Y29" i="60" s="1"/>
  <c r="X36" i="60"/>
  <c r="W67" i="61"/>
  <c r="W52" i="60"/>
  <c r="W54" i="60" s="1"/>
  <c r="Z18" i="60"/>
  <c r="Z20" i="60" s="1"/>
  <c r="AA14" i="60"/>
  <c r="W63" i="61"/>
  <c r="W49" i="60"/>
  <c r="X39" i="60"/>
  <c r="X40" i="60" s="1"/>
  <c r="X41" i="60" s="1"/>
  <c r="X43" i="60" s="1"/>
  <c r="AA59" i="58"/>
  <c r="AA61" i="58" s="1"/>
  <c r="AA65" i="61"/>
  <c r="Z65" i="61"/>
  <c r="Z59" i="58"/>
  <c r="Z61" i="58" s="1"/>
  <c r="AA56" i="58"/>
  <c r="AA61" i="61"/>
  <c r="AC27" i="58"/>
  <c r="AC26" i="58"/>
  <c r="AC32" i="58"/>
  <c r="Z56" i="58"/>
  <c r="Z61" i="61"/>
  <c r="AC31" i="58"/>
  <c r="AC30" i="58"/>
  <c r="AD21" i="58"/>
  <c r="AD22" i="58" s="1"/>
  <c r="AD28" i="58"/>
  <c r="AF14" i="58"/>
  <c r="AE18" i="58"/>
  <c r="AE20" i="58" s="1"/>
  <c r="AB36" i="58"/>
  <c r="W53" i="59"/>
  <c r="W55" i="59"/>
  <c r="W54" i="59"/>
  <c r="Z18" i="59"/>
  <c r="Z20" i="59" s="1"/>
  <c r="AA14" i="59"/>
  <c r="Y27" i="59"/>
  <c r="X30" i="70" s="1"/>
  <c r="Y32" i="59"/>
  <c r="Y26" i="59"/>
  <c r="X29" i="70" s="1"/>
  <c r="Y30" i="59"/>
  <c r="X32" i="70" s="1"/>
  <c r="Y31" i="59"/>
  <c r="X33" i="70" s="1"/>
  <c r="V71" i="61"/>
  <c r="V69" i="61"/>
  <c r="V70" i="61"/>
  <c r="W62" i="68"/>
  <c r="W56" i="64"/>
  <c r="Z28" i="64"/>
  <c r="Z21" i="64"/>
  <c r="Z22" i="64" s="1"/>
  <c r="W66" i="68"/>
  <c r="W59" i="64"/>
  <c r="W61" i="64" s="1"/>
  <c r="AA15" i="64"/>
  <c r="AA16" i="64" s="1"/>
  <c r="Y34" i="64"/>
  <c r="X54" i="70" s="1"/>
  <c r="X57" i="70" s="1"/>
  <c r="Y35" i="64"/>
  <c r="X55" i="70" s="1"/>
  <c r="X60" i="70" s="1"/>
  <c r="X36" i="65"/>
  <c r="X42" i="65" s="1"/>
  <c r="AA14" i="65"/>
  <c r="Z18" i="65"/>
  <c r="Z20" i="65" s="1"/>
  <c r="W55" i="65"/>
  <c r="W54" i="65"/>
  <c r="W53" i="65"/>
  <c r="Y30" i="65"/>
  <c r="X70" i="70" s="1"/>
  <c r="Y31" i="65"/>
  <c r="X71" i="70" s="1"/>
  <c r="Y27" i="65"/>
  <c r="X68" i="70" s="1"/>
  <c r="Y32" i="65"/>
  <c r="Y26" i="65"/>
  <c r="X67" i="70" s="1"/>
  <c r="V71" i="69"/>
  <c r="V70" i="69"/>
  <c r="V69" i="69"/>
  <c r="Z35" i="40"/>
  <c r="Y17" i="70" s="1"/>
  <c r="Y22" i="70" s="1"/>
  <c r="Z34" i="40"/>
  <c r="Y16" i="70" s="1"/>
  <c r="Y19" i="70" s="1"/>
  <c r="X62" i="42"/>
  <c r="X56" i="40"/>
  <c r="Y43" i="40"/>
  <c r="AA28" i="40"/>
  <c r="AA21" i="40"/>
  <c r="AA22" i="40" s="1"/>
  <c r="X66" i="42"/>
  <c r="X59" i="40"/>
  <c r="X61" i="40" s="1"/>
  <c r="AB15" i="40"/>
  <c r="AB16" i="40" s="1"/>
  <c r="X36" i="13"/>
  <c r="X42" i="13" s="1"/>
  <c r="Y32" i="13"/>
  <c r="Y26" i="13"/>
  <c r="Y27" i="13"/>
  <c r="AA14" i="13"/>
  <c r="Z18" i="13"/>
  <c r="Z20" i="13" s="1"/>
  <c r="W54" i="13"/>
  <c r="W53" i="13"/>
  <c r="W55" i="13"/>
  <c r="Y31" i="13"/>
  <c r="Y30" i="13"/>
  <c r="V70" i="42"/>
  <c r="V71" i="42"/>
  <c r="V69" i="42"/>
  <c r="X41" i="59" l="1"/>
  <c r="X39" i="59"/>
  <c r="X40" i="59"/>
  <c r="AC34" i="62"/>
  <c r="AC35" i="62"/>
  <c r="AB43" i="62"/>
  <c r="AE15" i="62"/>
  <c r="AE16" i="62" s="1"/>
  <c r="AB46" i="62"/>
  <c r="AB47" i="62" s="1"/>
  <c r="AB48" i="62" s="1"/>
  <c r="AB50" i="62" s="1"/>
  <c r="AD28" i="62"/>
  <c r="AD21" i="62"/>
  <c r="AD22" i="62" s="1"/>
  <c r="X39" i="13"/>
  <c r="X41" i="13"/>
  <c r="X40" i="13"/>
  <c r="Z36" i="40"/>
  <c r="Z42" i="40" s="1"/>
  <c r="Z28" i="69"/>
  <c r="Z26" i="69"/>
  <c r="Z27" i="69"/>
  <c r="Z32" i="69"/>
  <c r="Y42" i="69"/>
  <c r="Y46" i="69" s="1"/>
  <c r="Y48" i="69" s="1"/>
  <c r="Y41" i="69"/>
  <c r="Y39" i="69"/>
  <c r="Y40" i="69"/>
  <c r="X54" i="69"/>
  <c r="AA18" i="69"/>
  <c r="AA20" i="69" s="1"/>
  <c r="AB14" i="69"/>
  <c r="X46" i="67"/>
  <c r="X47" i="67"/>
  <c r="X48" i="67"/>
  <c r="Y33" i="67"/>
  <c r="Y34" i="67"/>
  <c r="Y35" i="67"/>
  <c r="Y32" i="67"/>
  <c r="AA15" i="67"/>
  <c r="AA16" i="67" s="1"/>
  <c r="Z21" i="67"/>
  <c r="Z22" i="67"/>
  <c r="X41" i="65"/>
  <c r="X40" i="65"/>
  <c r="X39" i="65"/>
  <c r="AC26" i="63"/>
  <c r="AC27" i="63"/>
  <c r="AC32" i="63"/>
  <c r="AA40" i="63"/>
  <c r="AA39" i="63"/>
  <c r="AA41" i="63"/>
  <c r="AA42" i="63"/>
  <c r="AA46" i="63" s="1"/>
  <c r="AA47" i="63" s="1"/>
  <c r="AA48" i="63" s="1"/>
  <c r="AA50" i="63" s="1"/>
  <c r="AD28" i="63"/>
  <c r="AD21" i="63"/>
  <c r="AD22" i="63" s="1"/>
  <c r="AB34" i="63"/>
  <c r="AB35" i="63"/>
  <c r="AE18" i="63"/>
  <c r="AE20" i="63" s="1"/>
  <c r="AF14" i="63"/>
  <c r="Z61" i="69"/>
  <c r="Z56" i="63"/>
  <c r="Z59" i="63"/>
  <c r="Z61" i="63" s="1"/>
  <c r="Z65" i="69"/>
  <c r="AC31" i="63"/>
  <c r="AC30" i="63"/>
  <c r="X43" i="61"/>
  <c r="Y34" i="61"/>
  <c r="Y35" i="61"/>
  <c r="Y30" i="61"/>
  <c r="Y36" i="61" s="1"/>
  <c r="Y31" i="61"/>
  <c r="AA15" i="61"/>
  <c r="AA16" i="61" s="1"/>
  <c r="X51" i="61"/>
  <c r="X53" i="61"/>
  <c r="X57" i="61" s="1"/>
  <c r="X52" i="61"/>
  <c r="Z22" i="61"/>
  <c r="Z21" i="61"/>
  <c r="X46" i="60"/>
  <c r="X48" i="60"/>
  <c r="X47" i="60"/>
  <c r="Y35" i="60"/>
  <c r="Y33" i="60"/>
  <c r="Y34" i="60"/>
  <c r="Y32" i="60"/>
  <c r="AA16" i="60"/>
  <c r="AA15" i="60"/>
  <c r="Z22" i="60"/>
  <c r="Z21" i="60"/>
  <c r="AB40" i="58"/>
  <c r="AB41" i="58"/>
  <c r="AB39" i="58"/>
  <c r="AB42" i="58"/>
  <c r="AB46" i="58" s="1"/>
  <c r="AB47" i="58" s="1"/>
  <c r="AB48" i="58" s="1"/>
  <c r="AB50" i="58" s="1"/>
  <c r="AD31" i="58"/>
  <c r="AD30" i="58"/>
  <c r="AE28" i="58"/>
  <c r="AE21" i="58"/>
  <c r="AE22" i="58" s="1"/>
  <c r="AF15" i="58"/>
  <c r="AF16" i="58" s="1"/>
  <c r="AF18" i="58" s="1"/>
  <c r="AF20" i="58" s="1"/>
  <c r="AD26" i="58"/>
  <c r="AD32" i="58"/>
  <c r="AD27" i="58"/>
  <c r="AC34" i="58"/>
  <c r="AC36" i="58" s="1"/>
  <c r="AC35" i="58"/>
  <c r="Z21" i="59"/>
  <c r="Z22" i="59" s="1"/>
  <c r="Z28" i="59"/>
  <c r="Y34" i="59"/>
  <c r="X35" i="70" s="1"/>
  <c r="X38" i="70" s="1"/>
  <c r="Y35" i="59"/>
  <c r="X36" i="70" s="1"/>
  <c r="X41" i="70" s="1"/>
  <c r="W66" i="61"/>
  <c r="W59" i="59"/>
  <c r="W61" i="59" s="1"/>
  <c r="AA15" i="59"/>
  <c r="AA16" i="59" s="1"/>
  <c r="W62" i="61"/>
  <c r="W56" i="59"/>
  <c r="X46" i="59"/>
  <c r="X47" i="59" s="1"/>
  <c r="X48" i="59" s="1"/>
  <c r="X50" i="59" s="1"/>
  <c r="Y36" i="64"/>
  <c r="Y40" i="64" s="1"/>
  <c r="AB14" i="64"/>
  <c r="AA18" i="64"/>
  <c r="AA20" i="64" s="1"/>
  <c r="X55" i="64"/>
  <c r="X54" i="64"/>
  <c r="X53" i="64"/>
  <c r="Z26" i="64"/>
  <c r="Y48" i="70" s="1"/>
  <c r="Z32" i="64"/>
  <c r="Z27" i="64"/>
  <c r="Y49" i="70" s="1"/>
  <c r="W71" i="68"/>
  <c r="W70" i="68"/>
  <c r="W69" i="68"/>
  <c r="Z30" i="64"/>
  <c r="Y51" i="70" s="1"/>
  <c r="Z31" i="64"/>
  <c r="Y52" i="70" s="1"/>
  <c r="W59" i="65"/>
  <c r="W61" i="65" s="1"/>
  <c r="W66" i="69"/>
  <c r="Z21" i="65"/>
  <c r="Z22" i="65" s="1"/>
  <c r="Z28" i="65"/>
  <c r="Y34" i="65"/>
  <c r="X73" i="70" s="1"/>
  <c r="X76" i="70" s="1"/>
  <c r="Y35" i="65"/>
  <c r="X74" i="70" s="1"/>
  <c r="X79" i="70" s="1"/>
  <c r="W62" i="69"/>
  <c r="W56" i="65"/>
  <c r="AA15" i="65"/>
  <c r="AA16" i="65" s="1"/>
  <c r="X46" i="65"/>
  <c r="X47" i="65" s="1"/>
  <c r="X48" i="65" s="1"/>
  <c r="X50" i="65" s="1"/>
  <c r="Y55" i="40"/>
  <c r="Y53" i="40"/>
  <c r="Y54" i="40"/>
  <c r="AA32" i="40"/>
  <c r="AA27" i="40"/>
  <c r="Z11" i="70" s="1"/>
  <c r="AA26" i="40"/>
  <c r="Z10" i="70" s="1"/>
  <c r="AC14" i="40"/>
  <c r="AB18" i="40"/>
  <c r="AB20" i="40" s="1"/>
  <c r="AA31" i="40"/>
  <c r="Z14" i="70" s="1"/>
  <c r="AA30" i="40"/>
  <c r="Z13" i="70" s="1"/>
  <c r="W56" i="13"/>
  <c r="W61" i="42"/>
  <c r="Z28" i="13"/>
  <c r="Z21" i="13"/>
  <c r="Z22" i="13" s="1"/>
  <c r="W65" i="42"/>
  <c r="W59" i="13"/>
  <c r="W61" i="13" s="1"/>
  <c r="AA15" i="13"/>
  <c r="AA16" i="13" s="1"/>
  <c r="Y35" i="13"/>
  <c r="Y34" i="13"/>
  <c r="X46" i="13"/>
  <c r="X47" i="13" s="1"/>
  <c r="X48" i="13" s="1"/>
  <c r="X50" i="13" s="1"/>
  <c r="X43" i="59" l="1"/>
  <c r="Z40" i="40"/>
  <c r="Z41" i="40"/>
  <c r="AB43" i="58"/>
  <c r="Y39" i="64"/>
  <c r="Z39" i="40"/>
  <c r="AC36" i="62"/>
  <c r="AE18" i="62"/>
  <c r="AE20" i="62" s="1"/>
  <c r="AF14" i="62"/>
  <c r="AF15" i="62" s="1"/>
  <c r="AF16" i="62" s="1"/>
  <c r="AF18" i="62" s="1"/>
  <c r="AF20" i="62" s="1"/>
  <c r="AB55" i="62"/>
  <c r="AB53" i="62"/>
  <c r="AB54" i="62"/>
  <c r="AC42" i="62"/>
  <c r="AC46" i="62" s="1"/>
  <c r="AC47" i="62" s="1"/>
  <c r="AC48" i="62" s="1"/>
  <c r="AC50" i="62" s="1"/>
  <c r="AC41" i="62"/>
  <c r="AC39" i="62"/>
  <c r="AC40" i="62"/>
  <c r="AD27" i="62"/>
  <c r="AD26" i="62"/>
  <c r="AD32" i="62"/>
  <c r="AD31" i="62"/>
  <c r="AD30" i="62"/>
  <c r="X43" i="13"/>
  <c r="Y36" i="13"/>
  <c r="Y40" i="13" s="1"/>
  <c r="X43" i="65"/>
  <c r="Y36" i="59"/>
  <c r="Y39" i="59" s="1"/>
  <c r="Y41" i="64"/>
  <c r="Y42" i="64"/>
  <c r="Y46" i="64" s="1"/>
  <c r="Y47" i="64" s="1"/>
  <c r="Y48" i="64" s="1"/>
  <c r="Y50" i="64" s="1"/>
  <c r="AB16" i="69"/>
  <c r="AB15" i="69"/>
  <c r="Y43" i="69"/>
  <c r="AA21" i="69"/>
  <c r="AA22" i="69"/>
  <c r="Y53" i="69"/>
  <c r="Y57" i="69" s="1"/>
  <c r="Y51" i="69"/>
  <c r="Y52" i="69"/>
  <c r="Z34" i="69"/>
  <c r="Z35" i="69"/>
  <c r="Z30" i="69"/>
  <c r="Z36" i="69" s="1"/>
  <c r="Z31" i="69"/>
  <c r="AA18" i="67"/>
  <c r="AA20" i="67" s="1"/>
  <c r="AB14" i="67"/>
  <c r="Y36" i="67"/>
  <c r="Y39" i="67"/>
  <c r="Y40" i="67" s="1"/>
  <c r="Y41" i="67" s="1"/>
  <c r="Y43" i="67" s="1"/>
  <c r="Z27" i="67"/>
  <c r="Z28" i="67" s="1"/>
  <c r="Z25" i="67"/>
  <c r="Z29" i="67" s="1"/>
  <c r="Z26" i="67"/>
  <c r="X67" i="69"/>
  <c r="X52" i="67"/>
  <c r="X54" i="67" s="1"/>
  <c r="X63" i="69"/>
  <c r="X49" i="67"/>
  <c r="AB36" i="63"/>
  <c r="AC34" i="63"/>
  <c r="AC35" i="63"/>
  <c r="AC36" i="63" s="1"/>
  <c r="AF15" i="63"/>
  <c r="AF16" i="63" s="1"/>
  <c r="AF18" i="63" s="1"/>
  <c r="AF20" i="63" s="1"/>
  <c r="AD27" i="63"/>
  <c r="AD32" i="63"/>
  <c r="AD26" i="63"/>
  <c r="AA43" i="63"/>
  <c r="AA55" i="63"/>
  <c r="AA54" i="63"/>
  <c r="AA53" i="63"/>
  <c r="AE28" i="63"/>
  <c r="AE21" i="63"/>
  <c r="AE22" i="63" s="1"/>
  <c r="AD31" i="63"/>
  <c r="AD30" i="63"/>
  <c r="Y42" i="61"/>
  <c r="Y46" i="61" s="1"/>
  <c r="Y48" i="61" s="1"/>
  <c r="Y40" i="61"/>
  <c r="Y39" i="61"/>
  <c r="Y43" i="61" s="1"/>
  <c r="Y41" i="61"/>
  <c r="AA18" i="61"/>
  <c r="AA20" i="61" s="1"/>
  <c r="AB14" i="61"/>
  <c r="Z26" i="61"/>
  <c r="Z27" i="61"/>
  <c r="Z28" i="61"/>
  <c r="Z32" i="61"/>
  <c r="X54" i="61"/>
  <c r="Y36" i="60"/>
  <c r="AA18" i="60"/>
  <c r="AA20" i="60" s="1"/>
  <c r="AB14" i="60"/>
  <c r="Y41" i="60"/>
  <c r="Y43" i="60" s="1"/>
  <c r="Y39" i="60"/>
  <c r="Y40" i="60" s="1"/>
  <c r="Z25" i="60"/>
  <c r="Z26" i="60"/>
  <c r="Z29" i="60" s="1"/>
  <c r="Z27" i="60"/>
  <c r="Z28" i="60" s="1"/>
  <c r="X67" i="61"/>
  <c r="X52" i="60"/>
  <c r="X54" i="60" s="1"/>
  <c r="X63" i="61"/>
  <c r="X49" i="60"/>
  <c r="AC40" i="58"/>
  <c r="AC39" i="58"/>
  <c r="AC42" i="58"/>
  <c r="AC41" i="58"/>
  <c r="AE32" i="58"/>
  <c r="AE26" i="58"/>
  <c r="AE27" i="58"/>
  <c r="AF21" i="58"/>
  <c r="AF22" i="58" s="1"/>
  <c r="AF28" i="58"/>
  <c r="AD34" i="58"/>
  <c r="AD36" i="58" s="1"/>
  <c r="AD35" i="58"/>
  <c r="AE30" i="58"/>
  <c r="AE31" i="58"/>
  <c r="AB54" i="58"/>
  <c r="AB55" i="58"/>
  <c r="AB53" i="58"/>
  <c r="Y42" i="59"/>
  <c r="Y40" i="59"/>
  <c r="AA18" i="59"/>
  <c r="AA20" i="59" s="1"/>
  <c r="AB14" i="59"/>
  <c r="W71" i="61"/>
  <c r="W70" i="61"/>
  <c r="W69" i="61"/>
  <c r="Z31" i="59"/>
  <c r="Y33" i="70" s="1"/>
  <c r="Z30" i="59"/>
  <c r="Y32" i="70" s="1"/>
  <c r="X55" i="59"/>
  <c r="X53" i="59"/>
  <c r="X54" i="59"/>
  <c r="Z26" i="59"/>
  <c r="Y29" i="70" s="1"/>
  <c r="Z27" i="59"/>
  <c r="Y30" i="70" s="1"/>
  <c r="Z32" i="59"/>
  <c r="Z34" i="64"/>
  <c r="Y54" i="70" s="1"/>
  <c r="Y57" i="70" s="1"/>
  <c r="Z35" i="64"/>
  <c r="Y55" i="70" s="1"/>
  <c r="Y60" i="70" s="1"/>
  <c r="X66" i="68"/>
  <c r="X59" i="64"/>
  <c r="X61" i="64" s="1"/>
  <c r="AA21" i="64"/>
  <c r="AA22" i="64" s="1"/>
  <c r="AA28" i="64"/>
  <c r="X56" i="64"/>
  <c r="X62" i="68"/>
  <c r="AB15" i="64"/>
  <c r="AB16" i="64" s="1"/>
  <c r="Y36" i="65"/>
  <c r="Y39" i="65" s="1"/>
  <c r="X53" i="65"/>
  <c r="X55" i="65"/>
  <c r="X54" i="65"/>
  <c r="Z26" i="65"/>
  <c r="Y67" i="70" s="1"/>
  <c r="Z27" i="65"/>
  <c r="Y68" i="70" s="1"/>
  <c r="Z32" i="65"/>
  <c r="AA18" i="65"/>
  <c r="AA20" i="65" s="1"/>
  <c r="AB14" i="65"/>
  <c r="W71" i="69"/>
  <c r="W69" i="69"/>
  <c r="W70" i="69"/>
  <c r="Z30" i="65"/>
  <c r="Y70" i="70" s="1"/>
  <c r="Z31" i="65"/>
  <c r="Y71" i="70" s="1"/>
  <c r="AC15" i="40"/>
  <c r="AC16" i="40" s="1"/>
  <c r="AA35" i="40"/>
  <c r="Z17" i="70" s="1"/>
  <c r="Z22" i="70" s="1"/>
  <c r="AA34" i="40"/>
  <c r="Z16" i="70" s="1"/>
  <c r="Z19" i="70" s="1"/>
  <c r="Y56" i="40"/>
  <c r="Y62" i="42"/>
  <c r="Z46" i="40"/>
  <c r="Z47" i="40" s="1"/>
  <c r="Z48" i="40" s="1"/>
  <c r="Z50" i="40" s="1"/>
  <c r="AB28" i="40"/>
  <c r="AB21" i="40"/>
  <c r="AB22" i="40" s="1"/>
  <c r="Z43" i="40"/>
  <c r="Y66" i="42"/>
  <c r="Y59" i="40"/>
  <c r="Y61" i="40" s="1"/>
  <c r="Y41" i="13"/>
  <c r="AA18" i="13"/>
  <c r="AA20" i="13" s="1"/>
  <c r="AB14" i="13"/>
  <c r="X55" i="13"/>
  <c r="X53" i="13"/>
  <c r="X54" i="13"/>
  <c r="Z26" i="13"/>
  <c r="Z27" i="13"/>
  <c r="Z32" i="13"/>
  <c r="W70" i="42"/>
  <c r="W71" i="42"/>
  <c r="W69" i="42"/>
  <c r="Z30" i="13"/>
  <c r="Z31" i="13"/>
  <c r="AC43" i="58" l="1"/>
  <c r="Y43" i="64"/>
  <c r="AC43" i="62"/>
  <c r="AD34" i="62"/>
  <c r="AD35" i="62"/>
  <c r="AB56" i="62"/>
  <c r="AB61" i="68"/>
  <c r="AB65" i="68"/>
  <c r="AB59" i="62"/>
  <c r="AB61" i="62" s="1"/>
  <c r="AC54" i="62"/>
  <c r="AC55" i="62"/>
  <c r="AC53" i="62"/>
  <c r="AF21" i="62"/>
  <c r="AF22" i="62" s="1"/>
  <c r="AF28" i="62"/>
  <c r="AE28" i="62"/>
  <c r="AE21" i="62"/>
  <c r="AE22" i="62" s="1"/>
  <c r="Y42" i="13"/>
  <c r="Y46" i="13" s="1"/>
  <c r="Y47" i="13" s="1"/>
  <c r="Y48" i="13" s="1"/>
  <c r="Y50" i="13" s="1"/>
  <c r="Y39" i="13"/>
  <c r="Y41" i="59"/>
  <c r="Y43" i="59" s="1"/>
  <c r="AA36" i="40"/>
  <c r="AA42" i="40" s="1"/>
  <c r="Z42" i="69"/>
  <c r="Z46" i="69" s="1"/>
  <c r="Z48" i="69" s="1"/>
  <c r="Z40" i="69"/>
  <c r="Z39" i="69"/>
  <c r="Z41" i="69"/>
  <c r="Y54" i="69"/>
  <c r="AA26" i="69"/>
  <c r="AA27" i="69"/>
  <c r="AA28" i="69"/>
  <c r="AA32" i="69"/>
  <c r="AB18" i="69"/>
  <c r="AB20" i="69" s="1"/>
  <c r="AC14" i="69"/>
  <c r="Y46" i="67"/>
  <c r="Y47" i="67"/>
  <c r="Y48" i="67"/>
  <c r="Z35" i="67"/>
  <c r="Z33" i="67"/>
  <c r="Z34" i="67"/>
  <c r="Z32" i="67"/>
  <c r="AB15" i="67"/>
  <c r="AB16" i="67" s="1"/>
  <c r="AA21" i="67"/>
  <c r="AA22" i="67"/>
  <c r="Y40" i="65"/>
  <c r="Y42" i="65"/>
  <c r="Y46" i="65" s="1"/>
  <c r="Y47" i="65" s="1"/>
  <c r="Y48" i="65" s="1"/>
  <c r="Y50" i="65" s="1"/>
  <c r="Y41" i="65"/>
  <c r="AC39" i="63"/>
  <c r="AC40" i="63"/>
  <c r="AC42" i="63"/>
  <c r="AC46" i="63" s="1"/>
  <c r="AC47" i="63" s="1"/>
  <c r="AC48" i="63" s="1"/>
  <c r="AC50" i="63" s="1"/>
  <c r="AC41" i="63"/>
  <c r="AF28" i="63"/>
  <c r="AF21" i="63"/>
  <c r="AF22" i="63" s="1"/>
  <c r="AE27" i="63"/>
  <c r="AE32" i="63"/>
  <c r="AE26" i="63"/>
  <c r="AA65" i="69"/>
  <c r="AA59" i="63"/>
  <c r="AA61" i="63" s="1"/>
  <c r="AE30" i="63"/>
  <c r="AE31" i="63"/>
  <c r="AB39" i="63"/>
  <c r="AB42" i="63"/>
  <c r="AB46" i="63" s="1"/>
  <c r="AB47" i="63" s="1"/>
  <c r="AB48" i="63" s="1"/>
  <c r="AB50" i="63" s="1"/>
  <c r="AB41" i="63"/>
  <c r="AB40" i="63"/>
  <c r="AD34" i="63"/>
  <c r="AD35" i="63"/>
  <c r="AA56" i="63"/>
  <c r="AA61" i="69"/>
  <c r="Z35" i="61"/>
  <c r="Z34" i="61"/>
  <c r="Z30" i="61"/>
  <c r="Z36" i="61" s="1"/>
  <c r="Z31" i="61"/>
  <c r="AB15" i="61"/>
  <c r="AB16" i="61"/>
  <c r="AA21" i="61"/>
  <c r="AA22" i="61" s="1"/>
  <c r="Y53" i="61"/>
  <c r="Y57" i="61" s="1"/>
  <c r="Y51" i="61"/>
  <c r="Y54" i="61" s="1"/>
  <c r="Y52" i="61"/>
  <c r="Z35" i="60"/>
  <c r="Z33" i="60"/>
  <c r="Z32" i="60"/>
  <c r="Z34" i="60"/>
  <c r="AB15" i="60"/>
  <c r="AB16" i="60" s="1"/>
  <c r="Y46" i="60"/>
  <c r="Y48" i="60"/>
  <c r="Y47" i="60"/>
  <c r="AA21" i="60"/>
  <c r="AA22" i="60" s="1"/>
  <c r="AB59" i="58"/>
  <c r="AB61" i="58" s="1"/>
  <c r="AB65" i="61"/>
  <c r="AF26" i="58"/>
  <c r="AF27" i="58"/>
  <c r="AF32" i="58"/>
  <c r="AD40" i="58"/>
  <c r="AD41" i="58"/>
  <c r="AD42" i="58"/>
  <c r="AD39" i="58"/>
  <c r="AC46" i="58"/>
  <c r="AC47" i="58" s="1"/>
  <c r="AC48" i="58" s="1"/>
  <c r="AC50" i="58" s="1"/>
  <c r="AF31" i="58"/>
  <c r="AF30" i="58"/>
  <c r="AB61" i="61"/>
  <c r="AB56" i="58"/>
  <c r="AE35" i="58"/>
  <c r="AE34" i="58"/>
  <c r="AA28" i="59"/>
  <c r="AA21" i="59"/>
  <c r="AA22" i="59" s="1"/>
  <c r="X66" i="61"/>
  <c r="X59" i="59"/>
  <c r="X61" i="59" s="1"/>
  <c r="Z34" i="59"/>
  <c r="Y35" i="70" s="1"/>
  <c r="Y38" i="70" s="1"/>
  <c r="Z35" i="59"/>
  <c r="Y36" i="70" s="1"/>
  <c r="Y41" i="70" s="1"/>
  <c r="AB15" i="59"/>
  <c r="AB16" i="59" s="1"/>
  <c r="X62" i="61"/>
  <c r="X56" i="59"/>
  <c r="Y46" i="59"/>
  <c r="Y47" i="59" s="1"/>
  <c r="Y48" i="59" s="1"/>
  <c r="Y50" i="59" s="1"/>
  <c r="Z36" i="64"/>
  <c r="Z42" i="64" s="1"/>
  <c r="AB18" i="64"/>
  <c r="AB20" i="64" s="1"/>
  <c r="AC14" i="64"/>
  <c r="Y53" i="64"/>
  <c r="Y54" i="64"/>
  <c r="Y55" i="64"/>
  <c r="AA26" i="64"/>
  <c r="Z48" i="70" s="1"/>
  <c r="AA27" i="64"/>
  <c r="Z49" i="70" s="1"/>
  <c r="AA32" i="64"/>
  <c r="AA31" i="64"/>
  <c r="Z52" i="70" s="1"/>
  <c r="AA30" i="64"/>
  <c r="Z51" i="70" s="1"/>
  <c r="X71" i="68"/>
  <c r="X70" i="68"/>
  <c r="X69" i="68"/>
  <c r="Z34" i="65"/>
  <c r="Y73" i="70" s="1"/>
  <c r="Y76" i="70" s="1"/>
  <c r="Z35" i="65"/>
  <c r="Y74" i="70" s="1"/>
  <c r="Y79" i="70" s="1"/>
  <c r="X59" i="65"/>
  <c r="X61" i="65" s="1"/>
  <c r="X66" i="69"/>
  <c r="AA28" i="65"/>
  <c r="AA21" i="65"/>
  <c r="AA22" i="65" s="1"/>
  <c r="AB15" i="65"/>
  <c r="AB16" i="65" s="1"/>
  <c r="X62" i="69"/>
  <c r="X56" i="65"/>
  <c r="AA41" i="40"/>
  <c r="AA39" i="40"/>
  <c r="Z53" i="40"/>
  <c r="Z55" i="40"/>
  <c r="Z54" i="40"/>
  <c r="AD14" i="40"/>
  <c r="AC18" i="40"/>
  <c r="AC20" i="40" s="1"/>
  <c r="AB31" i="40"/>
  <c r="AA14" i="70" s="1"/>
  <c r="AB30" i="40"/>
  <c r="AA13" i="70" s="1"/>
  <c r="AB27" i="40"/>
  <c r="AA11" i="70" s="1"/>
  <c r="AB32" i="40"/>
  <c r="AB26" i="40"/>
  <c r="AA10" i="70" s="1"/>
  <c r="Y43" i="13"/>
  <c r="Z35" i="13"/>
  <c r="Z34" i="13"/>
  <c r="AB15" i="13"/>
  <c r="AB16" i="13" s="1"/>
  <c r="X56" i="13"/>
  <c r="X61" i="42"/>
  <c r="X65" i="42"/>
  <c r="X59" i="13"/>
  <c r="X61" i="13" s="1"/>
  <c r="AA28" i="13"/>
  <c r="AA21" i="13"/>
  <c r="AA22" i="13" s="1"/>
  <c r="AA19" i="70" l="1"/>
  <c r="AA40" i="40"/>
  <c r="AD36" i="63"/>
  <c r="AB43" i="63"/>
  <c r="AF32" i="62"/>
  <c r="AF27" i="62"/>
  <c r="AF26" i="62"/>
  <c r="AE27" i="62"/>
  <c r="AE26" i="62"/>
  <c r="AE32" i="62"/>
  <c r="AF30" i="62"/>
  <c r="AF31" i="62"/>
  <c r="AC65" i="68"/>
  <c r="AC59" i="62"/>
  <c r="AC61" i="62" s="1"/>
  <c r="AE31" i="62"/>
  <c r="AE30" i="62"/>
  <c r="AC56" i="62"/>
  <c r="AC61" i="68"/>
  <c r="AD36" i="62"/>
  <c r="Z36" i="13"/>
  <c r="Z40" i="13" s="1"/>
  <c r="Y43" i="65"/>
  <c r="Z36" i="59"/>
  <c r="Z41" i="59" s="1"/>
  <c r="Z41" i="64"/>
  <c r="Z40" i="64"/>
  <c r="Z39" i="64"/>
  <c r="AC15" i="69"/>
  <c r="AC16" i="69"/>
  <c r="AB21" i="69"/>
  <c r="AB22" i="69" s="1"/>
  <c r="Z43" i="69"/>
  <c r="AA35" i="69"/>
  <c r="AA34" i="69"/>
  <c r="AA31" i="69"/>
  <c r="AA30" i="69"/>
  <c r="Z51" i="69"/>
  <c r="Z54" i="69" s="1"/>
  <c r="Z52" i="69"/>
  <c r="Z53" i="69"/>
  <c r="Z57" i="69" s="1"/>
  <c r="AB18" i="67"/>
  <c r="AB20" i="67" s="1"/>
  <c r="AC14" i="67"/>
  <c r="Z39" i="67"/>
  <c r="Z40" i="67" s="1"/>
  <c r="Z41" i="67"/>
  <c r="Z43" i="67" s="1"/>
  <c r="AA27" i="67"/>
  <c r="AA28" i="67" s="1"/>
  <c r="AA25" i="67"/>
  <c r="AA26" i="67"/>
  <c r="AA29" i="67" s="1"/>
  <c r="Z36" i="67"/>
  <c r="Y67" i="69"/>
  <c r="Y52" i="67"/>
  <c r="Y54" i="67" s="1"/>
  <c r="Y63" i="69"/>
  <c r="Y49" i="67"/>
  <c r="AF27" i="63"/>
  <c r="AF32" i="63"/>
  <c r="AF26" i="63"/>
  <c r="AC55" i="63"/>
  <c r="AC54" i="63"/>
  <c r="AC53" i="63"/>
  <c r="AD42" i="63"/>
  <c r="AD41" i="63"/>
  <c r="AD39" i="63"/>
  <c r="AD40" i="63"/>
  <c r="AF31" i="63"/>
  <c r="AF30" i="63"/>
  <c r="AB55" i="63"/>
  <c r="AB54" i="63"/>
  <c r="AB53" i="63"/>
  <c r="AE35" i="63"/>
  <c r="AE34" i="63"/>
  <c r="AE36" i="63" s="1"/>
  <c r="AC43" i="63"/>
  <c r="AA26" i="61"/>
  <c r="AA27" i="61"/>
  <c r="AA28" i="61"/>
  <c r="AA32" i="61"/>
  <c r="Z39" i="61"/>
  <c r="Z40" i="61"/>
  <c r="Z42" i="61"/>
  <c r="Z46" i="61" s="1"/>
  <c r="Z48" i="61" s="1"/>
  <c r="Z41" i="61"/>
  <c r="AB18" i="61"/>
  <c r="AB20" i="61" s="1"/>
  <c r="AC14" i="61"/>
  <c r="AA25" i="60"/>
  <c r="AA26" i="60"/>
  <c r="AA27" i="60"/>
  <c r="AA28" i="60" s="1"/>
  <c r="AA29" i="60" s="1"/>
  <c r="AB18" i="60"/>
  <c r="AB20" i="60" s="1"/>
  <c r="AC14" i="60"/>
  <c r="Y63" i="61"/>
  <c r="Y49" i="60"/>
  <c r="Z36" i="60"/>
  <c r="Y67" i="61"/>
  <c r="Y52" i="60"/>
  <c r="Y54" i="60" s="1"/>
  <c r="Z41" i="60"/>
  <c r="Z43" i="60" s="1"/>
  <c r="Z39" i="60"/>
  <c r="Z40" i="60" s="1"/>
  <c r="AC54" i="58"/>
  <c r="AC53" i="58"/>
  <c r="AC55" i="58"/>
  <c r="AD46" i="58"/>
  <c r="AD47" i="58" s="1"/>
  <c r="AD48" i="58" s="1"/>
  <c r="AD50" i="58" s="1"/>
  <c r="AE36" i="58"/>
  <c r="AD43" i="58"/>
  <c r="AF34" i="58"/>
  <c r="AF35" i="58"/>
  <c r="AC14" i="59"/>
  <c r="AB18" i="59"/>
  <c r="AB20" i="59" s="1"/>
  <c r="Y55" i="59"/>
  <c r="Y53" i="59"/>
  <c r="Y54" i="59"/>
  <c r="Z42" i="59"/>
  <c r="AA26" i="59"/>
  <c r="Z29" i="70" s="1"/>
  <c r="AA27" i="59"/>
  <c r="Z30" i="70" s="1"/>
  <c r="AA32" i="59"/>
  <c r="X70" i="61"/>
  <c r="X71" i="61"/>
  <c r="X69" i="61"/>
  <c r="AA30" i="59"/>
  <c r="Z32" i="70" s="1"/>
  <c r="AA31" i="59"/>
  <c r="Z33" i="70" s="1"/>
  <c r="AC15" i="64"/>
  <c r="AC16" i="64" s="1"/>
  <c r="Y62" i="68"/>
  <c r="Y56" i="64"/>
  <c r="AA35" i="64"/>
  <c r="Z55" i="70" s="1"/>
  <c r="Z60" i="70" s="1"/>
  <c r="AA34" i="64"/>
  <c r="Z54" i="70" s="1"/>
  <c r="Z57" i="70" s="1"/>
  <c r="Y66" i="68"/>
  <c r="Y59" i="64"/>
  <c r="Y61" i="64" s="1"/>
  <c r="AB21" i="64"/>
  <c r="AB22" i="64" s="1"/>
  <c r="AB28" i="64"/>
  <c r="Z46" i="64"/>
  <c r="Z47" i="64" s="1"/>
  <c r="Z48" i="64" s="1"/>
  <c r="Z50" i="64" s="1"/>
  <c r="Z36" i="65"/>
  <c r="Z42" i="65" s="1"/>
  <c r="AB18" i="65"/>
  <c r="AB20" i="65" s="1"/>
  <c r="AC14" i="65"/>
  <c r="AA26" i="65"/>
  <c r="Z67" i="70" s="1"/>
  <c r="AA27" i="65"/>
  <c r="Z68" i="70" s="1"/>
  <c r="AA32" i="65"/>
  <c r="X71" i="69"/>
  <c r="X69" i="69"/>
  <c r="X70" i="69"/>
  <c r="AA30" i="65"/>
  <c r="Z70" i="70" s="1"/>
  <c r="AA31" i="65"/>
  <c r="Z71" i="70" s="1"/>
  <c r="Y53" i="65"/>
  <c r="Y55" i="65"/>
  <c r="Y54" i="65"/>
  <c r="AA43" i="40"/>
  <c r="Z66" i="42"/>
  <c r="Z59" i="40"/>
  <c r="Z61" i="40" s="1"/>
  <c r="AD15" i="40"/>
  <c r="AD16" i="40" s="1"/>
  <c r="AB34" i="40"/>
  <c r="AA16" i="70" s="1"/>
  <c r="AB35" i="40"/>
  <c r="AA17" i="70" s="1"/>
  <c r="AA22" i="70" s="1"/>
  <c r="AC21" i="40"/>
  <c r="AC22" i="40" s="1"/>
  <c r="AC28" i="40"/>
  <c r="Z62" i="42"/>
  <c r="Z56" i="40"/>
  <c r="AA46" i="40"/>
  <c r="AA47" i="40" s="1"/>
  <c r="AA48" i="40" s="1"/>
  <c r="AA50" i="40" s="1"/>
  <c r="AC14" i="13"/>
  <c r="AB18" i="13"/>
  <c r="AB20" i="13" s="1"/>
  <c r="Z39" i="13"/>
  <c r="X70" i="42"/>
  <c r="X71" i="42"/>
  <c r="X69" i="42"/>
  <c r="AA26" i="13"/>
  <c r="AA32" i="13"/>
  <c r="AA27" i="13"/>
  <c r="Y55" i="13"/>
  <c r="Y53" i="13"/>
  <c r="Y54" i="13"/>
  <c r="AA31" i="13"/>
  <c r="AA30" i="13"/>
  <c r="Z40" i="59" l="1"/>
  <c r="Z39" i="59"/>
  <c r="Z43" i="59" s="1"/>
  <c r="AF36" i="58"/>
  <c r="Z43" i="64"/>
  <c r="AE34" i="62"/>
  <c r="AE35" i="62"/>
  <c r="AD39" i="62"/>
  <c r="AD40" i="62"/>
  <c r="AD41" i="62"/>
  <c r="AD42" i="62"/>
  <c r="AF34" i="62"/>
  <c r="AF35" i="62"/>
  <c r="Z41" i="13"/>
  <c r="Z42" i="13"/>
  <c r="Z41" i="65"/>
  <c r="Z39" i="65"/>
  <c r="Z40" i="65"/>
  <c r="AA36" i="64"/>
  <c r="AA40" i="64" s="1"/>
  <c r="AB36" i="40"/>
  <c r="AB39" i="40" s="1"/>
  <c r="AB26" i="69"/>
  <c r="AB27" i="69"/>
  <c r="AB28" i="69"/>
  <c r="AB32" i="69"/>
  <c r="AD14" i="69"/>
  <c r="AC18" i="69"/>
  <c r="AC20" i="69" s="1"/>
  <c r="AA36" i="69"/>
  <c r="AA32" i="67"/>
  <c r="AA33" i="67"/>
  <c r="AA35" i="67"/>
  <c r="AA34" i="67"/>
  <c r="Z46" i="67"/>
  <c r="Z48" i="67"/>
  <c r="Z47" i="67"/>
  <c r="AC15" i="67"/>
  <c r="AC16" i="67" s="1"/>
  <c r="AB21" i="67"/>
  <c r="AB22" i="67"/>
  <c r="AE41" i="63"/>
  <c r="AE40" i="63"/>
  <c r="AE42" i="63"/>
  <c r="AE46" i="63" s="1"/>
  <c r="AE47" i="63" s="1"/>
  <c r="AE48" i="63" s="1"/>
  <c r="AE50" i="63" s="1"/>
  <c r="AE39" i="63"/>
  <c r="AC61" i="69"/>
  <c r="AC56" i="63"/>
  <c r="AF34" i="63"/>
  <c r="AF35" i="63"/>
  <c r="AB56" i="63"/>
  <c r="AB61" i="69"/>
  <c r="AB59" i="63"/>
  <c r="AB61" i="63" s="1"/>
  <c r="AB65" i="69"/>
  <c r="AD43" i="63"/>
  <c r="AD46" i="63"/>
  <c r="AD47" i="63" s="1"/>
  <c r="AD48" i="63" s="1"/>
  <c r="AD50" i="63" s="1"/>
  <c r="AC59" i="63"/>
  <c r="AC61" i="63" s="1"/>
  <c r="AC65" i="69"/>
  <c r="Z51" i="61"/>
  <c r="Z53" i="61"/>
  <c r="Z57" i="61" s="1"/>
  <c r="Z52" i="61"/>
  <c r="AA31" i="61"/>
  <c r="AA30" i="61"/>
  <c r="AA36" i="61" s="1"/>
  <c r="AC15" i="61"/>
  <c r="AC16" i="61" s="1"/>
  <c r="AB21" i="61"/>
  <c r="AB22" i="61"/>
  <c r="Z43" i="61"/>
  <c r="AA35" i="61"/>
  <c r="AA34" i="61"/>
  <c r="AA35" i="60"/>
  <c r="AA34" i="60"/>
  <c r="AA32" i="60"/>
  <c r="AA33" i="60"/>
  <c r="Z46" i="60"/>
  <c r="Z48" i="60"/>
  <c r="Z47" i="60"/>
  <c r="AC16" i="60"/>
  <c r="AC15" i="60"/>
  <c r="AB21" i="60"/>
  <c r="AB22" i="60" s="1"/>
  <c r="AD54" i="58"/>
  <c r="AD55" i="58"/>
  <c r="AD53" i="58"/>
  <c r="AF42" i="58"/>
  <c r="AF46" i="58" s="1"/>
  <c r="AF47" i="58" s="1"/>
  <c r="AF48" i="58" s="1"/>
  <c r="AF50" i="58" s="1"/>
  <c r="AF39" i="58"/>
  <c r="AF41" i="58"/>
  <c r="AF40" i="58"/>
  <c r="AC59" i="58"/>
  <c r="AC61" i="58" s="1"/>
  <c r="AC65" i="61"/>
  <c r="AE40" i="58"/>
  <c r="AE39" i="58"/>
  <c r="AE42" i="58"/>
  <c r="AE41" i="58"/>
  <c r="AC61" i="61"/>
  <c r="AC56" i="58"/>
  <c r="Y66" i="61"/>
  <c r="Y59" i="59"/>
  <c r="Y61" i="59" s="1"/>
  <c r="Y62" i="61"/>
  <c r="Y56" i="59"/>
  <c r="Z46" i="59"/>
  <c r="Z47" i="59" s="1"/>
  <c r="Z48" i="59" s="1"/>
  <c r="Z50" i="59" s="1"/>
  <c r="AB21" i="59"/>
  <c r="AB22" i="59" s="1"/>
  <c r="AB28" i="59"/>
  <c r="AA35" i="59"/>
  <c r="Z36" i="70" s="1"/>
  <c r="Z41" i="70" s="1"/>
  <c r="AA34" i="59"/>
  <c r="Z35" i="70" s="1"/>
  <c r="Z38" i="70" s="1"/>
  <c r="AC15" i="59"/>
  <c r="AC16" i="59" s="1"/>
  <c r="Z55" i="64"/>
  <c r="Z53" i="64"/>
  <c r="Z54" i="64"/>
  <c r="AD14" i="64"/>
  <c r="AC18" i="64"/>
  <c r="AC20" i="64" s="1"/>
  <c r="AA42" i="64"/>
  <c r="Y70" i="68"/>
  <c r="Y71" i="68"/>
  <c r="Y69" i="68"/>
  <c r="AB26" i="64"/>
  <c r="AA48" i="70" s="1"/>
  <c r="AB32" i="64"/>
  <c r="AB27" i="64"/>
  <c r="AA49" i="70" s="1"/>
  <c r="AB31" i="64"/>
  <c r="AA52" i="70" s="1"/>
  <c r="AB30" i="64"/>
  <c r="AA51" i="70" s="1"/>
  <c r="Y62" i="69"/>
  <c r="Y56" i="65"/>
  <c r="Z46" i="65"/>
  <c r="Z47" i="65" s="1"/>
  <c r="Z48" i="65" s="1"/>
  <c r="Z50" i="65" s="1"/>
  <c r="AA35" i="65"/>
  <c r="Z74" i="70" s="1"/>
  <c r="Z79" i="70" s="1"/>
  <c r="AA34" i="65"/>
  <c r="Z73" i="70" s="1"/>
  <c r="Z76" i="70" s="1"/>
  <c r="AC15" i="65"/>
  <c r="AC16" i="65" s="1"/>
  <c r="Y66" i="69"/>
  <c r="Y59" i="65"/>
  <c r="Y61" i="65" s="1"/>
  <c r="AB28" i="65"/>
  <c r="AB21" i="65"/>
  <c r="AB22" i="65" s="1"/>
  <c r="AA53" i="40"/>
  <c r="AA55" i="40"/>
  <c r="AA54" i="40"/>
  <c r="AD18" i="40"/>
  <c r="AD20" i="40" s="1"/>
  <c r="AE14" i="40"/>
  <c r="AC27" i="40"/>
  <c r="AB11" i="70" s="1"/>
  <c r="AC26" i="40"/>
  <c r="AB10" i="70" s="1"/>
  <c r="AC32" i="40"/>
  <c r="AC30" i="40"/>
  <c r="AB13" i="70" s="1"/>
  <c r="AC31" i="40"/>
  <c r="AB14" i="70" s="1"/>
  <c r="AA34" i="13"/>
  <c r="AA35" i="13"/>
  <c r="Z46" i="13"/>
  <c r="Z47" i="13" s="1"/>
  <c r="Z48" i="13" s="1"/>
  <c r="Z50" i="13" s="1"/>
  <c r="Y65" i="42"/>
  <c r="Y59" i="13"/>
  <c r="Y61" i="13" s="1"/>
  <c r="Z43" i="13"/>
  <c r="AB28" i="13"/>
  <c r="AB21" i="13"/>
  <c r="AB22" i="13" s="1"/>
  <c r="Y56" i="13"/>
  <c r="Y61" i="42"/>
  <c r="AC15" i="13"/>
  <c r="AC16" i="13" s="1"/>
  <c r="AA41" i="64" l="1"/>
  <c r="AB41" i="40"/>
  <c r="AE43" i="63"/>
  <c r="AA39" i="64"/>
  <c r="AB40" i="40"/>
  <c r="AB43" i="40" s="1"/>
  <c r="AB42" i="40"/>
  <c r="AD46" i="62"/>
  <c r="AD47" i="62" s="1"/>
  <c r="AD48" i="62" s="1"/>
  <c r="AD50" i="62" s="1"/>
  <c r="AF36" i="62"/>
  <c r="AD43" i="62"/>
  <c r="AE36" i="62"/>
  <c r="Z43" i="65"/>
  <c r="AA36" i="65"/>
  <c r="AA39" i="65" s="1"/>
  <c r="AA36" i="59"/>
  <c r="AA42" i="59" s="1"/>
  <c r="AA40" i="69"/>
  <c r="AA39" i="69"/>
  <c r="AA42" i="69"/>
  <c r="AA46" i="69" s="1"/>
  <c r="AA48" i="69" s="1"/>
  <c r="AA41" i="69"/>
  <c r="AC21" i="69"/>
  <c r="AC22" i="69" s="1"/>
  <c r="AB30" i="69"/>
  <c r="AB36" i="69" s="1"/>
  <c r="AB31" i="69"/>
  <c r="AD15" i="69"/>
  <c r="AD16" i="69" s="1"/>
  <c r="AB35" i="69"/>
  <c r="AB34" i="69"/>
  <c r="AC18" i="67"/>
  <c r="AC20" i="67" s="1"/>
  <c r="AD14" i="67"/>
  <c r="Z67" i="69"/>
  <c r="Z52" i="67"/>
  <c r="Z54" i="67" s="1"/>
  <c r="AB27" i="67"/>
  <c r="AB28" i="67" s="1"/>
  <c r="AB25" i="67"/>
  <c r="AB26" i="67"/>
  <c r="AB29" i="67" s="1"/>
  <c r="AA39" i="67"/>
  <c r="AA40" i="67" s="1"/>
  <c r="AA41" i="67" s="1"/>
  <c r="AA43" i="67" s="1"/>
  <c r="Z63" i="69"/>
  <c r="Z49" i="67"/>
  <c r="AA36" i="67"/>
  <c r="AD54" i="63"/>
  <c r="AD55" i="63"/>
  <c r="AD53" i="63"/>
  <c r="AF36" i="63"/>
  <c r="AE53" i="63"/>
  <c r="AE54" i="63"/>
  <c r="AE55" i="63"/>
  <c r="AC18" i="61"/>
  <c r="AC20" i="61" s="1"/>
  <c r="AD14" i="61"/>
  <c r="AA42" i="61"/>
  <c r="AA46" i="61" s="1"/>
  <c r="AA48" i="61" s="1"/>
  <c r="AA40" i="61"/>
  <c r="AA39" i="61"/>
  <c r="AA43" i="61" s="1"/>
  <c r="AA41" i="61"/>
  <c r="AB27" i="61"/>
  <c r="AB28" i="61"/>
  <c r="AB32" i="61"/>
  <c r="AB26" i="61"/>
  <c r="Z54" i="61"/>
  <c r="AB25" i="60"/>
  <c r="AB26" i="60"/>
  <c r="AB27" i="60"/>
  <c r="AB28" i="60" s="1"/>
  <c r="AB29" i="60" s="1"/>
  <c r="Z67" i="61"/>
  <c r="Z52" i="60"/>
  <c r="Z54" i="60" s="1"/>
  <c r="AC18" i="60"/>
  <c r="AC20" i="60" s="1"/>
  <c r="AD14" i="60"/>
  <c r="AA36" i="60"/>
  <c r="Z63" i="61"/>
  <c r="Z49" i="60"/>
  <c r="AA41" i="60"/>
  <c r="AA43" i="60" s="1"/>
  <c r="AA39" i="60"/>
  <c r="AA40" i="60" s="1"/>
  <c r="AF43" i="58"/>
  <c r="AE46" i="58"/>
  <c r="AE47" i="58" s="1"/>
  <c r="AE48" i="58" s="1"/>
  <c r="AE50" i="58" s="1"/>
  <c r="AF55" i="58"/>
  <c r="AF53" i="58"/>
  <c r="AF54" i="58"/>
  <c r="AE43" i="58"/>
  <c r="AD61" i="61"/>
  <c r="AD56" i="58"/>
  <c r="AD65" i="61"/>
  <c r="AD59" i="58"/>
  <c r="AD61" i="58" s="1"/>
  <c r="AD14" i="59"/>
  <c r="AC18" i="59"/>
  <c r="AC20" i="59" s="1"/>
  <c r="AB27" i="59"/>
  <c r="AA30" i="70" s="1"/>
  <c r="AB32" i="59"/>
  <c r="AB26" i="59"/>
  <c r="AA29" i="70" s="1"/>
  <c r="AA40" i="59"/>
  <c r="AA41" i="59"/>
  <c r="Z55" i="59"/>
  <c r="Z53" i="59"/>
  <c r="Z54" i="59"/>
  <c r="AB30" i="59"/>
  <c r="AA32" i="70" s="1"/>
  <c r="AB31" i="59"/>
  <c r="AA33" i="70" s="1"/>
  <c r="Y71" i="61"/>
  <c r="Y69" i="61"/>
  <c r="Y70" i="61"/>
  <c r="AB34" i="64"/>
  <c r="AA54" i="70" s="1"/>
  <c r="AA57" i="70" s="1"/>
  <c r="AB35" i="64"/>
  <c r="AA55" i="70" s="1"/>
  <c r="AA60" i="70" s="1"/>
  <c r="AD15" i="64"/>
  <c r="AD16" i="64" s="1"/>
  <c r="AA46" i="64"/>
  <c r="AA47" i="64" s="1"/>
  <c r="AA48" i="64" s="1"/>
  <c r="AA50" i="64" s="1"/>
  <c r="Z56" i="64"/>
  <c r="Z62" i="68"/>
  <c r="AA43" i="64"/>
  <c r="AC28" i="64"/>
  <c r="AC21" i="64"/>
  <c r="AC22" i="64" s="1"/>
  <c r="Z66" i="68"/>
  <c r="Z59" i="64"/>
  <c r="Z61" i="64" s="1"/>
  <c r="AB31" i="65"/>
  <c r="AA71" i="70" s="1"/>
  <c r="AB30" i="65"/>
  <c r="AA70" i="70" s="1"/>
  <c r="Z53" i="65"/>
  <c r="Z54" i="65"/>
  <c r="Z55" i="65"/>
  <c r="AD14" i="65"/>
  <c r="AC18" i="65"/>
  <c r="AC20" i="65" s="1"/>
  <c r="AB26" i="65"/>
  <c r="AA67" i="70" s="1"/>
  <c r="AB27" i="65"/>
  <c r="AA68" i="70" s="1"/>
  <c r="AB32" i="65"/>
  <c r="Y70" i="69"/>
  <c r="Y69" i="69"/>
  <c r="Y71" i="69"/>
  <c r="AD21" i="40"/>
  <c r="AD22" i="40" s="1"/>
  <c r="AD28" i="40"/>
  <c r="AB46" i="40"/>
  <c r="AB47" i="40" s="1"/>
  <c r="AB48" i="40" s="1"/>
  <c r="AB50" i="40" s="1"/>
  <c r="AA66" i="42"/>
  <c r="AA59" i="40"/>
  <c r="AA61" i="40" s="1"/>
  <c r="AC35" i="40"/>
  <c r="AB17" i="70" s="1"/>
  <c r="AB22" i="70" s="1"/>
  <c r="AC34" i="40"/>
  <c r="AB16" i="70" s="1"/>
  <c r="AB19" i="70" s="1"/>
  <c r="AE15" i="40"/>
  <c r="AE16" i="40" s="1"/>
  <c r="AA56" i="40"/>
  <c r="AA62" i="42"/>
  <c r="AA36" i="13"/>
  <c r="AA39" i="13" s="1"/>
  <c r="AD14" i="13"/>
  <c r="AC18" i="13"/>
  <c r="AC20" i="13" s="1"/>
  <c r="AB26" i="13"/>
  <c r="AB32" i="13"/>
  <c r="AB27" i="13"/>
  <c r="Z53" i="13"/>
  <c r="Z55" i="13"/>
  <c r="Z54" i="13"/>
  <c r="Y71" i="42"/>
  <c r="Y70" i="42"/>
  <c r="Y69" i="42"/>
  <c r="AB31" i="13"/>
  <c r="AB30" i="13"/>
  <c r="AA41" i="65" l="1"/>
  <c r="AA40" i="65"/>
  <c r="AA39" i="59"/>
  <c r="AD53" i="62"/>
  <c r="AD54" i="62"/>
  <c r="AD55" i="62"/>
  <c r="AF41" i="62"/>
  <c r="AF39" i="62"/>
  <c r="AF40" i="62"/>
  <c r="AF42" i="62"/>
  <c r="AF46" i="62" s="1"/>
  <c r="AF47" i="62" s="1"/>
  <c r="AF48" i="62" s="1"/>
  <c r="AF50" i="62" s="1"/>
  <c r="AE40" i="62"/>
  <c r="AE39" i="62"/>
  <c r="AE41" i="62"/>
  <c r="AE42" i="62"/>
  <c r="AE46" i="62" s="1"/>
  <c r="AE47" i="62" s="1"/>
  <c r="AE48" i="62" s="1"/>
  <c r="AE50" i="62" s="1"/>
  <c r="AA42" i="13"/>
  <c r="AA40" i="13"/>
  <c r="AA41" i="13"/>
  <c r="AA42" i="65"/>
  <c r="AA46" i="65" s="1"/>
  <c r="AA47" i="65" s="1"/>
  <c r="AA48" i="65" s="1"/>
  <c r="AA50" i="65" s="1"/>
  <c r="AA43" i="59"/>
  <c r="AC36" i="40"/>
  <c r="AC40" i="40" s="1"/>
  <c r="AE14" i="69"/>
  <c r="AD18" i="69"/>
  <c r="AD20" i="69" s="1"/>
  <c r="AB39" i="69"/>
  <c r="AB40" i="69"/>
  <c r="AB41" i="69"/>
  <c r="AB42" i="69"/>
  <c r="AB46" i="69" s="1"/>
  <c r="AB48" i="69" s="1"/>
  <c r="AC28" i="69"/>
  <c r="AC26" i="69"/>
  <c r="AC27" i="69"/>
  <c r="AC32" i="69"/>
  <c r="AA51" i="69"/>
  <c r="AA53" i="69"/>
  <c r="AA57" i="69" s="1"/>
  <c r="AA52" i="69"/>
  <c r="AA43" i="69"/>
  <c r="AB35" i="67"/>
  <c r="AB33" i="67"/>
  <c r="AB32" i="67"/>
  <c r="AB34" i="67"/>
  <c r="AA46" i="67"/>
  <c r="AA48" i="67"/>
  <c r="AA47" i="67"/>
  <c r="AD15" i="67"/>
  <c r="AD16" i="67" s="1"/>
  <c r="AC21" i="67"/>
  <c r="AC22" i="67"/>
  <c r="AE65" i="69"/>
  <c r="AE59" i="63"/>
  <c r="AE61" i="63" s="1"/>
  <c r="AD56" i="63"/>
  <c r="AD61" i="69"/>
  <c r="AD65" i="69"/>
  <c r="AD59" i="63"/>
  <c r="AD61" i="63" s="1"/>
  <c r="AF39" i="63"/>
  <c r="AF41" i="63"/>
  <c r="AF40" i="63"/>
  <c r="AF42" i="63"/>
  <c r="AE56" i="63"/>
  <c r="AE61" i="69"/>
  <c r="AA51" i="61"/>
  <c r="AA53" i="61"/>
  <c r="AA57" i="61" s="1"/>
  <c r="AA52" i="61"/>
  <c r="AB34" i="61"/>
  <c r="AB35" i="61"/>
  <c r="AD15" i="61"/>
  <c r="AD16" i="61"/>
  <c r="AB30" i="61"/>
  <c r="AB36" i="61" s="1"/>
  <c r="AB31" i="61"/>
  <c r="AC21" i="61"/>
  <c r="AC22" i="61"/>
  <c r="AB35" i="60"/>
  <c r="AB32" i="60"/>
  <c r="AB33" i="60"/>
  <c r="AB34" i="60"/>
  <c r="AA46" i="60"/>
  <c r="AA48" i="60"/>
  <c r="AA47" i="60"/>
  <c r="AD15" i="60"/>
  <c r="AD16" i="60"/>
  <c r="AC21" i="60"/>
  <c r="AC22" i="60" s="1"/>
  <c r="AE53" i="58"/>
  <c r="AE55" i="58"/>
  <c r="AE54" i="58"/>
  <c r="AF59" i="58"/>
  <c r="AF61" i="58" s="1"/>
  <c r="AF65" i="61"/>
  <c r="AF61" i="61"/>
  <c r="AF56" i="58"/>
  <c r="Z62" i="61"/>
  <c r="Z56" i="59"/>
  <c r="AA46" i="59"/>
  <c r="AA47" i="59" s="1"/>
  <c r="AA48" i="59" s="1"/>
  <c r="AA50" i="59" s="1"/>
  <c r="AC21" i="59"/>
  <c r="AC22" i="59" s="1"/>
  <c r="AC28" i="59"/>
  <c r="AB34" i="59"/>
  <c r="AA35" i="70" s="1"/>
  <c r="AA38" i="70" s="1"/>
  <c r="AB35" i="59"/>
  <c r="AA36" i="70" s="1"/>
  <c r="AA41" i="70" s="1"/>
  <c r="Z66" i="61"/>
  <c r="Z59" i="59"/>
  <c r="Z61" i="59" s="1"/>
  <c r="AD15" i="59"/>
  <c r="AD16" i="59" s="1"/>
  <c r="AB36" i="64"/>
  <c r="AB42" i="64" s="1"/>
  <c r="AC27" i="64"/>
  <c r="AB49" i="70" s="1"/>
  <c r="AC32" i="64"/>
  <c r="AC26" i="64"/>
  <c r="AB48" i="70" s="1"/>
  <c r="AA53" i="64"/>
  <c r="AA55" i="64"/>
  <c r="AA54" i="64"/>
  <c r="AC30" i="64"/>
  <c r="AB51" i="70" s="1"/>
  <c r="AC31" i="64"/>
  <c r="AB52" i="70" s="1"/>
  <c r="AE14" i="64"/>
  <c r="AD18" i="64"/>
  <c r="AD20" i="64" s="1"/>
  <c r="Z69" i="68"/>
  <c r="Z71" i="68"/>
  <c r="Z70" i="68"/>
  <c r="AB35" i="65"/>
  <c r="AA74" i="70" s="1"/>
  <c r="AA79" i="70" s="1"/>
  <c r="AB34" i="65"/>
  <c r="AA73" i="70" s="1"/>
  <c r="AA76" i="70" s="1"/>
  <c r="AD15" i="65"/>
  <c r="AD16" i="65" s="1"/>
  <c r="AC21" i="65"/>
  <c r="AC22" i="65" s="1"/>
  <c r="AC28" i="65"/>
  <c r="Z62" i="69"/>
  <c r="Z56" i="65"/>
  <c r="Z66" i="69"/>
  <c r="Z59" i="65"/>
  <c r="Z61" i="65" s="1"/>
  <c r="AB54" i="40"/>
  <c r="AB55" i="40"/>
  <c r="AB53" i="40"/>
  <c r="AC39" i="40"/>
  <c r="AC42" i="40"/>
  <c r="AF14" i="40"/>
  <c r="AE18" i="40"/>
  <c r="AE20" i="40" s="1"/>
  <c r="AD26" i="40"/>
  <c r="AC10" i="70" s="1"/>
  <c r="AD27" i="40"/>
  <c r="AC11" i="70" s="1"/>
  <c r="AD32" i="40"/>
  <c r="AD31" i="40"/>
  <c r="AC14" i="70" s="1"/>
  <c r="AD30" i="40"/>
  <c r="AC13" i="70" s="1"/>
  <c r="AB35" i="13"/>
  <c r="AB34" i="13"/>
  <c r="AA46" i="13"/>
  <c r="AA47" i="13" s="1"/>
  <c r="AA48" i="13" s="1"/>
  <c r="AA50" i="13" s="1"/>
  <c r="Z65" i="42"/>
  <c r="Z59" i="13"/>
  <c r="Z61" i="13" s="1"/>
  <c r="AC21" i="13"/>
  <c r="AC22" i="13" s="1"/>
  <c r="AC28" i="13"/>
  <c r="Z56" i="13"/>
  <c r="Z61" i="42"/>
  <c r="AD15" i="13"/>
  <c r="AD16" i="13" s="1"/>
  <c r="AB40" i="64" l="1"/>
  <c r="AC41" i="40"/>
  <c r="AA43" i="65"/>
  <c r="AE54" i="62"/>
  <c r="AE53" i="62"/>
  <c r="AE55" i="62"/>
  <c r="AF54" i="62"/>
  <c r="AF53" i="62"/>
  <c r="AF55" i="62"/>
  <c r="AD65" i="68"/>
  <c r="AD59" i="62"/>
  <c r="AD61" i="62" s="1"/>
  <c r="AE43" i="62"/>
  <c r="AF43" i="62"/>
  <c r="AD61" i="68"/>
  <c r="AD56" i="62"/>
  <c r="AA43" i="13"/>
  <c r="AB36" i="13"/>
  <c r="AB42" i="13" s="1"/>
  <c r="AB36" i="59"/>
  <c r="AB40" i="59" s="1"/>
  <c r="AB41" i="64"/>
  <c r="AB39" i="64"/>
  <c r="AC43" i="40"/>
  <c r="AB51" i="69"/>
  <c r="AB53" i="69"/>
  <c r="AB57" i="69" s="1"/>
  <c r="AB52" i="69"/>
  <c r="AA54" i="69"/>
  <c r="AC34" i="69"/>
  <c r="AC35" i="69"/>
  <c r="AC30" i="69"/>
  <c r="AC31" i="69"/>
  <c r="AB43" i="69"/>
  <c r="AD21" i="69"/>
  <c r="AD22" i="69"/>
  <c r="AE15" i="69"/>
  <c r="AE16" i="69" s="1"/>
  <c r="AD18" i="67"/>
  <c r="AD20" i="67" s="1"/>
  <c r="AE14" i="67"/>
  <c r="AC27" i="67"/>
  <c r="AC28" i="67" s="1"/>
  <c r="AC29" i="67" s="1"/>
  <c r="AC25" i="67"/>
  <c r="AC26" i="67"/>
  <c r="AA67" i="69"/>
  <c r="AA52" i="67"/>
  <c r="AA54" i="67" s="1"/>
  <c r="AB36" i="67"/>
  <c r="AA63" i="69"/>
  <c r="AA49" i="67"/>
  <c r="AB39" i="67"/>
  <c r="AB40" i="67" s="1"/>
  <c r="AB41" i="67" s="1"/>
  <c r="AB43" i="67" s="1"/>
  <c r="AB36" i="65"/>
  <c r="AB41" i="65" s="1"/>
  <c r="AF43" i="63"/>
  <c r="AF46" i="63"/>
  <c r="AF47" i="63" s="1"/>
  <c r="AF48" i="63" s="1"/>
  <c r="AF50" i="63" s="1"/>
  <c r="AB42" i="61"/>
  <c r="AB46" i="61" s="1"/>
  <c r="AB48" i="61" s="1"/>
  <c r="AB41" i="61"/>
  <c r="AB40" i="61"/>
  <c r="AB39" i="61"/>
  <c r="AB43" i="61" s="1"/>
  <c r="AC28" i="61"/>
  <c r="AC26" i="61"/>
  <c r="AC32" i="61"/>
  <c r="AC27" i="61"/>
  <c r="AD18" i="61"/>
  <c r="AD20" i="61" s="1"/>
  <c r="AE14" i="61"/>
  <c r="AA54" i="61"/>
  <c r="AC25" i="60"/>
  <c r="AC26" i="60"/>
  <c r="AC27" i="60"/>
  <c r="AC28" i="60" s="1"/>
  <c r="AC29" i="60" s="1"/>
  <c r="AA67" i="61"/>
  <c r="AA52" i="60"/>
  <c r="AA54" i="60" s="1"/>
  <c r="AB36" i="60"/>
  <c r="AD18" i="60"/>
  <c r="AD20" i="60" s="1"/>
  <c r="AE14" i="60"/>
  <c r="AA63" i="61"/>
  <c r="AA49" i="60"/>
  <c r="AB41" i="60"/>
  <c r="AB43" i="60" s="1"/>
  <c r="AB39" i="60"/>
  <c r="AB40" i="60" s="1"/>
  <c r="AE65" i="61"/>
  <c r="AE59" i="58"/>
  <c r="AE61" i="58" s="1"/>
  <c r="C62" i="58" s="1"/>
  <c r="B18" i="26" s="1"/>
  <c r="B19" i="26" s="1"/>
  <c r="AE61" i="61"/>
  <c r="AE56" i="58"/>
  <c r="AC27" i="59"/>
  <c r="AB30" i="70" s="1"/>
  <c r="AC32" i="59"/>
  <c r="AC26" i="59"/>
  <c r="AB29" i="70" s="1"/>
  <c r="AA53" i="59"/>
  <c r="AA54" i="59"/>
  <c r="AA55" i="59"/>
  <c r="AD18" i="59"/>
  <c r="AD20" i="59" s="1"/>
  <c r="AE14" i="59"/>
  <c r="Z71" i="61"/>
  <c r="Z70" i="61"/>
  <c r="Z69" i="61"/>
  <c r="AC30" i="59"/>
  <c r="AB32" i="70" s="1"/>
  <c r="AC31" i="59"/>
  <c r="AB33" i="70" s="1"/>
  <c r="AD21" i="64"/>
  <c r="AD22" i="64" s="1"/>
  <c r="AD28" i="64"/>
  <c r="AB46" i="64"/>
  <c r="AB47" i="64" s="1"/>
  <c r="AB48" i="64" s="1"/>
  <c r="AB50" i="64" s="1"/>
  <c r="AE15" i="64"/>
  <c r="AE16" i="64" s="1"/>
  <c r="AC35" i="64"/>
  <c r="AB55" i="70" s="1"/>
  <c r="AB60" i="70" s="1"/>
  <c r="AC34" i="64"/>
  <c r="AB54" i="70" s="1"/>
  <c r="AB57" i="70" s="1"/>
  <c r="AB43" i="64"/>
  <c r="AA66" i="68"/>
  <c r="AA59" i="64"/>
  <c r="AA61" i="64" s="1"/>
  <c r="AA56" i="64"/>
  <c r="AA62" i="68"/>
  <c r="AE14" i="65"/>
  <c r="AD18" i="65"/>
  <c r="AD20" i="65" s="1"/>
  <c r="AA55" i="65"/>
  <c r="AA54" i="65"/>
  <c r="AA53" i="65"/>
  <c r="AC27" i="65"/>
  <c r="AB68" i="70" s="1"/>
  <c r="AC32" i="65"/>
  <c r="AC26" i="65"/>
  <c r="AB67" i="70" s="1"/>
  <c r="Z71" i="69"/>
  <c r="Z69" i="69"/>
  <c r="Z70" i="69"/>
  <c r="AC30" i="65"/>
  <c r="AB70" i="70" s="1"/>
  <c r="AC31" i="65"/>
  <c r="AB71" i="70" s="1"/>
  <c r="AB62" i="42"/>
  <c r="AB56" i="40"/>
  <c r="AB66" i="42"/>
  <c r="AB59" i="40"/>
  <c r="AB61" i="40" s="1"/>
  <c r="AF15" i="40"/>
  <c r="AF16" i="40" s="1"/>
  <c r="AF18" i="40" s="1"/>
  <c r="AF20" i="40" s="1"/>
  <c r="AC46" i="40"/>
  <c r="AC47" i="40" s="1"/>
  <c r="AC48" i="40" s="1"/>
  <c r="AC50" i="40" s="1"/>
  <c r="AD35" i="40"/>
  <c r="AC17" i="70" s="1"/>
  <c r="AC22" i="70" s="1"/>
  <c r="AD34" i="40"/>
  <c r="AC16" i="70" s="1"/>
  <c r="AC19" i="70" s="1"/>
  <c r="AE21" i="40"/>
  <c r="AE22" i="40" s="1"/>
  <c r="AE28" i="40"/>
  <c r="AA55" i="13"/>
  <c r="AA53" i="13"/>
  <c r="AA54" i="13"/>
  <c r="AE14" i="13"/>
  <c r="AD18" i="13"/>
  <c r="AD20" i="13" s="1"/>
  <c r="AC26" i="13"/>
  <c r="AC27" i="13"/>
  <c r="AC32" i="13"/>
  <c r="AB41" i="13"/>
  <c r="Z70" i="42"/>
  <c r="Z71" i="42"/>
  <c r="Z69" i="42"/>
  <c r="AC30" i="13"/>
  <c r="AC31" i="13"/>
  <c r="AB42" i="65" l="1"/>
  <c r="AB46" i="65" s="1"/>
  <c r="AB47" i="65" s="1"/>
  <c r="AB48" i="65" s="1"/>
  <c r="AB50" i="65" s="1"/>
  <c r="AB39" i="59"/>
  <c r="AB41" i="59"/>
  <c r="AB42" i="59"/>
  <c r="AB46" i="59" s="1"/>
  <c r="AB47" i="59" s="1"/>
  <c r="AB48" i="59" s="1"/>
  <c r="AB50" i="59" s="1"/>
  <c r="AF59" i="62"/>
  <c r="AF61" i="62" s="1"/>
  <c r="AF65" i="68"/>
  <c r="AE56" i="62"/>
  <c r="AE61" i="68"/>
  <c r="AE59" i="62"/>
  <c r="AE61" i="62" s="1"/>
  <c r="AE65" i="68"/>
  <c r="AF61" i="68"/>
  <c r="AF56" i="62"/>
  <c r="AB39" i="13"/>
  <c r="AB40" i="13"/>
  <c r="AB40" i="65"/>
  <c r="AB39" i="65"/>
  <c r="AB43" i="65" s="1"/>
  <c r="AC36" i="64"/>
  <c r="AD36" i="40"/>
  <c r="AD41" i="40" s="1"/>
  <c r="AE18" i="69"/>
  <c r="AE20" i="69" s="1"/>
  <c r="AF14" i="69"/>
  <c r="AD27" i="69"/>
  <c r="AD28" i="69"/>
  <c r="AD26" i="69"/>
  <c r="AD32" i="69"/>
  <c r="AC36" i="69"/>
  <c r="AB54" i="69"/>
  <c r="AB46" i="67"/>
  <c r="AB47" i="67"/>
  <c r="AB48" i="67"/>
  <c r="AC33" i="67"/>
  <c r="AC34" i="67"/>
  <c r="AC35" i="67"/>
  <c r="AC32" i="67"/>
  <c r="AE16" i="67"/>
  <c r="AE15" i="67"/>
  <c r="AD21" i="67"/>
  <c r="AD22" i="67"/>
  <c r="AF53" i="63"/>
  <c r="AF54" i="63"/>
  <c r="AF55" i="63"/>
  <c r="AC34" i="61"/>
  <c r="AC35" i="61"/>
  <c r="AE15" i="61"/>
  <c r="AE16" i="61"/>
  <c r="AD21" i="61"/>
  <c r="AD22" i="61" s="1"/>
  <c r="AC30" i="61"/>
  <c r="AC31" i="61"/>
  <c r="AB51" i="61"/>
  <c r="AB53" i="61"/>
  <c r="AB57" i="61" s="1"/>
  <c r="AB52" i="61"/>
  <c r="AC35" i="60"/>
  <c r="AC33" i="60"/>
  <c r="AC32" i="60"/>
  <c r="AC34" i="60"/>
  <c r="AB46" i="60"/>
  <c r="AB48" i="60"/>
  <c r="AB47" i="60"/>
  <c r="AD22" i="60"/>
  <c r="AD21" i="60"/>
  <c r="AE15" i="60"/>
  <c r="AE16" i="60" s="1"/>
  <c r="AC34" i="59"/>
  <c r="AB35" i="70" s="1"/>
  <c r="AB38" i="70" s="1"/>
  <c r="AC35" i="59"/>
  <c r="AB36" i="70" s="1"/>
  <c r="AB41" i="70" s="1"/>
  <c r="AD21" i="59"/>
  <c r="AD22" i="59" s="1"/>
  <c r="AD28" i="59"/>
  <c r="AA66" i="61"/>
  <c r="AA59" i="59"/>
  <c r="AA61" i="59" s="1"/>
  <c r="AE15" i="59"/>
  <c r="AE16" i="59" s="1"/>
  <c r="AA62" i="61"/>
  <c r="AA56" i="59"/>
  <c r="AC41" i="64"/>
  <c r="AC42" i="64"/>
  <c r="AC40" i="64"/>
  <c r="AC39" i="64"/>
  <c r="AB54" i="64"/>
  <c r="AB53" i="64"/>
  <c r="AB55" i="64"/>
  <c r="AD26" i="64"/>
  <c r="AC48" i="70" s="1"/>
  <c r="AD27" i="64"/>
  <c r="AC49" i="70" s="1"/>
  <c r="AD32" i="64"/>
  <c r="AA71" i="68"/>
  <c r="AA70" i="68"/>
  <c r="AA69" i="68"/>
  <c r="AD30" i="64"/>
  <c r="AC51" i="70" s="1"/>
  <c r="AD31" i="64"/>
  <c r="AC52" i="70" s="1"/>
  <c r="AE18" i="64"/>
  <c r="AE20" i="64" s="1"/>
  <c r="AF14" i="64"/>
  <c r="AD21" i="65"/>
  <c r="AD22" i="65" s="1"/>
  <c r="AD28" i="65"/>
  <c r="AC34" i="65"/>
  <c r="AB73" i="70" s="1"/>
  <c r="AB76" i="70" s="1"/>
  <c r="AC35" i="65"/>
  <c r="AB74" i="70" s="1"/>
  <c r="AB79" i="70" s="1"/>
  <c r="AA66" i="69"/>
  <c r="AA59" i="65"/>
  <c r="AA61" i="65" s="1"/>
  <c r="AA62" i="69"/>
  <c r="AA56" i="65"/>
  <c r="AE15" i="65"/>
  <c r="AE16" i="65" s="1"/>
  <c r="AF21" i="40"/>
  <c r="AF22" i="40" s="1"/>
  <c r="AF28" i="40"/>
  <c r="AE32" i="40"/>
  <c r="AE26" i="40"/>
  <c r="AD10" i="70" s="1"/>
  <c r="AE27" i="40"/>
  <c r="AD11" i="70" s="1"/>
  <c r="AC54" i="40"/>
  <c r="AC53" i="40"/>
  <c r="AC55" i="40"/>
  <c r="AD39" i="40"/>
  <c r="AE31" i="40"/>
  <c r="AD14" i="70" s="1"/>
  <c r="AE30" i="40"/>
  <c r="AD13" i="70" s="1"/>
  <c r="AC35" i="13"/>
  <c r="AC34" i="13"/>
  <c r="AB43" i="13"/>
  <c r="AB46" i="13"/>
  <c r="AB47" i="13" s="1"/>
  <c r="AB48" i="13" s="1"/>
  <c r="AB50" i="13" s="1"/>
  <c r="AA56" i="13"/>
  <c r="AA61" i="42"/>
  <c r="AE15" i="13"/>
  <c r="AE16" i="13" s="1"/>
  <c r="AD21" i="13"/>
  <c r="AD22" i="13" s="1"/>
  <c r="AD28" i="13"/>
  <c r="AA65" i="42"/>
  <c r="AA59" i="13"/>
  <c r="AA61" i="13" s="1"/>
  <c r="AB43" i="59" l="1"/>
  <c r="AD42" i="40"/>
  <c r="AD40" i="40"/>
  <c r="C62" i="62"/>
  <c r="B24" i="26" s="1"/>
  <c r="B25" i="26" s="1"/>
  <c r="B35" i="26" s="1"/>
  <c r="AC36" i="13"/>
  <c r="AC40" i="13" s="1"/>
  <c r="AC36" i="65"/>
  <c r="AC41" i="65" s="1"/>
  <c r="AC36" i="59"/>
  <c r="AC40" i="59" s="1"/>
  <c r="AC43" i="64"/>
  <c r="AC42" i="69"/>
  <c r="AC46" i="69" s="1"/>
  <c r="AC48" i="69" s="1"/>
  <c r="AC40" i="69"/>
  <c r="AC41" i="69"/>
  <c r="AC39" i="69"/>
  <c r="AD34" i="69"/>
  <c r="AD35" i="69"/>
  <c r="AF16" i="69"/>
  <c r="AF18" i="69" s="1"/>
  <c r="AF20" i="69" s="1"/>
  <c r="AF15" i="69"/>
  <c r="AD30" i="69"/>
  <c r="AD36" i="69" s="1"/>
  <c r="AD31" i="69"/>
  <c r="AE21" i="69"/>
  <c r="AE22" i="69" s="1"/>
  <c r="AD27" i="67"/>
  <c r="AD28" i="67" s="1"/>
  <c r="AD25" i="67"/>
  <c r="AD29" i="67" s="1"/>
  <c r="AD26" i="67"/>
  <c r="AC39" i="67"/>
  <c r="AC40" i="67" s="1"/>
  <c r="AC41" i="67"/>
  <c r="AC43" i="67" s="1"/>
  <c r="AE18" i="67"/>
  <c r="AE20" i="67" s="1"/>
  <c r="AF14" i="67"/>
  <c r="AC36" i="67"/>
  <c r="AB67" i="69"/>
  <c r="AB52" i="67"/>
  <c r="AB54" i="67" s="1"/>
  <c r="AB63" i="69"/>
  <c r="AB49" i="67"/>
  <c r="AF59" i="63"/>
  <c r="AF61" i="63" s="1"/>
  <c r="C62" i="63" s="1"/>
  <c r="B30" i="26" s="1"/>
  <c r="B31" i="26" s="1"/>
  <c r="AF65" i="69"/>
  <c r="AF56" i="63"/>
  <c r="AF61" i="69"/>
  <c r="AD26" i="61"/>
  <c r="AD27" i="61"/>
  <c r="AD28" i="61"/>
  <c r="AD32" i="61"/>
  <c r="AE18" i="61"/>
  <c r="AE20" i="61" s="1"/>
  <c r="AF14" i="61"/>
  <c r="AC36" i="61"/>
  <c r="AB54" i="61"/>
  <c r="AE18" i="60"/>
  <c r="AE20" i="60" s="1"/>
  <c r="AF14" i="60"/>
  <c r="AC36" i="60"/>
  <c r="AD25" i="60"/>
  <c r="AD26" i="60"/>
  <c r="AD27" i="60"/>
  <c r="AD28" i="60" s="1"/>
  <c r="AD29" i="60" s="1"/>
  <c r="AB67" i="61"/>
  <c r="AB52" i="60"/>
  <c r="AB54" i="60" s="1"/>
  <c r="AB63" i="61"/>
  <c r="AB49" i="60"/>
  <c r="AC41" i="60"/>
  <c r="AC43" i="60" s="1"/>
  <c r="AC39" i="60"/>
  <c r="AC40" i="60" s="1"/>
  <c r="AE18" i="59"/>
  <c r="AE20" i="59" s="1"/>
  <c r="AF14" i="59"/>
  <c r="AD26" i="59"/>
  <c r="AC29" i="70" s="1"/>
  <c r="AD32" i="59"/>
  <c r="AD27" i="59"/>
  <c r="AC30" i="70" s="1"/>
  <c r="AA71" i="61"/>
  <c r="AA70" i="61"/>
  <c r="AA69" i="61"/>
  <c r="AB55" i="59"/>
  <c r="AB53" i="59"/>
  <c r="AB54" i="59"/>
  <c r="AD31" i="59"/>
  <c r="AC33" i="70" s="1"/>
  <c r="AD30" i="59"/>
  <c r="AC32" i="70" s="1"/>
  <c r="AD34" i="64"/>
  <c r="AC54" i="70" s="1"/>
  <c r="AC57" i="70" s="1"/>
  <c r="AD35" i="64"/>
  <c r="AC55" i="70" s="1"/>
  <c r="AC60" i="70" s="1"/>
  <c r="AB66" i="68"/>
  <c r="AB59" i="64"/>
  <c r="AB61" i="64" s="1"/>
  <c r="AB62" i="68"/>
  <c r="AB56" i="64"/>
  <c r="AC46" i="64"/>
  <c r="AC47" i="64" s="1"/>
  <c r="AC48" i="64" s="1"/>
  <c r="AC50" i="64" s="1"/>
  <c r="AF15" i="64"/>
  <c r="AF16" i="64" s="1"/>
  <c r="AF18" i="64" s="1"/>
  <c r="AF20" i="64" s="1"/>
  <c r="AE28" i="64"/>
  <c r="AE21" i="64"/>
  <c r="AE22" i="64" s="1"/>
  <c r="AD27" i="65"/>
  <c r="AC68" i="70" s="1"/>
  <c r="AD32" i="65"/>
  <c r="AD26" i="65"/>
  <c r="AC67" i="70" s="1"/>
  <c r="AC42" i="65"/>
  <c r="AB53" i="65"/>
  <c r="AB55" i="65"/>
  <c r="AB54" i="65"/>
  <c r="AA69" i="69"/>
  <c r="AA71" i="69"/>
  <c r="AA70" i="69"/>
  <c r="AE18" i="65"/>
  <c r="AE20" i="65" s="1"/>
  <c r="AF14" i="65"/>
  <c r="AD30" i="65"/>
  <c r="AC70" i="70" s="1"/>
  <c r="AD31" i="65"/>
  <c r="AC71" i="70" s="1"/>
  <c r="AE34" i="40"/>
  <c r="AD16" i="70" s="1"/>
  <c r="AD19" i="70" s="1"/>
  <c r="AE35" i="40"/>
  <c r="AD17" i="70" s="1"/>
  <c r="AD22" i="70" s="1"/>
  <c r="AD43" i="40"/>
  <c r="AF30" i="40"/>
  <c r="AE13" i="70" s="1"/>
  <c r="AF31" i="40"/>
  <c r="AE14" i="70" s="1"/>
  <c r="AC66" i="42"/>
  <c r="AC59" i="40"/>
  <c r="AC61" i="40" s="1"/>
  <c r="AF26" i="40"/>
  <c r="AE10" i="70" s="1"/>
  <c r="AF32" i="40"/>
  <c r="AF27" i="40"/>
  <c r="AE11" i="70" s="1"/>
  <c r="AD46" i="40"/>
  <c r="AD47" i="40" s="1"/>
  <c r="AD48" i="40" s="1"/>
  <c r="AD50" i="40" s="1"/>
  <c r="AC56" i="40"/>
  <c r="AC62" i="42"/>
  <c r="AD32" i="13"/>
  <c r="AD27" i="13"/>
  <c r="AD26" i="13"/>
  <c r="AB54" i="13"/>
  <c r="AB55" i="13"/>
  <c r="AB53" i="13"/>
  <c r="AE18" i="13"/>
  <c r="AE20" i="13" s="1"/>
  <c r="AF14" i="13"/>
  <c r="AC41" i="13"/>
  <c r="AC39" i="13"/>
  <c r="AA70" i="42"/>
  <c r="AA71" i="42"/>
  <c r="AA69" i="42"/>
  <c r="AD30" i="13"/>
  <c r="AD31" i="13"/>
  <c r="AC39" i="65" l="1"/>
  <c r="AC40" i="65"/>
  <c r="AC42" i="59"/>
  <c r="AC42" i="13"/>
  <c r="AC39" i="59"/>
  <c r="AC41" i="59"/>
  <c r="AE36" i="40"/>
  <c r="AE41" i="40" s="1"/>
  <c r="AE26" i="69"/>
  <c r="AE27" i="69"/>
  <c r="AE32" i="69"/>
  <c r="AE28" i="69"/>
  <c r="AD42" i="69"/>
  <c r="AD46" i="69" s="1"/>
  <c r="AD48" i="69" s="1"/>
  <c r="AD41" i="69"/>
  <c r="AD40" i="69"/>
  <c r="AD39" i="69"/>
  <c r="AF21" i="69"/>
  <c r="AF22" i="69" s="1"/>
  <c r="AC53" i="69"/>
  <c r="AC57" i="69" s="1"/>
  <c r="AC52" i="69"/>
  <c r="AC51" i="69"/>
  <c r="AC54" i="69" s="1"/>
  <c r="AC43" i="69"/>
  <c r="AD35" i="67"/>
  <c r="AD33" i="67"/>
  <c r="AD34" i="67"/>
  <c r="AD32" i="67"/>
  <c r="AD36" i="67" s="1"/>
  <c r="AF15" i="67"/>
  <c r="AF16" i="67" s="1"/>
  <c r="AF18" i="67" s="1"/>
  <c r="AF20" i="67" s="1"/>
  <c r="AE21" i="67"/>
  <c r="AE22" i="67"/>
  <c r="AC46" i="67"/>
  <c r="AC48" i="67"/>
  <c r="AC47" i="67"/>
  <c r="AD30" i="61"/>
  <c r="AD36" i="61" s="1"/>
  <c r="AD31" i="61"/>
  <c r="AC42" i="61"/>
  <c r="AC46" i="61" s="1"/>
  <c r="AC48" i="61" s="1"/>
  <c r="AC41" i="61"/>
  <c r="AC39" i="61"/>
  <c r="AC40" i="61"/>
  <c r="AF15" i="61"/>
  <c r="AF16" i="61" s="1"/>
  <c r="AF18" i="61" s="1"/>
  <c r="AF20" i="61" s="1"/>
  <c r="AE21" i="61"/>
  <c r="AE22" i="61"/>
  <c r="AD34" i="61"/>
  <c r="AD35" i="61"/>
  <c r="AD35" i="60"/>
  <c r="AD34" i="60"/>
  <c r="AD32" i="60"/>
  <c r="AD33" i="60"/>
  <c r="AC46" i="60"/>
  <c r="AC48" i="60"/>
  <c r="AC47" i="60"/>
  <c r="AF15" i="60"/>
  <c r="AF16" i="60" s="1"/>
  <c r="AF18" i="60" s="1"/>
  <c r="AF20" i="60" s="1"/>
  <c r="AE21" i="60"/>
  <c r="AE22" i="60" s="1"/>
  <c r="AB56" i="59"/>
  <c r="AB62" i="61"/>
  <c r="AC46" i="59"/>
  <c r="AC47" i="59" s="1"/>
  <c r="AC48" i="59" s="1"/>
  <c r="AC50" i="59" s="1"/>
  <c r="AB66" i="61"/>
  <c r="AB59" i="59"/>
  <c r="AB61" i="59" s="1"/>
  <c r="AF15" i="59"/>
  <c r="AF16" i="59" s="1"/>
  <c r="AF18" i="59" s="1"/>
  <c r="AF20" i="59" s="1"/>
  <c r="AD34" i="59"/>
  <c r="AC35" i="70" s="1"/>
  <c r="AC38" i="70" s="1"/>
  <c r="AD35" i="59"/>
  <c r="AC36" i="70" s="1"/>
  <c r="AC41" i="70" s="1"/>
  <c r="AE28" i="59"/>
  <c r="AE21" i="59"/>
  <c r="AE22" i="59" s="1"/>
  <c r="AD36" i="64"/>
  <c r="AD39" i="64" s="1"/>
  <c r="AE31" i="64"/>
  <c r="AD52" i="70" s="1"/>
  <c r="AE30" i="64"/>
  <c r="AD51" i="70" s="1"/>
  <c r="AF21" i="64"/>
  <c r="AF22" i="64" s="1"/>
  <c r="AF28" i="64"/>
  <c r="AC55" i="64"/>
  <c r="AC54" i="64"/>
  <c r="AC53" i="64"/>
  <c r="AE32" i="64"/>
  <c r="AE27" i="64"/>
  <c r="AD49" i="70" s="1"/>
  <c r="AE26" i="64"/>
  <c r="AD48" i="70" s="1"/>
  <c r="AB71" i="68"/>
  <c r="AB70" i="68"/>
  <c r="AB69" i="68"/>
  <c r="AF15" i="65"/>
  <c r="AF16" i="65" s="1"/>
  <c r="AF18" i="65" s="1"/>
  <c r="AF20" i="65" s="1"/>
  <c r="AB66" i="69"/>
  <c r="AB59" i="65"/>
  <c r="AB61" i="65" s="1"/>
  <c r="AD34" i="65"/>
  <c r="AC73" i="70" s="1"/>
  <c r="AC76" i="70" s="1"/>
  <c r="AD35" i="65"/>
  <c r="AC74" i="70" s="1"/>
  <c r="AC79" i="70" s="1"/>
  <c r="AE21" i="65"/>
  <c r="AE22" i="65" s="1"/>
  <c r="AE28" i="65"/>
  <c r="AB56" i="65"/>
  <c r="AB62" i="69"/>
  <c r="AC46" i="65"/>
  <c r="AC47" i="65" s="1"/>
  <c r="AC48" i="65" s="1"/>
  <c r="AC50" i="65" s="1"/>
  <c r="AD54" i="40"/>
  <c r="AD55" i="40"/>
  <c r="AD53" i="40"/>
  <c r="AF35" i="40"/>
  <c r="AE17" i="70" s="1"/>
  <c r="AE22" i="70" s="1"/>
  <c r="B23" i="70" s="1"/>
  <c r="I12" i="26" s="1"/>
  <c r="I13" i="26" s="1"/>
  <c r="AF34" i="40"/>
  <c r="AE16" i="70" s="1"/>
  <c r="AE19" i="70" s="1"/>
  <c r="B20" i="70" s="1"/>
  <c r="H12" i="26" s="1"/>
  <c r="H13" i="26" s="1"/>
  <c r="AC46" i="13"/>
  <c r="AC47" i="13" s="1"/>
  <c r="AC48" i="13" s="1"/>
  <c r="AC50" i="13" s="1"/>
  <c r="AB65" i="42"/>
  <c r="AB59" i="13"/>
  <c r="AB61" i="13" s="1"/>
  <c r="AE21" i="13"/>
  <c r="AE22" i="13" s="1"/>
  <c r="AE28" i="13"/>
  <c r="AB61" i="42"/>
  <c r="AB56" i="13"/>
  <c r="AC43" i="13"/>
  <c r="AF15" i="13"/>
  <c r="AF16" i="13" s="1"/>
  <c r="AF18" i="13" s="1"/>
  <c r="AF20" i="13" s="1"/>
  <c r="AD35" i="13"/>
  <c r="AD34" i="13"/>
  <c r="AC43" i="65" l="1"/>
  <c r="AC43" i="59"/>
  <c r="AE40" i="40"/>
  <c r="AE39" i="40"/>
  <c r="AE43" i="40" s="1"/>
  <c r="AE42" i="40"/>
  <c r="AD36" i="59"/>
  <c r="AD41" i="59" s="1"/>
  <c r="AD40" i="64"/>
  <c r="AD41" i="64"/>
  <c r="AD42" i="64"/>
  <c r="AF26" i="69"/>
  <c r="AF32" i="69"/>
  <c r="AF27" i="69"/>
  <c r="AF28" i="69"/>
  <c r="AE34" i="69"/>
  <c r="AE35" i="69"/>
  <c r="AD51" i="69"/>
  <c r="AD54" i="69" s="1"/>
  <c r="AD52" i="69"/>
  <c r="AD53" i="69"/>
  <c r="AD57" i="69" s="1"/>
  <c r="AD43" i="69"/>
  <c r="AE31" i="69"/>
  <c r="AE30" i="69"/>
  <c r="AF21" i="67"/>
  <c r="AF22" i="67"/>
  <c r="AE25" i="67"/>
  <c r="AE29" i="67"/>
  <c r="AE26" i="67"/>
  <c r="AE27" i="67"/>
  <c r="AE28" i="67" s="1"/>
  <c r="AC52" i="67"/>
  <c r="AC54" i="67" s="1"/>
  <c r="AC67" i="69"/>
  <c r="AC63" i="69"/>
  <c r="AC49" i="67"/>
  <c r="AD39" i="67"/>
  <c r="AD40" i="67" s="1"/>
  <c r="AD41" i="67"/>
  <c r="AD43" i="67" s="1"/>
  <c r="AF21" i="61"/>
  <c r="AF22" i="61" s="1"/>
  <c r="AD40" i="61"/>
  <c r="AD42" i="61"/>
  <c r="AD46" i="61" s="1"/>
  <c r="AD48" i="61" s="1"/>
  <c r="AD41" i="61"/>
  <c r="AD39" i="61"/>
  <c r="AC53" i="61"/>
  <c r="AC57" i="61" s="1"/>
  <c r="AC51" i="61"/>
  <c r="AC54" i="61" s="1"/>
  <c r="AC52" i="61"/>
  <c r="AE26" i="61"/>
  <c r="AE27" i="61"/>
  <c r="AE28" i="61"/>
  <c r="AE32" i="61"/>
  <c r="AC43" i="61"/>
  <c r="AF21" i="60"/>
  <c r="AF22" i="60" s="1"/>
  <c r="AE25" i="60"/>
  <c r="AE29" i="60"/>
  <c r="AE26" i="60"/>
  <c r="AE27" i="60"/>
  <c r="AE28" i="60" s="1"/>
  <c r="AC63" i="61"/>
  <c r="AC49" i="60"/>
  <c r="AD39" i="60"/>
  <c r="AD40" i="60" s="1"/>
  <c r="AD41" i="60" s="1"/>
  <c r="AD43" i="60" s="1"/>
  <c r="AD36" i="60"/>
  <c r="AC67" i="61"/>
  <c r="AC52" i="60"/>
  <c r="AC54" i="60" s="1"/>
  <c r="AC55" i="59"/>
  <c r="AC53" i="59"/>
  <c r="AC54" i="59"/>
  <c r="AE26" i="59"/>
  <c r="AD29" i="70" s="1"/>
  <c r="AE32" i="59"/>
  <c r="AE27" i="59"/>
  <c r="AD30" i="70" s="1"/>
  <c r="AB70" i="61"/>
  <c r="AB69" i="61"/>
  <c r="AB71" i="61"/>
  <c r="AF21" i="59"/>
  <c r="AF22" i="59" s="1"/>
  <c r="AF28" i="59"/>
  <c r="AE30" i="59"/>
  <c r="AD32" i="70" s="1"/>
  <c r="AE31" i="59"/>
  <c r="AD33" i="70" s="1"/>
  <c r="AF26" i="64"/>
  <c r="AE48" i="70" s="1"/>
  <c r="AF32" i="64"/>
  <c r="AF27" i="64"/>
  <c r="AE49" i="70" s="1"/>
  <c r="AC56" i="64"/>
  <c r="AC62" i="68"/>
  <c r="AC66" i="68"/>
  <c r="AC59" i="64"/>
  <c r="AC61" i="64" s="1"/>
  <c r="AE34" i="64"/>
  <c r="AD54" i="70" s="1"/>
  <c r="AD57" i="70" s="1"/>
  <c r="AE35" i="64"/>
  <c r="AD55" i="70" s="1"/>
  <c r="AD60" i="70" s="1"/>
  <c r="AF30" i="64"/>
  <c r="AE51" i="70" s="1"/>
  <c r="AF31" i="64"/>
  <c r="AE52" i="70" s="1"/>
  <c r="AE27" i="65"/>
  <c r="AD68" i="70" s="1"/>
  <c r="AE32" i="65"/>
  <c r="AE26" i="65"/>
  <c r="AD67" i="70" s="1"/>
  <c r="AC53" i="65"/>
  <c r="AC55" i="65"/>
  <c r="AC54" i="65"/>
  <c r="AF28" i="65"/>
  <c r="AF21" i="65"/>
  <c r="AF22" i="65" s="1"/>
  <c r="AE30" i="65"/>
  <c r="AD70" i="70" s="1"/>
  <c r="AE31" i="65"/>
  <c r="AD71" i="70" s="1"/>
  <c r="AB70" i="69"/>
  <c r="AB71" i="69"/>
  <c r="AB69" i="69"/>
  <c r="AD36" i="65"/>
  <c r="AD62" i="42"/>
  <c r="AD56" i="40"/>
  <c r="AE46" i="40"/>
  <c r="AE47" i="40" s="1"/>
  <c r="AE48" i="40" s="1"/>
  <c r="AE50" i="40" s="1"/>
  <c r="AD66" i="42"/>
  <c r="AD59" i="40"/>
  <c r="AD61" i="40" s="1"/>
  <c r="AF36" i="40"/>
  <c r="AD36" i="13"/>
  <c r="AD41" i="13" s="1"/>
  <c r="AF21" i="13"/>
  <c r="AF22" i="13" s="1"/>
  <c r="AF28" i="13"/>
  <c r="AE32" i="13"/>
  <c r="AE26" i="13"/>
  <c r="AE27" i="13"/>
  <c r="AC53" i="13"/>
  <c r="AC54" i="13"/>
  <c r="AC55" i="13"/>
  <c r="AE31" i="13"/>
  <c r="AE30" i="13"/>
  <c r="AB70" i="42"/>
  <c r="AB69" i="42"/>
  <c r="AB71" i="42"/>
  <c r="AD39" i="59" l="1"/>
  <c r="AD40" i="59"/>
  <c r="AD43" i="64"/>
  <c r="AD42" i="59"/>
  <c r="AD46" i="59" s="1"/>
  <c r="AD47" i="59" s="1"/>
  <c r="AD48" i="59" s="1"/>
  <c r="AD50" i="59" s="1"/>
  <c r="AD40" i="13"/>
  <c r="AD39" i="13"/>
  <c r="AD42" i="13"/>
  <c r="AD46" i="64"/>
  <c r="AD47" i="64" s="1"/>
  <c r="AD48" i="64" s="1"/>
  <c r="AD50" i="64" s="1"/>
  <c r="AD54" i="64" s="1"/>
  <c r="AF34" i="69"/>
  <c r="AF35" i="69"/>
  <c r="AE36" i="69"/>
  <c r="AF30" i="69"/>
  <c r="AF36" i="69" s="1"/>
  <c r="AF31" i="69"/>
  <c r="AD46" i="67"/>
  <c r="AD47" i="67"/>
  <c r="AD48" i="67"/>
  <c r="AF25" i="67"/>
  <c r="AF26" i="67"/>
  <c r="AF27" i="67"/>
  <c r="AF28" i="67" s="1"/>
  <c r="AF29" i="67" s="1"/>
  <c r="AE34" i="67"/>
  <c r="AE35" i="67"/>
  <c r="AE33" i="67"/>
  <c r="AE32" i="67"/>
  <c r="AF27" i="61"/>
  <c r="AF28" i="61"/>
  <c r="AF26" i="61"/>
  <c r="AF32" i="61"/>
  <c r="AD51" i="61"/>
  <c r="AD53" i="61"/>
  <c r="AD57" i="61" s="1"/>
  <c r="AD52" i="61"/>
  <c r="AE35" i="61"/>
  <c r="AE34" i="61"/>
  <c r="AD43" i="61"/>
  <c r="AE31" i="61"/>
  <c r="AE30" i="61"/>
  <c r="AD46" i="60"/>
  <c r="AD48" i="60"/>
  <c r="AD47" i="60"/>
  <c r="AF26" i="60"/>
  <c r="AF25" i="60"/>
  <c r="AF27" i="60"/>
  <c r="AF28" i="60" s="1"/>
  <c r="AF29" i="60" s="1"/>
  <c r="AE35" i="60"/>
  <c r="AE32" i="60"/>
  <c r="AE33" i="60"/>
  <c r="AE34" i="60"/>
  <c r="AF26" i="59"/>
  <c r="AE29" i="70" s="1"/>
  <c r="AF32" i="59"/>
  <c r="AF27" i="59"/>
  <c r="AE30" i="70" s="1"/>
  <c r="AF30" i="59"/>
  <c r="AE32" i="70" s="1"/>
  <c r="AF31" i="59"/>
  <c r="AE33" i="70" s="1"/>
  <c r="AC62" i="61"/>
  <c r="AC56" i="59"/>
  <c r="AE35" i="59"/>
  <c r="AD36" i="70" s="1"/>
  <c r="AD41" i="70" s="1"/>
  <c r="AE34" i="59"/>
  <c r="AD35" i="70" s="1"/>
  <c r="AD38" i="70" s="1"/>
  <c r="AC66" i="61"/>
  <c r="AC59" i="59"/>
  <c r="AC61" i="59" s="1"/>
  <c r="AE36" i="64"/>
  <c r="AF35" i="64"/>
  <c r="AE55" i="70" s="1"/>
  <c r="AE60" i="70" s="1"/>
  <c r="B61" i="70" s="1"/>
  <c r="I24" i="26" s="1"/>
  <c r="I25" i="26" s="1"/>
  <c r="AF34" i="64"/>
  <c r="AE54" i="70" s="1"/>
  <c r="AE57" i="70" s="1"/>
  <c r="B58" i="70" s="1"/>
  <c r="H24" i="26" s="1"/>
  <c r="H25" i="26" s="1"/>
  <c r="AC70" i="68"/>
  <c r="AC69" i="68"/>
  <c r="AC71" i="68"/>
  <c r="AC66" i="69"/>
  <c r="AC59" i="65"/>
  <c r="AC61" i="65" s="1"/>
  <c r="AE34" i="65"/>
  <c r="AD73" i="70" s="1"/>
  <c r="AD76" i="70" s="1"/>
  <c r="AE35" i="65"/>
  <c r="AD74" i="70" s="1"/>
  <c r="AD79" i="70" s="1"/>
  <c r="AD42" i="65"/>
  <c r="AD40" i="65"/>
  <c r="AD41" i="65"/>
  <c r="AD39" i="65"/>
  <c r="AF26" i="65"/>
  <c r="AE67" i="70" s="1"/>
  <c r="AF32" i="65"/>
  <c r="AF27" i="65"/>
  <c r="AE68" i="70" s="1"/>
  <c r="AF30" i="65"/>
  <c r="AE70" i="70" s="1"/>
  <c r="AF31" i="65"/>
  <c r="AE71" i="70" s="1"/>
  <c r="AC62" i="69"/>
  <c r="AC56" i="65"/>
  <c r="AE54" i="40"/>
  <c r="AE53" i="40"/>
  <c r="AE55" i="40"/>
  <c r="AF42" i="40"/>
  <c r="AF41" i="40"/>
  <c r="AF40" i="40"/>
  <c r="AF39" i="40"/>
  <c r="AC56" i="13"/>
  <c r="AC61" i="42"/>
  <c r="AF26" i="13"/>
  <c r="AF32" i="13"/>
  <c r="AF27" i="13"/>
  <c r="AC65" i="42"/>
  <c r="AC59" i="13"/>
  <c r="AC61" i="13" s="1"/>
  <c r="AF31" i="13"/>
  <c r="AF30" i="13"/>
  <c r="AE35" i="13"/>
  <c r="AE34" i="13"/>
  <c r="AD46" i="13"/>
  <c r="AD47" i="13" s="1"/>
  <c r="AD48" i="13" s="1"/>
  <c r="AD50" i="13" s="1"/>
  <c r="AD43" i="59" l="1"/>
  <c r="AD55" i="64"/>
  <c r="AD66" i="68" s="1"/>
  <c r="AD53" i="64"/>
  <c r="AD62" i="68" s="1"/>
  <c r="AD43" i="13"/>
  <c r="AE36" i="13"/>
  <c r="AE41" i="13" s="1"/>
  <c r="AE36" i="59"/>
  <c r="AF36" i="64"/>
  <c r="AF40" i="64" s="1"/>
  <c r="AF43" i="40"/>
  <c r="AF42" i="69"/>
  <c r="AF46" i="69" s="1"/>
  <c r="AF48" i="69" s="1"/>
  <c r="AF39" i="69"/>
  <c r="AF41" i="69"/>
  <c r="AF40" i="69"/>
  <c r="AE42" i="69"/>
  <c r="AE46" i="69" s="1"/>
  <c r="AE48" i="69" s="1"/>
  <c r="AE41" i="69"/>
  <c r="AE39" i="69"/>
  <c r="AE43" i="69" s="1"/>
  <c r="AE40" i="69"/>
  <c r="AF34" i="67"/>
  <c r="AF32" i="67"/>
  <c r="AF35" i="67"/>
  <c r="AF33" i="67"/>
  <c r="AE36" i="67"/>
  <c r="AD52" i="67"/>
  <c r="AD54" i="67" s="1"/>
  <c r="AD67" i="69"/>
  <c r="AE41" i="67"/>
  <c r="AE43" i="67" s="1"/>
  <c r="AE39" i="67"/>
  <c r="AE40" i="67" s="1"/>
  <c r="AD63" i="69"/>
  <c r="AD49" i="67"/>
  <c r="AD43" i="65"/>
  <c r="AF30" i="61"/>
  <c r="AF36" i="61" s="1"/>
  <c r="AF31" i="61"/>
  <c r="AD54" i="61"/>
  <c r="AE36" i="61"/>
  <c r="AF34" i="61"/>
  <c r="AF35" i="61"/>
  <c r="AF35" i="60"/>
  <c r="AF34" i="60"/>
  <c r="AF32" i="60"/>
  <c r="AF33" i="60"/>
  <c r="AE39" i="60"/>
  <c r="AE40" i="60" s="1"/>
  <c r="AE41" i="60" s="1"/>
  <c r="AE43" i="60" s="1"/>
  <c r="AD67" i="61"/>
  <c r="AD52" i="60"/>
  <c r="AD54" i="60" s="1"/>
  <c r="AE36" i="60"/>
  <c r="AD63" i="61"/>
  <c r="AD49" i="60"/>
  <c r="AE42" i="59"/>
  <c r="AE41" i="59"/>
  <c r="AE39" i="59"/>
  <c r="AE40" i="59"/>
  <c r="AD55" i="59"/>
  <c r="AD53" i="59"/>
  <c r="AD54" i="59"/>
  <c r="AF34" i="59"/>
  <c r="AE35" i="70" s="1"/>
  <c r="AE38" i="70" s="1"/>
  <c r="B39" i="70" s="1"/>
  <c r="H18" i="26" s="1"/>
  <c r="H19" i="26" s="1"/>
  <c r="H35" i="26" s="1"/>
  <c r="AF35" i="59"/>
  <c r="AE36" i="70" s="1"/>
  <c r="AE41" i="70" s="1"/>
  <c r="B42" i="70" s="1"/>
  <c r="I18" i="26" s="1"/>
  <c r="I19" i="26" s="1"/>
  <c r="I35" i="26" s="1"/>
  <c r="AC71" i="61"/>
  <c r="AC70" i="61"/>
  <c r="AC69" i="61"/>
  <c r="AF41" i="64"/>
  <c r="AE39" i="64"/>
  <c r="AE42" i="64"/>
  <c r="AE40" i="64"/>
  <c r="AE41" i="64"/>
  <c r="AF35" i="65"/>
  <c r="AE74" i="70" s="1"/>
  <c r="AE79" i="70" s="1"/>
  <c r="B80" i="70" s="1"/>
  <c r="I30" i="26" s="1"/>
  <c r="I31" i="26" s="1"/>
  <c r="AF34" i="65"/>
  <c r="AE73" i="70" s="1"/>
  <c r="AE76" i="70" s="1"/>
  <c r="B77" i="70" s="1"/>
  <c r="H30" i="26" s="1"/>
  <c r="H31" i="26" s="1"/>
  <c r="AC70" i="69"/>
  <c r="AC71" i="69"/>
  <c r="AC69" i="69"/>
  <c r="AE36" i="65"/>
  <c r="AD46" i="65"/>
  <c r="AD47" i="65" s="1"/>
  <c r="AD48" i="65" s="1"/>
  <c r="AD50" i="65" s="1"/>
  <c r="AF46" i="40"/>
  <c r="AF47" i="40" s="1"/>
  <c r="AF48" i="40" s="1"/>
  <c r="AF50" i="40" s="1"/>
  <c r="AE62" i="42"/>
  <c r="AE56" i="40"/>
  <c r="AE66" i="42"/>
  <c r="AE59" i="40"/>
  <c r="AE61" i="40" s="1"/>
  <c r="AD54" i="13"/>
  <c r="AD55" i="13"/>
  <c r="AD53" i="13"/>
  <c r="AC71" i="42"/>
  <c r="AC70" i="42"/>
  <c r="AC69" i="42"/>
  <c r="AF35" i="13"/>
  <c r="AF34" i="13"/>
  <c r="AD59" i="64" l="1"/>
  <c r="AD61" i="64" s="1"/>
  <c r="AD56" i="64"/>
  <c r="AF39" i="64"/>
  <c r="AF42" i="64"/>
  <c r="AE42" i="13"/>
  <c r="AE46" i="13" s="1"/>
  <c r="AE47" i="13" s="1"/>
  <c r="AE48" i="13" s="1"/>
  <c r="AE50" i="13" s="1"/>
  <c r="AE40" i="13"/>
  <c r="AE39" i="13"/>
  <c r="AE43" i="13" s="1"/>
  <c r="AF36" i="13"/>
  <c r="AF41" i="13" s="1"/>
  <c r="AF36" i="59"/>
  <c r="AF41" i="59" s="1"/>
  <c r="AF36" i="65"/>
  <c r="AF39" i="65" s="1"/>
  <c r="AF43" i="69"/>
  <c r="AE51" i="69"/>
  <c r="AE53" i="69"/>
  <c r="AE57" i="69" s="1"/>
  <c r="AE52" i="69"/>
  <c r="AF53" i="69"/>
  <c r="AF57" i="69" s="1"/>
  <c r="AF52" i="69"/>
  <c r="AF51" i="69"/>
  <c r="AF54" i="69" s="1"/>
  <c r="AF39" i="67"/>
  <c r="AF40" i="67" s="1"/>
  <c r="AF41" i="67" s="1"/>
  <c r="AF43" i="67" s="1"/>
  <c r="AF36" i="67"/>
  <c r="AE48" i="67"/>
  <c r="AE46" i="67"/>
  <c r="AE47" i="67"/>
  <c r="AF42" i="61"/>
  <c r="AF46" i="61" s="1"/>
  <c r="AF48" i="61" s="1"/>
  <c r="AF39" i="61"/>
  <c r="AF41" i="61"/>
  <c r="AF40" i="61"/>
  <c r="AE42" i="61"/>
  <c r="AE46" i="61" s="1"/>
  <c r="AE48" i="61" s="1"/>
  <c r="AE40" i="61"/>
  <c r="AE41" i="61"/>
  <c r="AE39" i="61"/>
  <c r="AE43" i="61" s="1"/>
  <c r="AE48" i="60"/>
  <c r="AE46" i="60"/>
  <c r="AE47" i="60"/>
  <c r="AF36" i="60"/>
  <c r="AF39" i="60"/>
  <c r="AF40" i="60" s="1"/>
  <c r="AF41" i="60" s="1"/>
  <c r="AF43" i="60" s="1"/>
  <c r="AE43" i="59"/>
  <c r="AF40" i="59"/>
  <c r="AD62" i="61"/>
  <c r="AD56" i="59"/>
  <c r="AD66" i="61"/>
  <c r="AD59" i="59"/>
  <c r="AD61" i="59" s="1"/>
  <c r="AE46" i="59"/>
  <c r="AE47" i="59" s="1"/>
  <c r="AE48" i="59" s="1"/>
  <c r="AE50" i="59" s="1"/>
  <c r="AE43" i="64"/>
  <c r="AF46" i="64"/>
  <c r="AF47" i="64" s="1"/>
  <c r="AF48" i="64" s="1"/>
  <c r="AF50" i="64" s="1"/>
  <c r="AE46" i="64"/>
  <c r="AE47" i="64" s="1"/>
  <c r="AE48" i="64" s="1"/>
  <c r="AE50" i="64" s="1"/>
  <c r="AD71" i="68"/>
  <c r="AD70" i="68"/>
  <c r="AD69" i="68"/>
  <c r="AF43" i="64"/>
  <c r="AD53" i="65"/>
  <c r="AD54" i="65"/>
  <c r="AD55" i="65"/>
  <c r="AE40" i="65"/>
  <c r="AE42" i="65"/>
  <c r="AE41" i="65"/>
  <c r="AE39" i="65"/>
  <c r="AF54" i="40"/>
  <c r="AF53" i="40"/>
  <c r="AF55" i="40"/>
  <c r="AD56" i="13"/>
  <c r="AD61" i="42"/>
  <c r="AD65" i="42"/>
  <c r="AD59" i="13"/>
  <c r="AD61" i="13" s="1"/>
  <c r="AF40" i="65" l="1"/>
  <c r="AF39" i="59"/>
  <c r="AF42" i="59"/>
  <c r="AF41" i="65"/>
  <c r="AF40" i="13"/>
  <c r="AF39" i="13"/>
  <c r="AF42" i="13"/>
  <c r="AF43" i="13" s="1"/>
  <c r="AF42" i="65"/>
  <c r="AE54" i="69"/>
  <c r="AF47" i="67"/>
  <c r="AF48" i="67"/>
  <c r="AF46" i="67"/>
  <c r="AE52" i="67"/>
  <c r="AE54" i="67" s="1"/>
  <c r="AE67" i="69"/>
  <c r="AE63" i="69"/>
  <c r="AE49" i="67"/>
  <c r="AF43" i="61"/>
  <c r="AE51" i="61"/>
  <c r="AE53" i="61"/>
  <c r="AE57" i="61" s="1"/>
  <c r="AE52" i="61"/>
  <c r="AF51" i="61"/>
  <c r="AF53" i="61"/>
  <c r="AF57" i="61" s="1"/>
  <c r="AF52" i="61"/>
  <c r="AF48" i="60"/>
  <c r="AF46" i="60"/>
  <c r="AF47" i="60"/>
  <c r="AE63" i="61"/>
  <c r="AE49" i="60"/>
  <c r="AE67" i="61"/>
  <c r="AE52" i="60"/>
  <c r="AE54" i="60" s="1"/>
  <c r="AE53" i="59"/>
  <c r="AE55" i="59"/>
  <c r="AE54" i="59"/>
  <c r="AD70" i="61"/>
  <c r="AD71" i="61"/>
  <c r="AD69" i="61"/>
  <c r="AF46" i="59"/>
  <c r="AF47" i="59" s="1"/>
  <c r="AF48" i="59" s="1"/>
  <c r="AF50" i="59" s="1"/>
  <c r="AF43" i="59"/>
  <c r="AF53" i="64"/>
  <c r="AF55" i="64"/>
  <c r="AF54" i="64"/>
  <c r="AE55" i="64"/>
  <c r="AE54" i="64"/>
  <c r="AE53" i="64"/>
  <c r="AE43" i="65"/>
  <c r="AD66" i="69"/>
  <c r="AD59" i="65"/>
  <c r="AD61" i="65" s="1"/>
  <c r="AF46" i="65"/>
  <c r="AF47" i="65" s="1"/>
  <c r="AF48" i="65" s="1"/>
  <c r="AF50" i="65" s="1"/>
  <c r="AE46" i="65"/>
  <c r="AE47" i="65" s="1"/>
  <c r="AE48" i="65" s="1"/>
  <c r="AE50" i="65" s="1"/>
  <c r="AD56" i="65"/>
  <c r="AD62" i="69"/>
  <c r="AF56" i="40"/>
  <c r="AF62" i="42"/>
  <c r="AF66" i="42"/>
  <c r="AF59" i="40"/>
  <c r="AF61" i="40" s="1"/>
  <c r="C62" i="40" s="1"/>
  <c r="C12" i="26" s="1"/>
  <c r="C13" i="26" s="1"/>
  <c r="AE54" i="13"/>
  <c r="AE55" i="13"/>
  <c r="AE53" i="13"/>
  <c r="AD70" i="42"/>
  <c r="AD71" i="42"/>
  <c r="AD69" i="42"/>
  <c r="AF43" i="65" l="1"/>
  <c r="AF46" i="13"/>
  <c r="AF47" i="13" s="1"/>
  <c r="AF48" i="13" s="1"/>
  <c r="AF50" i="13" s="1"/>
  <c r="AF54" i="13" s="1"/>
  <c r="AF63" i="69"/>
  <c r="AF49" i="67"/>
  <c r="AF52" i="67"/>
  <c r="AF54" i="67" s="1"/>
  <c r="C55" i="67" s="1"/>
  <c r="D30" i="26" s="1"/>
  <c r="D31" i="26" s="1"/>
  <c r="AF67" i="69"/>
  <c r="AE54" i="61"/>
  <c r="AF54" i="61"/>
  <c r="AF63" i="61"/>
  <c r="AF49" i="60"/>
  <c r="AF67" i="61"/>
  <c r="AF52" i="60"/>
  <c r="AF54" i="60" s="1"/>
  <c r="C55" i="60" s="1"/>
  <c r="D18" i="26" s="1"/>
  <c r="D19" i="26" s="1"/>
  <c r="D35" i="26" s="1"/>
  <c r="AF55" i="59"/>
  <c r="AF53" i="59"/>
  <c r="AF54" i="59"/>
  <c r="AE66" i="61"/>
  <c r="AE59" i="59"/>
  <c r="AE61" i="59" s="1"/>
  <c r="AE62" i="61"/>
  <c r="AE56" i="59"/>
  <c r="AE59" i="64"/>
  <c r="AE61" i="64" s="1"/>
  <c r="AE66" i="68"/>
  <c r="AE62" i="68"/>
  <c r="AE56" i="64"/>
  <c r="AF66" i="68"/>
  <c r="AF59" i="64"/>
  <c r="AF61" i="64" s="1"/>
  <c r="AF62" i="68"/>
  <c r="AF56" i="64"/>
  <c r="AE53" i="65"/>
  <c r="AE55" i="65"/>
  <c r="AE54" i="65"/>
  <c r="AD69" i="69"/>
  <c r="AD71" i="69"/>
  <c r="AD70" i="69"/>
  <c r="AF54" i="65"/>
  <c r="AF55" i="65"/>
  <c r="AF53" i="65"/>
  <c r="AE56" i="13"/>
  <c r="AE61" i="42"/>
  <c r="AE65" i="42"/>
  <c r="AE59" i="13"/>
  <c r="AE61" i="13" s="1"/>
  <c r="C62" i="64" l="1"/>
  <c r="C24" i="26" s="1"/>
  <c r="C25" i="26" s="1"/>
  <c r="AF55" i="13"/>
  <c r="AF65" i="42" s="1"/>
  <c r="AF53" i="13"/>
  <c r="AE70" i="61"/>
  <c r="AE71" i="61"/>
  <c r="AE69" i="61"/>
  <c r="AF62" i="61"/>
  <c r="AF56" i="59"/>
  <c r="AF66" i="61"/>
  <c r="AF59" i="59"/>
  <c r="AF61" i="59" s="1"/>
  <c r="C62" i="59" s="1"/>
  <c r="C18" i="26" s="1"/>
  <c r="C19" i="26" s="1"/>
  <c r="AF70" i="68"/>
  <c r="AF69" i="68"/>
  <c r="AF71" i="68"/>
  <c r="AE71" i="68"/>
  <c r="AE69" i="68"/>
  <c r="AE70" i="68"/>
  <c r="AF59" i="65"/>
  <c r="AF61" i="65" s="1"/>
  <c r="AF66" i="69"/>
  <c r="AE66" i="69"/>
  <c r="AE59" i="65"/>
  <c r="AE61" i="65" s="1"/>
  <c r="AF62" i="69"/>
  <c r="AF56" i="65"/>
  <c r="AE56" i="65"/>
  <c r="AE62" i="69"/>
  <c r="AE70" i="42"/>
  <c r="AE71" i="42"/>
  <c r="AE69" i="42"/>
  <c r="C35" i="26" l="1"/>
  <c r="AF56" i="13"/>
  <c r="AF59" i="13"/>
  <c r="AF61" i="13" s="1"/>
  <c r="C62" i="13" s="1"/>
  <c r="B12" i="26" s="1"/>
  <c r="B13" i="26" s="1"/>
  <c r="AF61" i="42"/>
  <c r="AF71" i="42" s="1"/>
  <c r="AF69" i="61"/>
  <c r="AF70" i="61"/>
  <c r="C73" i="61" s="1"/>
  <c r="E18" i="26" s="1"/>
  <c r="E19" i="26" s="1"/>
  <c r="AF71" i="61"/>
  <c r="C74" i="61" s="1"/>
  <c r="F18" i="26" s="1"/>
  <c r="F19" i="26" s="1"/>
  <c r="C74" i="68"/>
  <c r="F24" i="26" s="1"/>
  <c r="F25" i="26" s="1"/>
  <c r="C73" i="68"/>
  <c r="E24" i="26" s="1"/>
  <c r="E25" i="26" s="1"/>
  <c r="AE71" i="69"/>
  <c r="AE70" i="69"/>
  <c r="AE69" i="69"/>
  <c r="AF70" i="69"/>
  <c r="AF69" i="69"/>
  <c r="AF71" i="69"/>
  <c r="C74" i="69" s="1"/>
  <c r="F30" i="26" s="1"/>
  <c r="F31" i="26" s="1"/>
  <c r="C62" i="65"/>
  <c r="C30" i="26" s="1"/>
  <c r="C31" i="26" s="1"/>
  <c r="AF70" i="42" l="1"/>
  <c r="C73" i="42" s="1"/>
  <c r="E12" i="26" s="1"/>
  <c r="E13" i="26" s="1"/>
  <c r="AF69" i="42"/>
  <c r="F35" i="26"/>
  <c r="C74" i="42"/>
  <c r="F12" i="26" s="1"/>
  <c r="F13" i="26" s="1"/>
  <c r="E35" i="26"/>
  <c r="C73" i="69"/>
  <c r="E30" i="26" s="1"/>
  <c r="E31" i="26" s="1"/>
</calcChain>
</file>

<file path=xl/sharedStrings.xml><?xml version="1.0" encoding="utf-8"?>
<sst xmlns="http://schemas.openxmlformats.org/spreadsheetml/2006/main" count="2204" uniqueCount="356">
  <si>
    <t>Fort Ord Reuse Authority</t>
  </si>
  <si>
    <t>Del Rey Oaks</t>
  </si>
  <si>
    <t>Marina</t>
  </si>
  <si>
    <t>Seaside</t>
  </si>
  <si>
    <t>Monterey County</t>
  </si>
  <si>
    <t>UC</t>
  </si>
  <si>
    <t>Total</t>
  </si>
  <si>
    <t>Other Taxing Entities Share</t>
  </si>
  <si>
    <t>FYE</t>
  </si>
  <si>
    <t>AV Multiplier</t>
  </si>
  <si>
    <t>FORA Share as of 7/1/2012</t>
  </si>
  <si>
    <t>Base Year AV</t>
  </si>
  <si>
    <t>Less: Base Year AV</t>
  </si>
  <si>
    <t>Sources</t>
  </si>
  <si>
    <t>2019 Building Removal Financing</t>
  </si>
  <si>
    <t>Bond Par</t>
  </si>
  <si>
    <t>Building Removal and Remediation</t>
  </si>
  <si>
    <t>Premium</t>
  </si>
  <si>
    <t>Total Sources of Funds</t>
  </si>
  <si>
    <t>Period      Ending</t>
  </si>
  <si>
    <t>Principal</t>
  </si>
  <si>
    <t>Coupon</t>
  </si>
  <si>
    <t>Interest</t>
  </si>
  <si>
    <t>Debt Service</t>
  </si>
  <si>
    <t>Fiscal Year                   Debt Service</t>
  </si>
  <si>
    <t>Uses</t>
  </si>
  <si>
    <t>Project Funds</t>
  </si>
  <si>
    <t>Underwriter's Discount (1.0%)</t>
  </si>
  <si>
    <t>Costs of Issuance</t>
  </si>
  <si>
    <t>Total Uses of Funds</t>
  </si>
  <si>
    <t>Redevelopment Project Area</t>
  </si>
  <si>
    <t>% of Proceeds</t>
  </si>
  <si>
    <t>$ Allocation</t>
  </si>
  <si>
    <t>Marina Airport</t>
  </si>
  <si>
    <t>Marina Project 3</t>
  </si>
  <si>
    <t>Seaside Fort Ord</t>
  </si>
  <si>
    <t>Del Rey Oaks Fort Ord</t>
  </si>
  <si>
    <t>Fort Ord East Garrison</t>
  </si>
  <si>
    <t>Totals</t>
  </si>
  <si>
    <t>Total DS</t>
  </si>
  <si>
    <t>Project Area DS</t>
  </si>
  <si>
    <t>Less: Housing Set Aside</t>
  </si>
  <si>
    <t>Property Tax</t>
  </si>
  <si>
    <r>
      <t xml:space="preserve">Residential </t>
    </r>
    <r>
      <rPr>
        <i/>
        <sz val="11"/>
        <color theme="5"/>
        <rFont val="Calibri"/>
        <family val="2"/>
        <scheme val="minor"/>
      </rPr>
      <t>(Units)</t>
    </r>
  </si>
  <si>
    <r>
      <t xml:space="preserve">Office </t>
    </r>
    <r>
      <rPr>
        <i/>
        <sz val="11"/>
        <color theme="5"/>
        <rFont val="Calibri"/>
        <family val="2"/>
        <scheme val="minor"/>
      </rPr>
      <t>(Square Feet)</t>
    </r>
  </si>
  <si>
    <r>
      <t xml:space="preserve">Industrial </t>
    </r>
    <r>
      <rPr>
        <i/>
        <sz val="11"/>
        <color theme="5"/>
        <rFont val="Calibri"/>
        <family val="2"/>
        <scheme val="minor"/>
      </rPr>
      <t>(Square Feet)</t>
    </r>
  </si>
  <si>
    <r>
      <t xml:space="preserve">Retail </t>
    </r>
    <r>
      <rPr>
        <i/>
        <sz val="11"/>
        <color theme="5"/>
        <rFont val="Calibri"/>
        <family val="2"/>
        <scheme val="minor"/>
      </rPr>
      <t>(Square Feet)</t>
    </r>
  </si>
  <si>
    <r>
      <t>Hotel</t>
    </r>
    <r>
      <rPr>
        <i/>
        <sz val="11"/>
        <color theme="5"/>
        <rFont val="Calibri"/>
        <family val="2"/>
        <scheme val="minor"/>
      </rPr>
      <t xml:space="preserve"> (Rooms)</t>
    </r>
  </si>
  <si>
    <t>PV of Property Tax Revenues after Debt Service</t>
  </si>
  <si>
    <t>Incremental AV from New Developments</t>
  </si>
  <si>
    <t>Total Ending AV</t>
  </si>
  <si>
    <t>Incremental AV Over Base Year</t>
  </si>
  <si>
    <t>Less: AB 1290 Tier 1 Pass Throughs (Years 1-45)</t>
  </si>
  <si>
    <t>Less: AB 1290 Tier 2 Pass Throughs (Years 11-45)</t>
  </si>
  <si>
    <t>Less: AB 1290 Tier 3 Pass Throughs (Years 31-45)</t>
  </si>
  <si>
    <t>Value of New Dev. from EPS study (not sure why this doesn't tie to Row 14)</t>
  </si>
  <si>
    <t>Development Forecasts FORA Member Jurisdictions</t>
  </si>
  <si>
    <t>Assumes FORA Dissolution on 6/30/2020</t>
  </si>
  <si>
    <t>Successor Agency Statutory Share</t>
  </si>
  <si>
    <t>Before FORA Dissolution</t>
  </si>
  <si>
    <t>After FORA Dissolution</t>
  </si>
  <si>
    <t>FORA Statutory Share of Property Taxes</t>
  </si>
  <si>
    <t>Net FORA Share</t>
  </si>
  <si>
    <t>Monterey County Share</t>
  </si>
  <si>
    <t>Plus: 10% of Incremental FORA Share after 7/1/2012</t>
  </si>
  <si>
    <t>Monterey County Staturoty Share of Property Taxes</t>
  </si>
  <si>
    <t>Other Taxing Entities Statutory Share of Property Taxes</t>
  </si>
  <si>
    <t>FORA Share</t>
  </si>
  <si>
    <r>
      <t>Annual 2% Growth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5"/>
        <rFont val="Calibri"/>
        <family val="2"/>
        <scheme val="minor"/>
      </rPr>
      <t>(Taken Directly from EPS Study)</t>
    </r>
  </si>
  <si>
    <t>Property Tax Net of Housing Set Aside</t>
  </si>
  <si>
    <t>Property Tax, Net of Housing Set Aside and Passthroughs</t>
  </si>
  <si>
    <r>
      <t>Beginning AV*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5"/>
        <rFont val="Calibri"/>
        <family val="2"/>
        <scheme val="minor"/>
      </rPr>
      <t>(Taken Directly from EPS Study)</t>
    </r>
  </si>
  <si>
    <r>
      <t>Development Forecasts</t>
    </r>
    <r>
      <rPr>
        <b/>
        <i/>
        <sz val="11"/>
        <color theme="5"/>
        <rFont val="Calibri"/>
        <family val="2"/>
        <scheme val="minor"/>
      </rPr>
      <t xml:space="preserve"> (Directly from EPS Study)</t>
    </r>
  </si>
  <si>
    <t>* Assumes FY 2016-17 beginning Assessed Value of $0</t>
  </si>
  <si>
    <t>Assumed Start in FYE 2029 to be conservative</t>
  </si>
  <si>
    <t>Sources: EPS Study, tables J-5, L-8, I-5, I-4</t>
  </si>
  <si>
    <t>Plus: County Authorizing Statue Share of DRO Tax Increment</t>
  </si>
  <si>
    <t>Plus: County Residual Allocation of Seaside RDA Share of Tax Increment</t>
  </si>
  <si>
    <t>Plus: County Residual Allocation of Marina RDA Share of Tax Increment</t>
  </si>
  <si>
    <t>Plus: County Residual Allocation of DRO RDA Share of Tax Increment</t>
  </si>
  <si>
    <t>Net FORA Share (legally available to pledge to debt service)</t>
  </si>
  <si>
    <t xml:space="preserve">FORA Allocated Property Tax Net of Debt Service </t>
  </si>
  <si>
    <t>FY 18-19 ROPS is starting point on revenue, not EPS</t>
  </si>
  <si>
    <t>Successor Agency Increment from dissolution is all subject to residual allocation</t>
  </si>
  <si>
    <t>County increment from dissolution is not subject to residual allocation</t>
  </si>
  <si>
    <t>Allocation</t>
  </si>
  <si>
    <t>County General Fund</t>
  </si>
  <si>
    <t>FORA</t>
  </si>
  <si>
    <t>Project Area Successor Agency</t>
  </si>
  <si>
    <t>Other taxing entities does not go through an SA</t>
  </si>
  <si>
    <t>Net bond proceeds</t>
  </si>
  <si>
    <t>Total Benefit</t>
  </si>
  <si>
    <t>Development Forecasts*</t>
  </si>
  <si>
    <r>
      <t xml:space="preserve">Residential** </t>
    </r>
    <r>
      <rPr>
        <i/>
        <sz val="11"/>
        <color theme="5"/>
        <rFont val="Calibri"/>
        <family val="2"/>
        <scheme val="minor"/>
      </rPr>
      <t>(Units)</t>
    </r>
  </si>
  <si>
    <t>Annual 2% Growth</t>
  </si>
  <si>
    <t>** Includes 228 Sea Haven (formerly Marina Heights) units, which do not count towards the 6,160 unit threshold.</t>
  </si>
  <si>
    <t>* FYE 2019 and 2020 Development Forecasts from EPS study, FYE 2021-2029 development forecasts provided by the City of Marina</t>
  </si>
  <si>
    <t>Beginning AV</t>
  </si>
  <si>
    <t>Development and Property Tax Revenue Projections</t>
  </si>
  <si>
    <t>Scenario 3: Extension Through 2022 with Bond Issue</t>
  </si>
  <si>
    <t>PV of increased revenues received by General Fund, after debt service</t>
  </si>
  <si>
    <t>Scenario 1 - Assumes FORA Dissolution on 6/30/2020 after Bond Issuance</t>
  </si>
  <si>
    <t>For Marina and Seaside, we used EPS development projections for FYEs 2019 and 2020 and the City projections for FYEs 2021-2029</t>
  </si>
  <si>
    <t>PV of Increased Property Tax Revenues after Debt Service</t>
  </si>
  <si>
    <t>Plus: County Authorizing Statue Share of Increase in Marina Tax Increment</t>
  </si>
  <si>
    <t>Plus: County Authorizing Statue Share of Increase in Seaside Tax Increment</t>
  </si>
  <si>
    <t>Scenario 2 - Assumes FORA Dissolution on 6/30/2020 and No Bond Issuance</t>
  </si>
  <si>
    <t>PV of increased revenues received by General Fund</t>
  </si>
  <si>
    <t>Summary of Scenarios for FORA Member Jurisdiction RDAs</t>
  </si>
  <si>
    <t>Assumptions</t>
  </si>
  <si>
    <t>(Same Discount Rate as the EPS Study Uses)</t>
  </si>
  <si>
    <t>Discount Rate</t>
  </si>
  <si>
    <t>Middle Debt Service Scenario</t>
  </si>
  <si>
    <t>(As presented in the Memo)</t>
  </si>
  <si>
    <t>Development Projections</t>
  </si>
  <si>
    <t>Treatment of Residual Allocation</t>
  </si>
  <si>
    <t>Allocation of Revenues</t>
  </si>
  <si>
    <t>Before Dissolution</t>
  </si>
  <si>
    <t>Other Taxing Entities</t>
  </si>
  <si>
    <t>After Dissolution</t>
  </si>
  <si>
    <t>I.</t>
  </si>
  <si>
    <t>II.</t>
  </si>
  <si>
    <t>III.</t>
  </si>
  <si>
    <t>IV.</t>
  </si>
  <si>
    <t>VI.</t>
  </si>
  <si>
    <t>VII.</t>
  </si>
  <si>
    <t>Revenues</t>
  </si>
  <si>
    <t>FYE 2020 onward utilizes development projections and 2% AV growth assumption to drive TI revenues</t>
  </si>
  <si>
    <t>Scenario 3 - Assumes FORA Extension through 6/30/2022 and Bond Issuance</t>
  </si>
  <si>
    <t>10% share from FORA to member jurisdictions is not subject to residual allocation and continues after FORA goes away</t>
  </si>
  <si>
    <t>Increased percentages to County do not go through a SA (so are not subject to residual allocation)</t>
  </si>
  <si>
    <t>Scenario 1: 2020 Dissolution with Bond Issue</t>
  </si>
  <si>
    <t>Scenario 2: 2020 Dissolution with No Bond Issue</t>
  </si>
  <si>
    <t>Summary of FORA Revenues Available for Debt Service</t>
  </si>
  <si>
    <t>Estimated Debt Service</t>
  </si>
  <si>
    <t>FORA Revenues from Marina Project Area</t>
  </si>
  <si>
    <t>FORA Revenues from Seaside Project Area</t>
  </si>
  <si>
    <t>FORA Revenues from County Project Area</t>
  </si>
  <si>
    <t>FORA Revenues from Del Rey Oaks Project Areas</t>
  </si>
  <si>
    <t>Total FORA Revenues Available for Debt Service</t>
  </si>
  <si>
    <t>Coverage</t>
  </si>
  <si>
    <t>FYE 2021</t>
  </si>
  <si>
    <t>FYE 2022</t>
  </si>
  <si>
    <t>a</t>
  </si>
  <si>
    <t>e</t>
  </si>
  <si>
    <t>b</t>
  </si>
  <si>
    <t>c</t>
  </si>
  <si>
    <t>r</t>
  </si>
  <si>
    <t>p</t>
  </si>
  <si>
    <t>ab</t>
  </si>
  <si>
    <t>j = g - h</t>
  </si>
  <si>
    <t>Two scenarios for County residual allocation: 20% and 40%</t>
  </si>
  <si>
    <t xml:space="preserve">V. </t>
  </si>
  <si>
    <t>Enforceable Obligations</t>
  </si>
  <si>
    <t>We assumed all Successor Agency enforceable obligations cash flow requirements are being 100% met by existing pre-dissolution cash flows</t>
  </si>
  <si>
    <t>VIII.</t>
  </si>
  <si>
    <t>Other Taxing Entities Statutory Share</t>
  </si>
  <si>
    <t>County Statutory Share</t>
  </si>
  <si>
    <t>Total Property Tax Allocation</t>
  </si>
  <si>
    <t>Allocation of FORA Statutory Share</t>
  </si>
  <si>
    <t>Total Allocation of Post Dissolution FORA Share</t>
  </si>
  <si>
    <t>County Share of Post Dissolution FORA Share after DS</t>
  </si>
  <si>
    <t>Other Taxing Entities Share of Post Dissolution FORA Share after DS</t>
  </si>
  <si>
    <t>SA Share of Post Dissolution FORA Share after DS</t>
  </si>
  <si>
    <t>o</t>
  </si>
  <si>
    <t>FORA Statutory Share</t>
  </si>
  <si>
    <t>Net FORA Share After DS</t>
  </si>
  <si>
    <t>Allocation of Property Tax</t>
  </si>
  <si>
    <t>Allocation of Post-Dissolution Net FORA Share after DS</t>
  </si>
  <si>
    <t xml:space="preserve"> = 25% * n</t>
  </si>
  <si>
    <t>= 5% * n</t>
  </si>
  <si>
    <t>= 35% * n</t>
  </si>
  <si>
    <t xml:space="preserve"> = 38% * s</t>
  </si>
  <si>
    <t>= 8% * s</t>
  </si>
  <si>
    <t>****Assumes Dune Project enforceable obligation already satisfied by 35% pre dissolution allocation</t>
  </si>
  <si>
    <t>*** Assumes Base Year AV of $0</t>
  </si>
  <si>
    <t>d</t>
  </si>
  <si>
    <t>f</t>
  </si>
  <si>
    <t>g</t>
  </si>
  <si>
    <t>h</t>
  </si>
  <si>
    <t>j</t>
  </si>
  <si>
    <t>l</t>
  </si>
  <si>
    <t>n</t>
  </si>
  <si>
    <t>q</t>
  </si>
  <si>
    <t>s</t>
  </si>
  <si>
    <t>t</t>
  </si>
  <si>
    <t>u</t>
  </si>
  <si>
    <t>= t * res. alloc.</t>
  </si>
  <si>
    <t xml:space="preserve"> = 54% * s</t>
  </si>
  <si>
    <t>Row</t>
  </si>
  <si>
    <t xml:space="preserve"> = a+b+c</t>
  </si>
  <si>
    <t xml:space="preserve"> = d - e</t>
  </si>
  <si>
    <t>= f * 1%</t>
  </si>
  <si>
    <t>= g* 20%</t>
  </si>
  <si>
    <t xml:space="preserve"> = 35% * n</t>
  </si>
  <si>
    <t xml:space="preserve"> = o - p</t>
  </si>
  <si>
    <t xml:space="preserve"> = q - r</t>
  </si>
  <si>
    <t>Calculation 
(Post-Dissolution)</t>
  </si>
  <si>
    <t>Share of Residual Allocation</t>
  </si>
  <si>
    <t>General Fund Share of SA Share of Post Dissolution FORA Share after Debt Service and Residual Allocation</t>
  </si>
  <si>
    <t>FORA Share as of 7/1/20121</t>
  </si>
  <si>
    <t>** Assumes Base Year AV of $0</t>
  </si>
  <si>
    <t>Total Ending AV (Tax Increment) ***</t>
  </si>
  <si>
    <t>Total Ending AV (Tax Increment)**</t>
  </si>
  <si>
    <t>* FYE 2019 and 2020 Development Forecasts from EPS study</t>
  </si>
  <si>
    <t>v</t>
  </si>
  <si>
    <t>w</t>
  </si>
  <si>
    <t>x</t>
  </si>
  <si>
    <t>y</t>
  </si>
  <si>
    <t>z</t>
  </si>
  <si>
    <t>aa</t>
  </si>
  <si>
    <t>Post-Dissolution Step Up in Revenues</t>
  </si>
  <si>
    <t>SA Share of Residual Allocation</t>
  </si>
  <si>
    <t>The delta from dissolution is only measured from each entity's share of Net FORA Allocation</t>
  </si>
  <si>
    <t>For Del Rey Oaks and Monterey County, we used EPS development Projections</t>
  </si>
  <si>
    <t>We assumed Marina, Seaside, and Del Rey Oaks Resdiual Allocation shares at 20%</t>
  </si>
  <si>
    <t>= u</t>
  </si>
  <si>
    <t>=ab+u+v+w+x+y+z+aa</t>
  </si>
  <si>
    <t>MPUSD Portion</t>
  </si>
  <si>
    <t>MPC Portion</t>
  </si>
  <si>
    <t>Tier 1 - HSC 33492.78(b) Tax Increment Sharing Rate</t>
  </si>
  <si>
    <t>Tier 2 - HSC 33492.71(c) Tax Increment Sharing Rate</t>
  </si>
  <si>
    <t>Education Passthroughs</t>
  </si>
  <si>
    <t>Property Tax, Net of Housing Set Aside and Education Passthroughs</t>
  </si>
  <si>
    <t>k1</t>
  </si>
  <si>
    <t>k2</t>
  </si>
  <si>
    <t>k3</t>
  </si>
  <si>
    <t>k4</t>
  </si>
  <si>
    <t xml:space="preserve"> = j * 25%*54.5%</t>
  </si>
  <si>
    <t>=j * 25% * 5.9%</t>
  </si>
  <si>
    <t xml:space="preserve"> = j - k1 - k2 - k3 - k4</t>
  </si>
  <si>
    <t>N/A</t>
  </si>
  <si>
    <t>Increase in Property Tax Net of Housing over FY 18-19 Base Year</t>
  </si>
  <si>
    <t>= current value less
 FY 18-19 Value</t>
  </si>
  <si>
    <t>Increase in Property Tax Net of Housing over FY 09-10 Base Year</t>
  </si>
  <si>
    <t xml:space="preserve"> = j * 25%*43.6%</t>
  </si>
  <si>
    <t>=j * 25% * 4.7%</t>
  </si>
  <si>
    <t>TRA</t>
  </si>
  <si>
    <t>012-011</t>
  </si>
  <si>
    <t>012-022</t>
  </si>
  <si>
    <t>012-005</t>
  </si>
  <si>
    <t>012-015</t>
  </si>
  <si>
    <t>012-016</t>
  </si>
  <si>
    <t>012-021</t>
  </si>
  <si>
    <t>MPUSD</t>
  </si>
  <si>
    <t>MPC</t>
  </si>
  <si>
    <t>2018/19 Value</t>
  </si>
  <si>
    <t>Base Value</t>
  </si>
  <si>
    <t>check</t>
  </si>
  <si>
    <t>2018/19 TI Net of Housing</t>
  </si>
  <si>
    <t>Less: Tier 1 Ed PTs</t>
  </si>
  <si>
    <t>Tax Increment over BY</t>
  </si>
  <si>
    <t>Net of Housing and Ed PTs</t>
  </si>
  <si>
    <t>Less: Tier 2 Ed PTs</t>
  </si>
  <si>
    <t>Tier 2 TI over BY Net of Housing</t>
  </si>
  <si>
    <t>De Minimis Difference</t>
  </si>
  <si>
    <t xml:space="preserve"> = j * 25%*41.3%</t>
  </si>
  <si>
    <t>=j * 25% * 4.5%</t>
  </si>
  <si>
    <t>Tier 1 - HSC 33492.78(b) Tax Increment Sharing Rate****</t>
  </si>
  <si>
    <t>****Excludes passthroughs to Spreckels, SUH, and Hartnell due to immaterial amounts</t>
  </si>
  <si>
    <t>= current value less
 FY 09-10 Value</t>
  </si>
  <si>
    <t>= current value less
 FY 13-14 Value</t>
  </si>
  <si>
    <t xml:space="preserve">IX. </t>
  </si>
  <si>
    <t>Passthroughs</t>
  </si>
  <si>
    <t>For calculating educational passthroughs, we took the weighted average rates  of multiple tax rate areas (TRAs).</t>
  </si>
  <si>
    <t xml:space="preserve"> This average rate may result in immaterial differences from Monterey County Auditor-Controller's calculations.</t>
  </si>
  <si>
    <t>For Marina, there are two project areas included in our analysis. To keep the analysis simple, we have blended the two project areas together, using the Marina project area #3 information as the key driver, given that its assessed value is 26x the Marina Airport project area's AV. Marina Airport's Tier 3 sharing comes online in 2030, based on a 2008-09 base year.</t>
  </si>
  <si>
    <t>No changes to EPS analysis were made to the Del Rey Oaks analysis.</t>
  </si>
  <si>
    <t xml:space="preserve">X. </t>
  </si>
  <si>
    <t>Tax Increment</t>
  </si>
  <si>
    <t>2018-19 AV From Monterey County for Marina, Seaside, and County</t>
  </si>
  <si>
    <t>2018-19 AV Calculated for Del Rey Oaks based on the FY 2019 ROPS</t>
  </si>
  <si>
    <t>Because the City of Monterey did not form an RDA over their Fort Ord lands, they are excluded from this analysis</t>
  </si>
  <si>
    <t>but consistent wth practice by the County Auditor Controller.</t>
  </si>
  <si>
    <t>For Marina, Seaside, and County, educational passthroughs are calculated slightly differently than EPS study,</t>
  </si>
  <si>
    <t>Taxable</t>
  </si>
  <si>
    <t>TE</t>
  </si>
  <si>
    <t>Taxable Proceeds</t>
  </si>
  <si>
    <t>Tax Exempt Proceeds</t>
  </si>
  <si>
    <t>Project Area</t>
  </si>
  <si>
    <t>Debt Service Reserve Fund / Surety</t>
  </si>
  <si>
    <t>Scenario 4: Extension Through 2022 with No Bond Issue</t>
  </si>
  <si>
    <t>Tier 3 - HSC 33492.78(d) Tax Increment Sharing Rate</t>
  </si>
  <si>
    <t>Tier 2 - HSC 33492.78(c) Tax Increment Sharing Rate</t>
  </si>
  <si>
    <t>k5</t>
  </si>
  <si>
    <t>k6</t>
  </si>
  <si>
    <t xml:space="preserve"> =j-k1-k2-k3-k4-k5-k6</t>
  </si>
  <si>
    <t>Share of Residual Allocation FY 2028-29 Onward</t>
  </si>
  <si>
    <t>Marina (Airport and RDA 3)</t>
  </si>
  <si>
    <t>Increase in Net Property Taxes Received by Monterey County General Fund</t>
  </si>
  <si>
    <t>Increase in net Property Taxes Shared with East Garrison Fire District</t>
  </si>
  <si>
    <t>PV of Increased Property Tax Revenues after Debt Service to County General Fund</t>
  </si>
  <si>
    <t>Increase in Property Tax Net of Housing over FY 28-29 Base Year</t>
  </si>
  <si>
    <t>Increase in Property Tax Net of Housing over FY 29-30 Base Year</t>
  </si>
  <si>
    <t>= current value less
 FY 37-38 Value</t>
  </si>
  <si>
    <t>= current value less
 FY 29-30 Value</t>
  </si>
  <si>
    <t>l1</t>
  </si>
  <si>
    <t>l2</t>
  </si>
  <si>
    <t>= l1 * 21% * 43.6%</t>
  </si>
  <si>
    <t>= l1 * 21% * 4.7%</t>
  </si>
  <si>
    <t>= l2 * 14% * 43.6%</t>
  </si>
  <si>
    <t>= l2 * 14% * 4.7%</t>
  </si>
  <si>
    <t>= l1 * 21% * 54.5%</t>
  </si>
  <si>
    <t>= l1 * 21% * 5.9%</t>
  </si>
  <si>
    <t>= l2 * 14% * 54.5%</t>
  </si>
  <si>
    <t>= l2 * 14% * 5.9%</t>
  </si>
  <si>
    <t>= l1 * 21% * 41.3%</t>
  </si>
  <si>
    <t>= l1 * 21% * 4.5%</t>
  </si>
  <si>
    <t>= l2 * 21% * 41.3%</t>
  </si>
  <si>
    <t>= l2 * 21% * 4.5%</t>
  </si>
  <si>
    <t>Increase in Property Tax Net of Housing over FY 27-28 Base Year</t>
  </si>
  <si>
    <t xml:space="preserve"> =j-k1-k2-k3</t>
  </si>
  <si>
    <t>Monterey County (General Fund)</t>
  </si>
  <si>
    <t>Scenario 4 - Assumes FORA Extension through 6/30/2022 and No Bond Issuance</t>
  </si>
  <si>
    <t>Allocation Option 1: Based on FY 2018-19 ROPS</t>
  </si>
  <si>
    <t>Allocation Option 2: Based on FY 2019-20 Tax Increment Generated</t>
  </si>
  <si>
    <t>PV of Increased property Tax Revenues after Debt Service to MCRFD</t>
  </si>
  <si>
    <t>Monterey County Regional Fire District*</t>
  </si>
  <si>
    <t>*Pursuant to an agreement with Montery County Regional Fire District whereby the County transfers 65.5% of property taxes received to the fire department.</t>
  </si>
  <si>
    <t>Percent Reduction in New Development due to No Remediation</t>
  </si>
  <si>
    <t>Highest Present Value Scenario Highlighted in Red</t>
  </si>
  <si>
    <t>* No blight development forecasts from the EPS Study</t>
  </si>
  <si>
    <t>* FYE 2019 and 2020 Development Forecasts from EPS study, FYE 2021-2029 development forecasts provided by the City of Seaside (No blight scenario)</t>
  </si>
  <si>
    <t>* FYE 2019 and 2020 Development Forecasts from EPS study, FYE 2021-2029 development forecasts provided by the City of Seaside (with blight scenario)</t>
  </si>
  <si>
    <t>* FYE 2019 and 2020 Development Forecasts from EPS study, FYE 2021-2029 development forecasts provided by the City of Seaside (no blight scenario)</t>
  </si>
  <si>
    <t>Difference between PV Figures for Scenarios 3 and 2</t>
  </si>
  <si>
    <t>HSC 33482.78 Passthroughs</t>
  </si>
  <si>
    <t xml:space="preserve">Breakdown of MPC and MPUSD Allocations in Each Scenario per HSC 33482.78 </t>
  </si>
  <si>
    <t>Present Value of MPUSD Portion</t>
  </si>
  <si>
    <t>Present Value of MPC Portion</t>
  </si>
  <si>
    <t>Tier 1</t>
  </si>
  <si>
    <t>Tier 2</t>
  </si>
  <si>
    <t>Tier 3</t>
  </si>
  <si>
    <t>County</t>
  </si>
  <si>
    <t>Total MPUSD Portion (Scenario 1)</t>
  </si>
  <si>
    <t>Total MPC Portion (Scenario 1)</t>
  </si>
  <si>
    <t>MPC Portion for Del Rey Oaks</t>
  </si>
  <si>
    <t>Total MPUSD Portion (Scenario 2)</t>
  </si>
  <si>
    <t>Total MPC Portion (Scenario 2)</t>
  </si>
  <si>
    <t>Assuming Extension through FYE 2022</t>
  </si>
  <si>
    <t>FYE 2019</t>
  </si>
  <si>
    <t>FYE 2020</t>
  </si>
  <si>
    <t>Difference (reflects different development assumptions and bonds debt service)</t>
  </si>
  <si>
    <t>Allocation of Proceeds:</t>
  </si>
  <si>
    <t>Allocation of Debt Svc:</t>
  </si>
  <si>
    <t>Allocated based on Building Remediation Needed</t>
  </si>
  <si>
    <t>Bond Proceeds Allocation Assumptions (Based on Information Received from FORA)</t>
  </si>
  <si>
    <t>Bond Insurance</t>
  </si>
  <si>
    <t>MST, MCWD &amp; TAMC</t>
  </si>
  <si>
    <r>
      <t xml:space="preserve">FORA Share of Allocation Available After Debt Service (available for budget) </t>
    </r>
    <r>
      <rPr>
        <b/>
        <i/>
        <sz val="11"/>
        <color rgb="FFFF0000"/>
        <rFont val="Calibri"/>
        <family val="2"/>
        <scheme val="minor"/>
      </rPr>
      <t>(Assuming blight removal, high development, bonds issued)</t>
    </r>
  </si>
  <si>
    <r>
      <t xml:space="preserve">FORA Share of Allocation Available for budget </t>
    </r>
    <r>
      <rPr>
        <b/>
        <i/>
        <sz val="11"/>
        <color rgb="FFFF0000"/>
        <rFont val="Calibri"/>
        <family val="2"/>
        <scheme val="minor"/>
      </rPr>
      <t>(Assuming low blight removal, low development, no bonds)</t>
    </r>
  </si>
  <si>
    <t>Allocation Option 3: Based on Building Removal Cost Allocation</t>
  </si>
  <si>
    <t>Debt Service Allocation</t>
  </si>
  <si>
    <t>Bond Proceeds Allocation : Based on Amount of Building Removal</t>
  </si>
  <si>
    <t>MST, MCWD, TAMC</t>
  </si>
  <si>
    <t>Marina (MST, MCWD, TAMC)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</si>
</sst>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####\-#0"/>
    <numFmt numFmtId="167" formatCode="0.0%"/>
    <numFmt numFmtId="168" formatCode="####\-##"/>
    <numFmt numFmtId="169" formatCode="0.000%"/>
    <numFmt numFmtId="170" formatCode="#.##\x"/>
    <numFmt numFmtId="171" formatCode="0.0000%"/>
    <numFmt numFmtId="172" formatCode="#.###\x"/>
    <numFmt numFmtId="173" formatCode="#.####\x"/>
    <numFmt numFmtId="174" formatCode="_(* #,##0_);_(* \(#,##0\);_(* \-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5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i/>
      <sz val="10"/>
      <color theme="4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i/>
      <sz val="11"/>
      <color theme="9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1F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31" fillId="0" borderId="0" applyFill="0" applyBorder="0" applyAlignment="0" applyProtection="0"/>
  </cellStyleXfs>
  <cellXfs count="457">
    <xf numFmtId="0" fontId="0" fillId="0" borderId="0" xfId="0"/>
    <xf numFmtId="0" fontId="3" fillId="0" borderId="0" xfId="0" applyFont="1"/>
    <xf numFmtId="43" fontId="0" fillId="0" borderId="0" xfId="1" applyFont="1"/>
    <xf numFmtId="164" fontId="0" fillId="0" borderId="0" xfId="1" applyNumberFormat="1" applyFont="1"/>
    <xf numFmtId="0" fontId="3" fillId="0" borderId="1" xfId="0" applyFont="1" applyBorder="1"/>
    <xf numFmtId="164" fontId="3" fillId="0" borderId="1" xfId="1" applyNumberFormat="1" applyFont="1" applyBorder="1"/>
    <xf numFmtId="0" fontId="2" fillId="2" borderId="0" xfId="0" applyFont="1" applyFill="1"/>
    <xf numFmtId="0" fontId="4" fillId="2" borderId="0" xfId="0" applyFont="1" applyFill="1"/>
    <xf numFmtId="164" fontId="0" fillId="0" borderId="0" xfId="0" applyNumberFormat="1"/>
    <xf numFmtId="164" fontId="3" fillId="0" borderId="0" xfId="0" applyNumberFormat="1" applyFont="1"/>
    <xf numFmtId="164" fontId="3" fillId="0" borderId="1" xfId="0" applyNumberFormat="1" applyFont="1" applyBorder="1"/>
    <xf numFmtId="0" fontId="0" fillId="2" borderId="0" xfId="0" applyFill="1"/>
    <xf numFmtId="0" fontId="4" fillId="0" borderId="0" xfId="0" applyFont="1"/>
    <xf numFmtId="0" fontId="0" fillId="0" borderId="0" xfId="0" applyAlignment="1">
      <alignment horizontal="left" indent="1"/>
    </xf>
    <xf numFmtId="0" fontId="0" fillId="4" borderId="0" xfId="0" applyFill="1"/>
    <xf numFmtId="0" fontId="3" fillId="0" borderId="1" xfId="0" applyFont="1" applyBorder="1" applyAlignment="1">
      <alignment horizontal="center"/>
    </xf>
    <xf numFmtId="164" fontId="6" fillId="0" borderId="0" xfId="1" applyNumberFormat="1" applyFont="1"/>
    <xf numFmtId="0" fontId="7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64" fontId="0" fillId="0" borderId="0" xfId="1" applyNumberFormat="1" applyFont="1" applyAlignment="1">
      <alignment horizontal="center"/>
    </xf>
    <xf numFmtId="10" fontId="0" fillId="0" borderId="0" xfId="2" applyNumberFormat="1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3" fillId="0" borderId="2" xfId="0" applyFont="1" applyBorder="1"/>
    <xf numFmtId="37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8" fontId="0" fillId="0" borderId="0" xfId="0" applyNumberFormat="1"/>
    <xf numFmtId="0" fontId="13" fillId="0" borderId="0" xfId="0" applyFont="1"/>
    <xf numFmtId="0" fontId="3" fillId="0" borderId="1" xfId="0" applyFont="1" applyFill="1" applyBorder="1" applyAlignment="1">
      <alignment horizontal="left" indent="1"/>
    </xf>
    <xf numFmtId="0" fontId="3" fillId="0" borderId="2" xfId="0" applyFont="1" applyBorder="1" applyAlignment="1">
      <alignment horizontal="center" wrapText="1"/>
    </xf>
    <xf numFmtId="164" fontId="3" fillId="0" borderId="2" xfId="1" applyNumberFormat="1" applyFont="1" applyBorder="1" applyAlignment="1">
      <alignment horizontal="center" wrapText="1"/>
    </xf>
    <xf numFmtId="10" fontId="3" fillId="0" borderId="2" xfId="2" applyNumberFormat="1" applyFont="1" applyBorder="1" applyAlignment="1">
      <alignment horizontal="center" wrapText="1"/>
    </xf>
    <xf numFmtId="43" fontId="3" fillId="0" borderId="2" xfId="1" applyFont="1" applyBorder="1" applyAlignment="1">
      <alignment horizontal="center" wrapText="1"/>
    </xf>
    <xf numFmtId="14" fontId="0" fillId="0" borderId="0" xfId="0" applyNumberFormat="1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0" borderId="0" xfId="0" applyFill="1" applyBorder="1"/>
    <xf numFmtId="169" fontId="0" fillId="0" borderId="0" xfId="2" applyNumberFormat="1" applyFont="1"/>
    <xf numFmtId="10" fontId="3" fillId="0" borderId="1" xfId="2" applyNumberFormat="1" applyFont="1" applyBorder="1"/>
    <xf numFmtId="0" fontId="2" fillId="5" borderId="0" xfId="0" applyFont="1" applyFill="1"/>
    <xf numFmtId="0" fontId="4" fillId="5" borderId="0" xfId="0" applyFont="1" applyFill="1"/>
    <xf numFmtId="0" fontId="0" fillId="0" borderId="0" xfId="0" applyFont="1"/>
    <xf numFmtId="0" fontId="2" fillId="2" borderId="2" xfId="0" applyFont="1" applyFill="1" applyBorder="1" applyAlignment="1">
      <alignment horizontal="center"/>
    </xf>
    <xf numFmtId="168" fontId="2" fillId="2" borderId="2" xfId="0" applyNumberFormat="1" applyFont="1" applyFill="1" applyBorder="1" applyAlignment="1">
      <alignment horizontal="center"/>
    </xf>
    <xf numFmtId="41" fontId="0" fillId="0" borderId="0" xfId="0" applyNumberFormat="1"/>
    <xf numFmtId="41" fontId="0" fillId="0" borderId="1" xfId="0" applyNumberFormat="1" applyBorder="1"/>
    <xf numFmtId="43" fontId="3" fillId="0" borderId="1" xfId="0" applyNumberFormat="1" applyFont="1" applyBorder="1"/>
    <xf numFmtId="0" fontId="0" fillId="0" borderId="0" xfId="0" applyAlignment="1">
      <alignment horizontal="center"/>
    </xf>
    <xf numFmtId="0" fontId="0" fillId="3" borderId="0" xfId="0" applyFill="1"/>
    <xf numFmtId="0" fontId="10" fillId="3" borderId="0" xfId="0" applyFont="1" applyFill="1"/>
    <xf numFmtId="0" fontId="14" fillId="0" borderId="0" xfId="0" applyFont="1"/>
    <xf numFmtId="0" fontId="0" fillId="0" borderId="0" xfId="0" applyAlignment="1">
      <alignment horizontal="right" indent="1"/>
    </xf>
    <xf numFmtId="0" fontId="15" fillId="0" borderId="0" xfId="0" applyFont="1"/>
    <xf numFmtId="0" fontId="16" fillId="0" borderId="0" xfId="0" applyFont="1"/>
    <xf numFmtId="0" fontId="17" fillId="3" borderId="0" xfId="0" applyFont="1" applyFill="1"/>
    <xf numFmtId="37" fontId="0" fillId="0" borderId="2" xfId="0" applyNumberFormat="1" applyBorder="1" applyAlignment="1">
      <alignment horizontal="right"/>
    </xf>
    <xf numFmtId="166" fontId="2" fillId="2" borderId="1" xfId="0" applyNumberFormat="1" applyFont="1" applyFill="1" applyBorder="1" applyAlignment="1">
      <alignment horizontal="center"/>
    </xf>
    <xf numFmtId="166" fontId="2" fillId="2" borderId="10" xfId="0" applyNumberFormat="1" applyFont="1" applyFill="1" applyBorder="1" applyAlignment="1">
      <alignment horizontal="center"/>
    </xf>
    <xf numFmtId="0" fontId="0" fillId="0" borderId="11" xfId="0" applyBorder="1"/>
    <xf numFmtId="164" fontId="6" fillId="0" borderId="0" xfId="1" applyNumberFormat="1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0" fontId="0" fillId="0" borderId="12" xfId="0" applyBorder="1"/>
    <xf numFmtId="164" fontId="6" fillId="0" borderId="2" xfId="1" applyNumberFormat="1" applyFont="1" applyBorder="1" applyAlignment="1">
      <alignment horizontal="center"/>
    </xf>
    <xf numFmtId="164" fontId="6" fillId="0" borderId="13" xfId="1" applyNumberFormat="1" applyFont="1" applyBorder="1" applyAlignment="1">
      <alignment horizontal="center"/>
    </xf>
    <xf numFmtId="0" fontId="18" fillId="0" borderId="0" xfId="0" applyFont="1"/>
    <xf numFmtId="37" fontId="6" fillId="0" borderId="0" xfId="0" applyNumberFormat="1" applyFont="1" applyAlignment="1">
      <alignment horizontal="right"/>
    </xf>
    <xf numFmtId="37" fontId="6" fillId="0" borderId="2" xfId="0" applyNumberFormat="1" applyFont="1" applyBorder="1" applyAlignment="1">
      <alignment horizontal="right"/>
    </xf>
    <xf numFmtId="37" fontId="0" fillId="0" borderId="0" xfId="0" applyNumberFormat="1" applyAlignment="1">
      <alignment horizontal="right"/>
    </xf>
    <xf numFmtId="37" fontId="0" fillId="0" borderId="0" xfId="0" applyNumberFormat="1" applyBorder="1" applyAlignment="1">
      <alignment horizontal="right"/>
    </xf>
    <xf numFmtId="37" fontId="0" fillId="0" borderId="0" xfId="0" applyNumberFormat="1" applyFont="1" applyAlignment="1">
      <alignment horizontal="right"/>
    </xf>
    <xf numFmtId="37" fontId="3" fillId="0" borderId="1" xfId="0" applyNumberFormat="1" applyFont="1" applyBorder="1" applyAlignment="1">
      <alignment horizontal="right"/>
    </xf>
    <xf numFmtId="43" fontId="6" fillId="0" borderId="0" xfId="1" applyFont="1"/>
    <xf numFmtId="10" fontId="6" fillId="0" borderId="0" xfId="2" applyNumberFormat="1" applyFont="1" applyAlignment="1">
      <alignment horizontal="center"/>
    </xf>
    <xf numFmtId="37" fontId="12" fillId="4" borderId="0" xfId="0" applyNumberFormat="1" applyFont="1" applyFill="1" applyAlignment="1">
      <alignment horizontal="right"/>
    </xf>
    <xf numFmtId="0" fontId="0" fillId="4" borderId="0" xfId="0" applyFill="1" applyAlignment="1">
      <alignment horizontal="center"/>
    </xf>
    <xf numFmtId="37" fontId="0" fillId="4" borderId="0" xfId="0" applyNumberFormat="1" applyFill="1" applyAlignment="1">
      <alignment horizontal="center"/>
    </xf>
    <xf numFmtId="167" fontId="0" fillId="4" borderId="0" xfId="2" applyNumberFormat="1" applyFont="1" applyFill="1"/>
    <xf numFmtId="0" fontId="3" fillId="0" borderId="8" xfId="0" applyFont="1" applyFill="1" applyBorder="1" applyAlignment="1">
      <alignment horizontal="left" vertical="top"/>
    </xf>
    <xf numFmtId="37" fontId="0" fillId="4" borderId="0" xfId="1" applyNumberFormat="1" applyFont="1" applyFill="1" applyAlignment="1">
      <alignment horizontal="right"/>
    </xf>
    <xf numFmtId="37" fontId="0" fillId="0" borderId="0" xfId="0" applyNumberFormat="1"/>
    <xf numFmtId="164" fontId="0" fillId="4" borderId="0" xfId="1" applyNumberFormat="1" applyFont="1" applyFill="1" applyAlignment="1">
      <alignment horizontal="center"/>
    </xf>
    <xf numFmtId="37" fontId="0" fillId="0" borderId="0" xfId="0" applyNumberFormat="1" applyFill="1" applyAlignment="1">
      <alignment horizontal="right"/>
    </xf>
    <xf numFmtId="9" fontId="0" fillId="0" borderId="0" xfId="2" applyFont="1" applyAlignment="1">
      <alignment horizontal="right"/>
    </xf>
    <xf numFmtId="9" fontId="0" fillId="0" borderId="0" xfId="0" applyNumberFormat="1" applyFill="1" applyBorder="1" applyAlignment="1">
      <alignment horizontal="center"/>
    </xf>
    <xf numFmtId="0" fontId="12" fillId="0" borderId="0" xfId="0" applyFont="1"/>
    <xf numFmtId="9" fontId="6" fillId="0" borderId="4" xfId="0" applyNumberFormat="1" applyFont="1" applyBorder="1" applyAlignment="1">
      <alignment horizontal="center"/>
    </xf>
    <xf numFmtId="167" fontId="6" fillId="0" borderId="5" xfId="0" applyNumberFormat="1" applyFont="1" applyBorder="1" applyAlignment="1">
      <alignment horizontal="center"/>
    </xf>
    <xf numFmtId="37" fontId="6" fillId="8" borderId="0" xfId="1" applyNumberFormat="1" applyFont="1" applyFill="1" applyAlignment="1">
      <alignment horizontal="right"/>
    </xf>
    <xf numFmtId="37" fontId="6" fillId="8" borderId="0" xfId="0" applyNumberFormat="1" applyFont="1" applyFill="1" applyAlignment="1">
      <alignment horizontal="right"/>
    </xf>
    <xf numFmtId="37" fontId="6" fillId="8" borderId="2" xfId="0" applyNumberFormat="1" applyFont="1" applyFill="1" applyBorder="1" applyAlignment="1">
      <alignment horizontal="right"/>
    </xf>
    <xf numFmtId="37" fontId="0" fillId="8" borderId="0" xfId="0" applyNumberFormat="1" applyFill="1" applyAlignment="1">
      <alignment horizontal="right"/>
    </xf>
    <xf numFmtId="37" fontId="0" fillId="8" borderId="0" xfId="0" applyNumberFormat="1" applyFill="1" applyBorder="1" applyAlignment="1">
      <alignment horizontal="right"/>
    </xf>
    <xf numFmtId="37" fontId="0" fillId="8" borderId="0" xfId="0" applyNumberFormat="1" applyFont="1" applyFill="1" applyAlignment="1">
      <alignment horizontal="right"/>
    </xf>
    <xf numFmtId="37" fontId="0" fillId="8" borderId="2" xfId="0" applyNumberFormat="1" applyFill="1" applyBorder="1" applyAlignment="1">
      <alignment horizontal="right"/>
    </xf>
    <xf numFmtId="37" fontId="7" fillId="8" borderId="0" xfId="0" applyNumberFormat="1" applyFont="1" applyFill="1" applyAlignment="1">
      <alignment horizontal="right"/>
    </xf>
    <xf numFmtId="37" fontId="0" fillId="0" borderId="0" xfId="0" applyNumberFormat="1" applyFont="1" applyFill="1" applyAlignment="1">
      <alignment horizontal="right"/>
    </xf>
    <xf numFmtId="166" fontId="2" fillId="7" borderId="1" xfId="0" applyNumberFormat="1" applyFont="1" applyFill="1" applyBorder="1" applyAlignment="1">
      <alignment horizontal="center"/>
    </xf>
    <xf numFmtId="0" fontId="11" fillId="9" borderId="9" xfId="0" applyFont="1" applyFill="1" applyBorder="1" applyAlignment="1">
      <alignment horizontal="center"/>
    </xf>
    <xf numFmtId="37" fontId="7" fillId="0" borderId="0" xfId="0" applyNumberFormat="1" applyFont="1" applyFill="1" applyAlignment="1">
      <alignment horizontal="right"/>
    </xf>
    <xf numFmtId="9" fontId="14" fillId="0" borderId="0" xfId="0" applyNumberFormat="1" applyFont="1" applyFill="1" applyBorder="1" applyAlignment="1">
      <alignment horizontal="center"/>
    </xf>
    <xf numFmtId="9" fontId="7" fillId="0" borderId="0" xfId="0" applyNumberFormat="1" applyFont="1" applyFill="1" applyBorder="1" applyAlignment="1">
      <alignment horizontal="center"/>
    </xf>
    <xf numFmtId="9" fontId="12" fillId="8" borderId="0" xfId="2" applyFont="1" applyFill="1" applyAlignment="1">
      <alignment horizontal="right"/>
    </xf>
    <xf numFmtId="9" fontId="12" fillId="0" borderId="0" xfId="2" applyFont="1" applyAlignment="1">
      <alignment horizontal="right"/>
    </xf>
    <xf numFmtId="0" fontId="0" fillId="0" borderId="0" xfId="0" applyFont="1" applyFill="1" applyBorder="1"/>
    <xf numFmtId="0" fontId="0" fillId="0" borderId="0" xfId="0" applyFont="1" applyAlignment="1">
      <alignment horizontal="center"/>
    </xf>
    <xf numFmtId="37" fontId="0" fillId="8" borderId="1" xfId="0" applyNumberFormat="1" applyFont="1" applyFill="1" applyBorder="1" applyAlignment="1">
      <alignment horizontal="right"/>
    </xf>
    <xf numFmtId="37" fontId="0" fillId="9" borderId="1" xfId="0" applyNumberFormat="1" applyFont="1" applyFill="1" applyBorder="1" applyAlignment="1">
      <alignment horizontal="right"/>
    </xf>
    <xf numFmtId="37" fontId="3" fillId="8" borderId="1" xfId="0" applyNumberFormat="1" applyFont="1" applyFill="1" applyBorder="1" applyAlignment="1">
      <alignment horizontal="right"/>
    </xf>
    <xf numFmtId="165" fontId="10" fillId="7" borderId="0" xfId="3" applyNumberFormat="1" applyFont="1" applyFill="1"/>
    <xf numFmtId="37" fontId="3" fillId="8" borderId="0" xfId="0" applyNumberFormat="1" applyFont="1" applyFill="1" applyAlignment="1">
      <alignment horizontal="right"/>
    </xf>
    <xf numFmtId="37" fontId="3" fillId="0" borderId="0" xfId="0" applyNumberFormat="1" applyFont="1" applyAlignment="1">
      <alignment horizontal="right"/>
    </xf>
    <xf numFmtId="37" fontId="3" fillId="0" borderId="1" xfId="0" applyNumberFormat="1" applyFont="1" applyFill="1" applyBorder="1" applyAlignment="1">
      <alignment horizontal="right"/>
    </xf>
    <xf numFmtId="9" fontId="3" fillId="0" borderId="0" xfId="0" applyNumberFormat="1" applyFont="1" applyBorder="1" applyAlignment="1">
      <alignment horizontal="center"/>
    </xf>
    <xf numFmtId="37" fontId="3" fillId="0" borderId="0" xfId="0" applyNumberFormat="1" applyFont="1" applyFill="1" applyAlignment="1">
      <alignment horizontal="right"/>
    </xf>
    <xf numFmtId="10" fontId="6" fillId="4" borderId="3" xfId="0" applyNumberFormat="1" applyFont="1" applyFill="1" applyBorder="1" applyAlignment="1">
      <alignment horizontal="right"/>
    </xf>
    <xf numFmtId="164" fontId="6" fillId="0" borderId="3" xfId="1" applyNumberFormat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165" fontId="6" fillId="0" borderId="4" xfId="1" applyNumberFormat="1" applyFont="1" applyBorder="1" applyAlignment="1">
      <alignment horizontal="right"/>
    </xf>
    <xf numFmtId="165" fontId="6" fillId="0" borderId="6" xfId="1" applyNumberFormat="1" applyFont="1" applyBorder="1" applyAlignment="1">
      <alignment horizontal="right"/>
    </xf>
    <xf numFmtId="165" fontId="6" fillId="0" borderId="5" xfId="1" applyNumberFormat="1" applyFont="1" applyBorder="1" applyAlignment="1">
      <alignment horizontal="right"/>
    </xf>
    <xf numFmtId="9" fontId="6" fillId="0" borderId="5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7" fontId="6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67" fontId="6" fillId="0" borderId="4" xfId="0" applyNumberFormat="1" applyFont="1" applyBorder="1" applyAlignment="1">
      <alignment horizontal="center"/>
    </xf>
    <xf numFmtId="37" fontId="10" fillId="3" borderId="0" xfId="0" applyNumberFormat="1" applyFont="1" applyFill="1" applyAlignment="1">
      <alignment horizontal="right"/>
    </xf>
    <xf numFmtId="9" fontId="0" fillId="8" borderId="0" xfId="2" applyFont="1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19" fillId="0" borderId="0" xfId="0" applyFont="1" applyFill="1" applyBorder="1"/>
    <xf numFmtId="37" fontId="7" fillId="0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37" fontId="3" fillId="0" borderId="0" xfId="0" applyNumberFormat="1" applyFont="1" applyBorder="1" applyAlignment="1">
      <alignment horizontal="right"/>
    </xf>
    <xf numFmtId="37" fontId="7" fillId="8" borderId="0" xfId="0" applyNumberFormat="1" applyFont="1" applyFill="1" applyBorder="1" applyAlignment="1">
      <alignment horizontal="right"/>
    </xf>
    <xf numFmtId="37" fontId="7" fillId="0" borderId="0" xfId="0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center"/>
    </xf>
    <xf numFmtId="164" fontId="6" fillId="0" borderId="2" xfId="1" applyNumberFormat="1" applyFont="1" applyFill="1" applyBorder="1" applyAlignment="1">
      <alignment horizontal="center"/>
    </xf>
    <xf numFmtId="0" fontId="0" fillId="0" borderId="0" xfId="0" applyBorder="1"/>
    <xf numFmtId="0" fontId="14" fillId="0" borderId="0" xfId="0" applyFont="1" applyBorder="1"/>
    <xf numFmtId="0" fontId="7" fillId="0" borderId="0" xfId="0" applyFont="1" applyBorder="1"/>
    <xf numFmtId="9" fontId="0" fillId="0" borderId="0" xfId="0" applyNumberFormat="1" applyFont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37" fontId="7" fillId="0" borderId="0" xfId="0" applyNumberFormat="1" applyFont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0" fillId="0" borderId="2" xfId="0" applyNumberFormat="1" applyFill="1" applyBorder="1" applyAlignment="1">
      <alignment horizontal="right"/>
    </xf>
    <xf numFmtId="37" fontId="0" fillId="0" borderId="0" xfId="1" applyNumberFormat="1" applyFont="1" applyFill="1" applyAlignment="1">
      <alignment horizontal="right"/>
    </xf>
    <xf numFmtId="0" fontId="0" fillId="0" borderId="0" xfId="0" applyBorder="1" applyAlignment="1">
      <alignment wrapText="1"/>
    </xf>
    <xf numFmtId="0" fontId="17" fillId="2" borderId="0" xfId="0" applyFont="1" applyFill="1"/>
    <xf numFmtId="0" fontId="8" fillId="0" borderId="0" xfId="0" applyFont="1" applyBorder="1"/>
    <xf numFmtId="0" fontId="0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10" fillId="2" borderId="0" xfId="0" applyFont="1" applyFill="1"/>
    <xf numFmtId="37" fontId="10" fillId="2" borderId="0" xfId="0" applyNumberFormat="1" applyFont="1" applyFill="1" applyAlignment="1">
      <alignment horizontal="right"/>
    </xf>
    <xf numFmtId="10" fontId="0" fillId="0" borderId="0" xfId="0" applyNumberFormat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Alignment="1"/>
    <xf numFmtId="0" fontId="5" fillId="0" borderId="0" xfId="0" applyFont="1" applyFill="1" applyAlignment="1"/>
    <xf numFmtId="0" fontId="20" fillId="0" borderId="0" xfId="0" applyFont="1"/>
    <xf numFmtId="0" fontId="21" fillId="6" borderId="0" xfId="0" applyFont="1" applyFill="1"/>
    <xf numFmtId="0" fontId="11" fillId="6" borderId="0" xfId="0" applyFont="1" applyFill="1"/>
    <xf numFmtId="37" fontId="11" fillId="6" borderId="0" xfId="0" applyNumberFormat="1" applyFont="1" applyFill="1" applyAlignment="1">
      <alignment horizontal="right"/>
    </xf>
    <xf numFmtId="0" fontId="0" fillId="0" borderId="0" xfId="0" applyFill="1" applyAlignment="1"/>
    <xf numFmtId="0" fontId="7" fillId="6" borderId="0" xfId="0" applyFont="1" applyFill="1"/>
    <xf numFmtId="168" fontId="2" fillId="2" borderId="0" xfId="0" applyNumberFormat="1" applyFont="1" applyFill="1" applyAlignment="1">
      <alignment horizontal="center"/>
    </xf>
    <xf numFmtId="37" fontId="3" fillId="0" borderId="1" xfId="0" applyNumberFormat="1" applyFont="1" applyBorder="1"/>
    <xf numFmtId="170" fontId="0" fillId="0" borderId="0" xfId="0" applyNumberFormat="1"/>
    <xf numFmtId="0" fontId="3" fillId="11" borderId="0" xfId="0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 wrapText="1"/>
    </xf>
    <xf numFmtId="0" fontId="19" fillId="0" borderId="0" xfId="0" applyFont="1"/>
    <xf numFmtId="0" fontId="7" fillId="0" borderId="0" xfId="0" applyFont="1" applyFill="1" applyBorder="1"/>
    <xf numFmtId="0" fontId="7" fillId="0" borderId="0" xfId="0" applyFont="1" applyBorder="1" applyAlignment="1">
      <alignment horizontal="center"/>
    </xf>
    <xf numFmtId="37" fontId="0" fillId="0" borderId="0" xfId="0" applyNumberFormat="1" applyFill="1" applyBorder="1" applyAlignment="1">
      <alignment horizontal="right"/>
    </xf>
    <xf numFmtId="9" fontId="7" fillId="0" borderId="0" xfId="0" applyNumberFormat="1" applyFont="1" applyBorder="1" applyAlignment="1">
      <alignment horizontal="center"/>
    </xf>
    <xf numFmtId="37" fontId="7" fillId="0" borderId="0" xfId="0" applyNumberFormat="1" applyFont="1" applyBorder="1" applyAlignment="1">
      <alignment horizontal="right"/>
    </xf>
    <xf numFmtId="9" fontId="7" fillId="0" borderId="6" xfId="0" applyNumberFormat="1" applyFont="1" applyBorder="1" applyAlignment="1">
      <alignment horizontal="center"/>
    </xf>
    <xf numFmtId="37" fontId="11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wrapText="1"/>
    </xf>
    <xf numFmtId="0" fontId="7" fillId="12" borderId="0" xfId="0" applyFont="1" applyFill="1" applyBorder="1"/>
    <xf numFmtId="9" fontId="7" fillId="12" borderId="4" xfId="0" applyNumberFormat="1" applyFont="1" applyFill="1" applyBorder="1" applyAlignment="1">
      <alignment horizontal="center"/>
    </xf>
    <xf numFmtId="37" fontId="7" fillId="12" borderId="0" xfId="0" applyNumberFormat="1" applyFont="1" applyFill="1" applyBorder="1" applyAlignment="1">
      <alignment horizontal="right"/>
    </xf>
    <xf numFmtId="9" fontId="7" fillId="12" borderId="6" xfId="0" applyNumberFormat="1" applyFont="1" applyFill="1" applyBorder="1" applyAlignment="1">
      <alignment horizontal="center"/>
    </xf>
    <xf numFmtId="9" fontId="7" fillId="12" borderId="5" xfId="0" applyNumberFormat="1" applyFont="1" applyFill="1" applyBorder="1" applyAlignment="1">
      <alignment horizontal="center"/>
    </xf>
    <xf numFmtId="0" fontId="8" fillId="13" borderId="0" xfId="0" applyFont="1" applyFill="1" applyBorder="1"/>
    <xf numFmtId="37" fontId="7" fillId="13" borderId="0" xfId="0" applyNumberFormat="1" applyFont="1" applyFill="1" applyBorder="1" applyAlignment="1">
      <alignment horizontal="right"/>
    </xf>
    <xf numFmtId="0" fontId="7" fillId="13" borderId="0" xfId="0" applyFont="1" applyFill="1" applyBorder="1"/>
    <xf numFmtId="0" fontId="7" fillId="13" borderId="0" xfId="0" applyFont="1" applyFill="1" applyBorder="1" applyAlignment="1">
      <alignment horizontal="center"/>
    </xf>
    <xf numFmtId="0" fontId="11" fillId="13" borderId="0" xfId="0" applyFont="1" applyFill="1" applyBorder="1" applyAlignment="1">
      <alignment horizontal="center"/>
    </xf>
    <xf numFmtId="37" fontId="7" fillId="13" borderId="1" xfId="0" applyNumberFormat="1" applyFont="1" applyFill="1" applyBorder="1" applyAlignment="1">
      <alignment horizontal="right"/>
    </xf>
    <xf numFmtId="37" fontId="11" fillId="13" borderId="1" xfId="0" applyNumberFormat="1" applyFont="1" applyFill="1" applyBorder="1" applyAlignment="1">
      <alignment horizontal="right"/>
    </xf>
    <xf numFmtId="37" fontId="22" fillId="12" borderId="1" xfId="0" applyNumberFormat="1" applyFont="1" applyFill="1" applyBorder="1" applyAlignment="1">
      <alignment horizontal="right"/>
    </xf>
    <xf numFmtId="0" fontId="11" fillId="13" borderId="0" xfId="0" applyFont="1" applyFill="1" applyBorder="1"/>
    <xf numFmtId="0" fontId="23" fillId="12" borderId="0" xfId="0" applyFont="1" applyFill="1"/>
    <xf numFmtId="0" fontId="0" fillId="12" borderId="0" xfId="0" applyFill="1" applyAlignment="1">
      <alignment horizontal="center"/>
    </xf>
    <xf numFmtId="37" fontId="3" fillId="12" borderId="0" xfId="0" applyNumberFormat="1" applyFont="1" applyFill="1" applyAlignment="1">
      <alignment horizontal="right"/>
    </xf>
    <xf numFmtId="9" fontId="22" fillId="12" borderId="1" xfId="0" applyNumberFormat="1" applyFont="1" applyFill="1" applyBorder="1" applyAlignment="1">
      <alignment horizontal="center"/>
    </xf>
    <xf numFmtId="0" fontId="22" fillId="12" borderId="0" xfId="0" applyFont="1" applyFill="1" applyBorder="1"/>
    <xf numFmtId="0" fontId="8" fillId="8" borderId="0" xfId="0" applyFont="1" applyFill="1" applyBorder="1"/>
    <xf numFmtId="0" fontId="7" fillId="8" borderId="0" xfId="0" applyFont="1" applyFill="1" applyBorder="1" applyAlignment="1">
      <alignment horizontal="center"/>
    </xf>
    <xf numFmtId="0" fontId="7" fillId="8" borderId="0" xfId="0" applyFont="1" applyFill="1" applyBorder="1"/>
    <xf numFmtId="9" fontId="7" fillId="8" borderId="4" xfId="0" applyNumberFormat="1" applyFont="1" applyFill="1" applyBorder="1" applyAlignment="1">
      <alignment horizontal="center"/>
    </xf>
    <xf numFmtId="9" fontId="7" fillId="8" borderId="6" xfId="0" applyNumberFormat="1" applyFont="1" applyFill="1" applyBorder="1" applyAlignment="1">
      <alignment horizontal="center"/>
    </xf>
    <xf numFmtId="9" fontId="7" fillId="8" borderId="5" xfId="0" applyNumberFormat="1" applyFont="1" applyFill="1" applyBorder="1" applyAlignment="1">
      <alignment horizontal="center"/>
    </xf>
    <xf numFmtId="37" fontId="3" fillId="0" borderId="8" xfId="0" applyNumberFormat="1" applyFont="1" applyFill="1" applyBorder="1" applyAlignment="1">
      <alignment horizontal="right"/>
    </xf>
    <xf numFmtId="37" fontId="7" fillId="0" borderId="7" xfId="0" applyNumberFormat="1" applyFont="1" applyFill="1" applyBorder="1" applyAlignment="1">
      <alignment horizontal="right"/>
    </xf>
    <xf numFmtId="37" fontId="7" fillId="0" borderId="13" xfId="0" applyNumberFormat="1" applyFont="1" applyFill="1" applyBorder="1" applyAlignment="1">
      <alignment horizontal="right"/>
    </xf>
    <xf numFmtId="37" fontId="0" fillId="0" borderId="7" xfId="0" applyNumberFormat="1" applyFill="1" applyBorder="1" applyAlignment="1">
      <alignment horizontal="right"/>
    </xf>
    <xf numFmtId="37" fontId="0" fillId="0" borderId="13" xfId="0" applyNumberFormat="1" applyFill="1" applyBorder="1" applyAlignment="1">
      <alignment horizontal="right"/>
    </xf>
    <xf numFmtId="37" fontId="0" fillId="0" borderId="7" xfId="0" applyNumberFormat="1" applyFont="1" applyFill="1" applyBorder="1" applyAlignment="1">
      <alignment horizontal="right"/>
    </xf>
    <xf numFmtId="37" fontId="3" fillId="0" borderId="10" xfId="0" applyNumberFormat="1" applyFont="1" applyFill="1" applyBorder="1" applyAlignment="1">
      <alignment horizontal="right"/>
    </xf>
    <xf numFmtId="37" fontId="3" fillId="0" borderId="7" xfId="0" applyNumberFormat="1" applyFont="1" applyFill="1" applyBorder="1" applyAlignment="1">
      <alignment horizontal="right"/>
    </xf>
    <xf numFmtId="37" fontId="3" fillId="12" borderId="7" xfId="0" applyNumberFormat="1" applyFont="1" applyFill="1" applyBorder="1" applyAlignment="1">
      <alignment horizontal="right"/>
    </xf>
    <xf numFmtId="37" fontId="7" fillId="12" borderId="7" xfId="0" applyNumberFormat="1" applyFont="1" applyFill="1" applyBorder="1" applyAlignment="1">
      <alignment horizontal="right"/>
    </xf>
    <xf numFmtId="37" fontId="22" fillId="12" borderId="10" xfId="0" applyNumberFormat="1" applyFont="1" applyFill="1" applyBorder="1" applyAlignment="1">
      <alignment horizontal="right"/>
    </xf>
    <xf numFmtId="37" fontId="7" fillId="13" borderId="7" xfId="0" applyNumberFormat="1" applyFont="1" applyFill="1" applyBorder="1" applyAlignment="1">
      <alignment horizontal="right"/>
    </xf>
    <xf numFmtId="37" fontId="7" fillId="13" borderId="10" xfId="0" applyNumberFormat="1" applyFont="1" applyFill="1" applyBorder="1" applyAlignment="1">
      <alignment horizontal="right"/>
    </xf>
    <xf numFmtId="37" fontId="11" fillId="13" borderId="10" xfId="0" applyNumberFormat="1" applyFont="1" applyFill="1" applyBorder="1" applyAlignment="1">
      <alignment horizontal="right"/>
    </xf>
    <xf numFmtId="37" fontId="7" fillId="8" borderId="7" xfId="0" applyNumberFormat="1" applyFont="1" applyFill="1" applyBorder="1" applyAlignment="1">
      <alignment horizontal="right"/>
    </xf>
    <xf numFmtId="37" fontId="10" fillId="2" borderId="7" xfId="0" applyNumberFormat="1" applyFont="1" applyFill="1" applyBorder="1" applyAlignment="1">
      <alignment horizontal="right"/>
    </xf>
    <xf numFmtId="0" fontId="22" fillId="8" borderId="0" xfId="0" applyFont="1" applyFill="1" applyBorder="1"/>
    <xf numFmtId="9" fontId="22" fillId="8" borderId="1" xfId="0" applyNumberFormat="1" applyFont="1" applyFill="1" applyBorder="1" applyAlignment="1">
      <alignment horizontal="center"/>
    </xf>
    <xf numFmtId="37" fontId="22" fillId="8" borderId="1" xfId="0" applyNumberFormat="1" applyFont="1" applyFill="1" applyBorder="1" applyAlignment="1">
      <alignment horizontal="right"/>
    </xf>
    <xf numFmtId="37" fontId="22" fillId="8" borderId="10" xfId="0" applyNumberFormat="1" applyFont="1" applyFill="1" applyBorder="1" applyAlignment="1">
      <alignment horizontal="right"/>
    </xf>
    <xf numFmtId="37" fontId="11" fillId="0" borderId="7" xfId="0" applyNumberFormat="1" applyFont="1" applyFill="1" applyBorder="1" applyAlignment="1">
      <alignment horizontal="right" vertical="center"/>
    </xf>
    <xf numFmtId="37" fontId="11" fillId="13" borderId="0" xfId="0" applyNumberFormat="1" applyFont="1" applyFill="1" applyBorder="1" applyAlignment="1">
      <alignment horizontal="right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 wrapText="1"/>
    </xf>
    <xf numFmtId="164" fontId="24" fillId="0" borderId="0" xfId="1" applyNumberFormat="1" applyFont="1" applyFill="1" applyBorder="1" applyAlignment="1">
      <alignment horizontal="center"/>
    </xf>
    <xf numFmtId="0" fontId="24" fillId="0" borderId="0" xfId="0" quotePrefix="1" applyFont="1" applyFill="1" applyAlignment="1">
      <alignment horizontal="center"/>
    </xf>
    <xf numFmtId="43" fontId="24" fillId="0" borderId="0" xfId="0" applyNumberFormat="1" applyFont="1" applyFill="1" applyAlignment="1">
      <alignment horizontal="center"/>
    </xf>
    <xf numFmtId="37" fontId="24" fillId="0" borderId="0" xfId="0" applyNumberFormat="1" applyFont="1" applyFill="1" applyAlignment="1">
      <alignment horizontal="center"/>
    </xf>
    <xf numFmtId="0" fontId="24" fillId="0" borderId="0" xfId="0" quotePrefix="1" applyFont="1" applyFill="1" applyBorder="1" applyAlignment="1">
      <alignment horizontal="center"/>
    </xf>
    <xf numFmtId="37" fontId="24" fillId="0" borderId="0" xfId="0" quotePrefix="1" applyNumberFormat="1" applyFont="1" applyFill="1" applyAlignment="1">
      <alignment horizontal="center"/>
    </xf>
    <xf numFmtId="0" fontId="24" fillId="0" borderId="0" xfId="0" applyFont="1" applyFill="1" applyAlignment="1">
      <alignment horizontal="center" vertical="center"/>
    </xf>
    <xf numFmtId="0" fontId="24" fillId="0" borderId="0" xfId="0" quotePrefix="1" applyFont="1" applyFill="1" applyAlignment="1">
      <alignment horizontal="center" wrapText="1"/>
    </xf>
    <xf numFmtId="0" fontId="26" fillId="0" borderId="0" xfId="0" applyFont="1" applyFill="1"/>
    <xf numFmtId="0" fontId="26" fillId="0" borderId="0" xfId="0" applyFont="1" applyFill="1" applyAlignment="1">
      <alignment horizontal="center"/>
    </xf>
    <xf numFmtId="164" fontId="26" fillId="0" borderId="0" xfId="1" applyNumberFormat="1" applyFont="1" applyFill="1" applyBorder="1" applyAlignment="1">
      <alignment horizontal="center"/>
    </xf>
    <xf numFmtId="0" fontId="26" fillId="0" borderId="0" xfId="0" quotePrefix="1" applyFont="1" applyFill="1" applyAlignment="1">
      <alignment horizontal="center"/>
    </xf>
    <xf numFmtId="43" fontId="26" fillId="0" borderId="0" xfId="0" quotePrefix="1" applyNumberFormat="1" applyFont="1" applyFill="1" applyAlignment="1">
      <alignment horizontal="center"/>
    </xf>
    <xf numFmtId="37" fontId="26" fillId="0" borderId="0" xfId="0" applyNumberFormat="1" applyFont="1" applyFill="1" applyAlignment="1">
      <alignment horizontal="center"/>
    </xf>
    <xf numFmtId="0" fontId="26" fillId="0" borderId="0" xfId="0" quotePrefix="1" applyFont="1" applyFill="1" applyBorder="1" applyAlignment="1">
      <alignment horizontal="center"/>
    </xf>
    <xf numFmtId="37" fontId="26" fillId="0" borderId="0" xfId="0" quotePrefix="1" applyNumberFormat="1" applyFont="1" applyFill="1" applyAlignment="1">
      <alignment horizontal="center"/>
    </xf>
    <xf numFmtId="0" fontId="26" fillId="0" borderId="0" xfId="0" quotePrefix="1" applyFont="1" applyFill="1" applyAlignment="1">
      <alignment horizontal="center" vertical="center"/>
    </xf>
    <xf numFmtId="0" fontId="26" fillId="0" borderId="0" xfId="0" quotePrefix="1" applyFont="1" applyFill="1" applyAlignment="1">
      <alignment horizontal="center" wrapText="1"/>
    </xf>
    <xf numFmtId="164" fontId="4" fillId="0" borderId="0" xfId="1" applyNumberFormat="1" applyFont="1" applyFill="1" applyBorder="1" applyAlignment="1">
      <alignment horizontal="center"/>
    </xf>
    <xf numFmtId="164" fontId="4" fillId="0" borderId="7" xfId="1" applyNumberFormat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164" fontId="4" fillId="0" borderId="13" xfId="1" applyNumberFormat="1" applyFont="1" applyFill="1" applyBorder="1" applyAlignment="1">
      <alignment horizontal="center"/>
    </xf>
    <xf numFmtId="9" fontId="8" fillId="0" borderId="0" xfId="0" applyNumberFormat="1" applyFont="1" applyFill="1" applyBorder="1" applyAlignment="1">
      <alignment horizontal="left"/>
    </xf>
    <xf numFmtId="10" fontId="7" fillId="0" borderId="3" xfId="0" applyNumberFormat="1" applyFont="1" applyFill="1" applyBorder="1" applyAlignment="1">
      <alignment horizontal="center" vertical="center"/>
    </xf>
    <xf numFmtId="9" fontId="7" fillId="0" borderId="4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7" fontId="7" fillId="0" borderId="6" xfId="0" applyNumberFormat="1" applyFont="1" applyBorder="1" applyAlignment="1">
      <alignment horizontal="center"/>
    </xf>
    <xf numFmtId="167" fontId="7" fillId="0" borderId="5" xfId="0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left" vertical="top"/>
    </xf>
    <xf numFmtId="0" fontId="11" fillId="9" borderId="0" xfId="0" applyFont="1" applyFill="1" applyBorder="1" applyAlignment="1">
      <alignment horizontal="center"/>
    </xf>
    <xf numFmtId="165" fontId="7" fillId="0" borderId="4" xfId="1" applyNumberFormat="1" applyFont="1" applyBorder="1" applyAlignment="1">
      <alignment horizontal="right"/>
    </xf>
    <xf numFmtId="165" fontId="7" fillId="0" borderId="6" xfId="1" applyNumberFormat="1" applyFont="1" applyBorder="1" applyAlignment="1">
      <alignment horizontal="right"/>
    </xf>
    <xf numFmtId="165" fontId="7" fillId="0" borderId="5" xfId="1" applyNumberFormat="1" applyFont="1" applyBorder="1" applyAlignment="1">
      <alignment horizontal="right"/>
    </xf>
    <xf numFmtId="165" fontId="7" fillId="13" borderId="3" xfId="1" applyNumberFormat="1" applyFont="1" applyFill="1" applyBorder="1" applyAlignment="1">
      <alignment horizontal="right"/>
    </xf>
    <xf numFmtId="0" fontId="2" fillId="9" borderId="0" xfId="0" applyFont="1" applyFill="1" applyAlignment="1">
      <alignment horizontal="center"/>
    </xf>
    <xf numFmtId="164" fontId="4" fillId="9" borderId="0" xfId="1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23" fillId="0" borderId="0" xfId="0" applyFont="1" applyBorder="1" applyAlignment="1">
      <alignment wrapText="1"/>
    </xf>
    <xf numFmtId="0" fontId="3" fillId="10" borderId="0" xfId="0" applyFont="1" applyFill="1"/>
    <xf numFmtId="9" fontId="0" fillId="10" borderId="0" xfId="0" applyNumberFormat="1" applyFont="1" applyFill="1" applyBorder="1" applyAlignment="1">
      <alignment horizontal="center"/>
    </xf>
    <xf numFmtId="37" fontId="3" fillId="10" borderId="0" xfId="0" applyNumberFormat="1" applyFont="1" applyFill="1" applyBorder="1" applyAlignment="1">
      <alignment horizontal="right"/>
    </xf>
    <xf numFmtId="0" fontId="3" fillId="10" borderId="0" xfId="0" applyFont="1" applyFill="1" applyBorder="1" applyAlignment="1">
      <alignment wrapText="1"/>
    </xf>
    <xf numFmtId="37" fontId="3" fillId="10" borderId="7" xfId="0" applyNumberFormat="1" applyFont="1" applyFill="1" applyBorder="1" applyAlignment="1">
      <alignment horizontal="right"/>
    </xf>
    <xf numFmtId="9" fontId="3" fillId="10" borderId="4" xfId="0" applyNumberFormat="1" applyFont="1" applyFill="1" applyBorder="1" applyAlignment="1">
      <alignment horizontal="center"/>
    </xf>
    <xf numFmtId="37" fontId="3" fillId="10" borderId="0" xfId="0" applyNumberFormat="1" applyFont="1" applyFill="1" applyAlignment="1">
      <alignment horizontal="right"/>
    </xf>
    <xf numFmtId="9" fontId="3" fillId="10" borderId="6" xfId="0" applyNumberFormat="1" applyFont="1" applyFill="1" applyBorder="1" applyAlignment="1">
      <alignment horizontal="center"/>
    </xf>
    <xf numFmtId="9" fontId="3" fillId="10" borderId="5" xfId="0" applyNumberFormat="1" applyFont="1" applyFill="1" applyBorder="1" applyAlignment="1">
      <alignment horizontal="center"/>
    </xf>
    <xf numFmtId="9" fontId="23" fillId="10" borderId="0" xfId="0" applyNumberFormat="1" applyFont="1" applyFill="1" applyBorder="1" applyAlignment="1">
      <alignment horizontal="left"/>
    </xf>
    <xf numFmtId="9" fontId="7" fillId="0" borderId="3" xfId="0" applyNumberFormat="1" applyFont="1" applyFill="1" applyBorder="1" applyAlignment="1">
      <alignment horizontal="center" vertical="center"/>
    </xf>
    <xf numFmtId="37" fontId="10" fillId="3" borderId="7" xfId="0" applyNumberFormat="1" applyFont="1" applyFill="1" applyBorder="1" applyAlignment="1">
      <alignment horizontal="right"/>
    </xf>
    <xf numFmtId="37" fontId="7" fillId="13" borderId="2" xfId="0" applyNumberFormat="1" applyFont="1" applyFill="1" applyBorder="1" applyAlignment="1">
      <alignment horizontal="right"/>
    </xf>
    <xf numFmtId="37" fontId="7" fillId="13" borderId="13" xfId="0" applyNumberFormat="1" applyFont="1" applyFill="1" applyBorder="1" applyAlignment="1">
      <alignment horizontal="right"/>
    </xf>
    <xf numFmtId="164" fontId="0" fillId="0" borderId="0" xfId="1" applyNumberFormat="1" applyFont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0" fontId="0" fillId="11" borderId="14" xfId="0" applyFill="1" applyBorder="1"/>
    <xf numFmtId="0" fontId="0" fillId="0" borderId="14" xfId="0" applyBorder="1"/>
    <xf numFmtId="0" fontId="0" fillId="0" borderId="14" xfId="0" applyBorder="1" applyAlignment="1">
      <alignment wrapText="1"/>
    </xf>
    <xf numFmtId="0" fontId="3" fillId="0" borderId="16" xfId="0" applyFont="1" applyBorder="1" applyAlignment="1">
      <alignment wrapText="1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0" borderId="0" xfId="1" applyNumberFormat="1" applyFont="1" applyFill="1" applyBorder="1" applyAlignment="1">
      <alignment horizontal="right"/>
    </xf>
    <xf numFmtId="164" fontId="3" fillId="0" borderId="15" xfId="1" applyNumberFormat="1" applyFont="1" applyBorder="1"/>
    <xf numFmtId="164" fontId="3" fillId="0" borderId="15" xfId="1" applyNumberFormat="1" applyFont="1" applyBorder="1" applyAlignment="1">
      <alignment horizontal="right"/>
    </xf>
    <xf numFmtId="37" fontId="7" fillId="0" borderId="7" xfId="0" applyNumberFormat="1" applyFont="1" applyBorder="1" applyAlignment="1">
      <alignment horizontal="right"/>
    </xf>
    <xf numFmtId="37" fontId="0" fillId="0" borderId="13" xfId="0" applyNumberFormat="1" applyBorder="1" applyAlignment="1">
      <alignment horizontal="right"/>
    </xf>
    <xf numFmtId="37" fontId="0" fillId="0" borderId="7" xfId="0" applyNumberFormat="1" applyFont="1" applyBorder="1" applyAlignment="1">
      <alignment horizontal="right"/>
    </xf>
    <xf numFmtId="37" fontId="0" fillId="0" borderId="7" xfId="0" applyNumberFormat="1" applyBorder="1" applyAlignment="1">
      <alignment horizontal="right"/>
    </xf>
    <xf numFmtId="37" fontId="3" fillId="0" borderId="10" xfId="0" applyNumberFormat="1" applyFont="1" applyBorder="1" applyAlignment="1">
      <alignment horizontal="right"/>
    </xf>
    <xf numFmtId="37" fontId="3" fillId="0" borderId="7" xfId="0" applyNumberFormat="1" applyFont="1" applyBorder="1" applyAlignment="1">
      <alignment horizontal="right"/>
    </xf>
    <xf numFmtId="37" fontId="0" fillId="0" borderId="0" xfId="0" applyNumberFormat="1" applyFont="1" applyFill="1" applyBorder="1" applyAlignment="1">
      <alignment horizontal="right"/>
    </xf>
    <xf numFmtId="37" fontId="3" fillId="12" borderId="0" xfId="0" applyNumberFormat="1" applyFont="1" applyFill="1" applyBorder="1" applyAlignment="1">
      <alignment horizontal="right"/>
    </xf>
    <xf numFmtId="0" fontId="2" fillId="7" borderId="0" xfId="0" applyFont="1" applyFill="1" applyBorder="1" applyAlignment="1">
      <alignment horizontal="center"/>
    </xf>
    <xf numFmtId="37" fontId="0" fillId="0" borderId="1" xfId="1" applyNumberFormat="1" applyFont="1" applyFill="1" applyBorder="1" applyAlignment="1">
      <alignment horizontal="right"/>
    </xf>
    <xf numFmtId="37" fontId="0" fillId="0" borderId="1" xfId="0" applyNumberFormat="1" applyFill="1" applyBorder="1" applyAlignment="1">
      <alignment horizontal="right"/>
    </xf>
    <xf numFmtId="37" fontId="7" fillId="13" borderId="12" xfId="0" applyNumberFormat="1" applyFont="1" applyFill="1" applyBorder="1" applyAlignment="1">
      <alignment horizontal="right"/>
    </xf>
    <xf numFmtId="0" fontId="3" fillId="0" borderId="16" xfId="0" applyFont="1" applyFill="1" applyBorder="1" applyAlignment="1">
      <alignment wrapText="1"/>
    </xf>
    <xf numFmtId="164" fontId="3" fillId="0" borderId="15" xfId="0" applyNumberFormat="1" applyFont="1" applyBorder="1"/>
    <xf numFmtId="37" fontId="11" fillId="6" borderId="7" xfId="0" applyNumberFormat="1" applyFont="1" applyFill="1" applyBorder="1" applyAlignment="1">
      <alignment horizontal="right"/>
    </xf>
    <xf numFmtId="37" fontId="3" fillId="10" borderId="11" xfId="0" applyNumberFormat="1" applyFont="1" applyFill="1" applyBorder="1" applyAlignment="1">
      <alignment horizontal="right"/>
    </xf>
    <xf numFmtId="164" fontId="11" fillId="0" borderId="15" xfId="1" applyNumberFormat="1" applyFont="1" applyBorder="1" applyAlignment="1">
      <alignment horizontal="center"/>
    </xf>
    <xf numFmtId="0" fontId="4" fillId="7" borderId="0" xfId="0" applyFont="1" applyFill="1" applyBorder="1"/>
    <xf numFmtId="0" fontId="2" fillId="7" borderId="0" xfId="0" applyFont="1" applyFill="1" applyBorder="1" applyAlignment="1">
      <alignment horizontal="center" wrapText="1"/>
    </xf>
    <xf numFmtId="167" fontId="2" fillId="7" borderId="0" xfId="0" applyNumberFormat="1" applyFont="1" applyFill="1" applyBorder="1" applyAlignment="1">
      <alignment horizontal="center"/>
    </xf>
    <xf numFmtId="167" fontId="2" fillId="7" borderId="0" xfId="0" applyNumberFormat="1" applyFont="1" applyFill="1" applyBorder="1" applyAlignment="1">
      <alignment horizontal="center" wrapText="1"/>
    </xf>
    <xf numFmtId="0" fontId="2" fillId="7" borderId="0" xfId="0" applyFont="1" applyFill="1" applyBorder="1"/>
    <xf numFmtId="0" fontId="25" fillId="0" borderId="0" xfId="0" applyFont="1" applyFill="1" applyBorder="1" applyAlignment="1">
      <alignment horizontal="center" wrapText="1"/>
    </xf>
    <xf numFmtId="0" fontId="0" fillId="0" borderId="0" xfId="0" quotePrefix="1"/>
    <xf numFmtId="0" fontId="5" fillId="0" borderId="0" xfId="0" quotePrefix="1" applyFont="1"/>
    <xf numFmtId="37" fontId="14" fillId="0" borderId="0" xfId="0" applyNumberFormat="1" applyFont="1" applyFill="1" applyAlignment="1">
      <alignment horizontal="right"/>
    </xf>
    <xf numFmtId="37" fontId="14" fillId="0" borderId="0" xfId="1" applyNumberFormat="1" applyFont="1" applyFill="1" applyAlignment="1">
      <alignment horizontal="right"/>
    </xf>
    <xf numFmtId="37" fontId="14" fillId="0" borderId="2" xfId="0" applyNumberFormat="1" applyFont="1" applyFill="1" applyBorder="1" applyAlignment="1">
      <alignment horizontal="right"/>
    </xf>
    <xf numFmtId="167" fontId="28" fillId="0" borderId="6" xfId="0" applyNumberFormat="1" applyFont="1" applyBorder="1" applyAlignment="1">
      <alignment horizontal="center"/>
    </xf>
    <xf numFmtId="0" fontId="7" fillId="0" borderId="0" xfId="0" quotePrefix="1" applyFont="1"/>
    <xf numFmtId="167" fontId="7" fillId="0" borderId="6" xfId="0" applyNumberFormat="1" applyFont="1" applyFill="1" applyBorder="1" applyAlignment="1">
      <alignment horizontal="center"/>
    </xf>
    <xf numFmtId="167" fontId="7" fillId="0" borderId="5" xfId="0" applyNumberFormat="1" applyFont="1" applyFill="1" applyBorder="1" applyAlignment="1">
      <alignment horizontal="center"/>
    </xf>
    <xf numFmtId="169" fontId="0" fillId="0" borderId="0" xfId="2" applyNumberFormat="1" applyFont="1" applyAlignment="1">
      <alignment horizontal="center"/>
    </xf>
    <xf numFmtId="9" fontId="0" fillId="0" borderId="0" xfId="0" applyNumberFormat="1" applyBorder="1"/>
    <xf numFmtId="0" fontId="0" fillId="0" borderId="2" xfId="0" applyBorder="1" applyAlignment="1">
      <alignment horizontal="center"/>
    </xf>
    <xf numFmtId="171" fontId="0" fillId="0" borderId="0" xfId="0" applyNumberFormat="1"/>
    <xf numFmtId="0" fontId="29" fillId="0" borderId="0" xfId="0" applyFont="1"/>
    <xf numFmtId="0" fontId="30" fillId="0" borderId="0" xfId="0" applyFont="1"/>
    <xf numFmtId="10" fontId="3" fillId="0" borderId="1" xfId="0" applyNumberFormat="1" applyFont="1" applyBorder="1"/>
    <xf numFmtId="165" fontId="3" fillId="0" borderId="1" xfId="0" applyNumberFormat="1" applyFont="1" applyBorder="1"/>
    <xf numFmtId="0" fontId="24" fillId="0" borderId="0" xfId="0" quotePrefix="1" applyFont="1" applyFill="1" applyAlignment="1">
      <alignment horizontal="center"/>
    </xf>
    <xf numFmtId="0" fontId="25" fillId="0" borderId="0" xfId="0" applyFont="1" applyFill="1" applyBorder="1" applyAlignment="1">
      <alignment horizontal="center" wrapText="1"/>
    </xf>
    <xf numFmtId="0" fontId="24" fillId="0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166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6" fontId="2" fillId="7" borderId="0" xfId="0" applyNumberFormat="1" applyFont="1" applyFill="1" applyBorder="1" applyAlignment="1">
      <alignment horizontal="center"/>
    </xf>
    <xf numFmtId="10" fontId="4" fillId="0" borderId="0" xfId="2" applyNumberFormat="1" applyFont="1"/>
    <xf numFmtId="164" fontId="4" fillId="0" borderId="0" xfId="0" applyNumberFormat="1" applyFont="1"/>
    <xf numFmtId="0" fontId="11" fillId="0" borderId="0" xfId="0" applyFont="1" applyFill="1"/>
    <xf numFmtId="10" fontId="11" fillId="0" borderId="0" xfId="0" applyNumberFormat="1" applyFont="1" applyFill="1" applyAlignment="1">
      <alignment horizontal="center"/>
    </xf>
    <xf numFmtId="37" fontId="11" fillId="0" borderId="0" xfId="0" applyNumberFormat="1" applyFont="1" applyFill="1" applyAlignment="1">
      <alignment horizontal="right"/>
    </xf>
    <xf numFmtId="165" fontId="10" fillId="5" borderId="0" xfId="3" applyNumberFormat="1" applyFont="1" applyFill="1"/>
    <xf numFmtId="37" fontId="0" fillId="0" borderId="11" xfId="0" applyNumberFormat="1" applyFill="1" applyBorder="1" applyAlignment="1">
      <alignment horizontal="right"/>
    </xf>
    <xf numFmtId="37" fontId="0" fillId="0" borderId="8" xfId="1" applyNumberFormat="1" applyFont="1" applyFill="1" applyBorder="1" applyAlignment="1">
      <alignment horizontal="right"/>
    </xf>
    <xf numFmtId="171" fontId="0" fillId="0" borderId="0" xfId="0" applyNumberFormat="1" applyBorder="1"/>
    <xf numFmtId="0" fontId="0" fillId="6" borderId="0" xfId="0" applyFill="1"/>
    <xf numFmtId="0" fontId="2" fillId="2" borderId="0" xfId="0" applyFont="1" applyFill="1" applyBorder="1" applyAlignment="1"/>
    <xf numFmtId="37" fontId="11" fillId="6" borderId="0" xfId="0" applyNumberFormat="1" applyFont="1" applyFill="1" applyBorder="1" applyAlignment="1">
      <alignment horizontal="right"/>
    </xf>
    <xf numFmtId="37" fontId="0" fillId="0" borderId="0" xfId="0" applyNumberFormat="1" applyBorder="1"/>
    <xf numFmtId="37" fontId="0" fillId="0" borderId="1" xfId="0" applyNumberFormat="1" applyFont="1" applyBorder="1" applyAlignment="1">
      <alignment horizontal="right"/>
    </xf>
    <xf numFmtId="37" fontId="7" fillId="0" borderId="11" xfId="0" applyNumberFormat="1" applyFont="1" applyBorder="1" applyAlignment="1">
      <alignment horizontal="right"/>
    </xf>
    <xf numFmtId="37" fontId="7" fillId="0" borderId="12" xfId="0" applyNumberFormat="1" applyFont="1" applyFill="1" applyBorder="1" applyAlignment="1">
      <alignment horizontal="right"/>
    </xf>
    <xf numFmtId="37" fontId="0" fillId="0" borderId="12" xfId="0" applyNumberFormat="1" applyBorder="1" applyAlignment="1">
      <alignment horizontal="right"/>
    </xf>
    <xf numFmtId="37" fontId="0" fillId="0" borderId="11" xfId="0" applyNumberFormat="1" applyFont="1" applyBorder="1" applyAlignment="1">
      <alignment horizontal="right"/>
    </xf>
    <xf numFmtId="37" fontId="0" fillId="0" borderId="11" xfId="0" applyNumberFormat="1" applyBorder="1" applyAlignment="1">
      <alignment horizontal="right"/>
    </xf>
    <xf numFmtId="37" fontId="3" fillId="0" borderId="8" xfId="0" applyNumberFormat="1" applyFont="1" applyBorder="1" applyAlignment="1">
      <alignment horizontal="right"/>
    </xf>
    <xf numFmtId="37" fontId="0" fillId="0" borderId="12" xfId="0" applyNumberFormat="1" applyFill="1" applyBorder="1" applyAlignment="1">
      <alignment horizontal="right"/>
    </xf>
    <xf numFmtId="37" fontId="3" fillId="0" borderId="11" xfId="0" applyNumberFormat="1" applyFont="1" applyBorder="1" applyAlignment="1">
      <alignment horizontal="right"/>
    </xf>
    <xf numFmtId="37" fontId="3" fillId="12" borderId="11" xfId="0" applyNumberFormat="1" applyFont="1" applyFill="1" applyBorder="1" applyAlignment="1">
      <alignment horizontal="right"/>
    </xf>
    <xf numFmtId="37" fontId="7" fillId="12" borderId="11" xfId="0" applyNumberFormat="1" applyFont="1" applyFill="1" applyBorder="1" applyAlignment="1">
      <alignment horizontal="right"/>
    </xf>
    <xf numFmtId="37" fontId="22" fillId="12" borderId="8" xfId="0" applyNumberFormat="1" applyFont="1" applyFill="1" applyBorder="1" applyAlignment="1">
      <alignment horizontal="right"/>
    </xf>
    <xf numFmtId="37" fontId="7" fillId="0" borderId="11" xfId="0" applyNumberFormat="1" applyFont="1" applyFill="1" applyBorder="1" applyAlignment="1">
      <alignment horizontal="right"/>
    </xf>
    <xf numFmtId="37" fontId="7" fillId="13" borderId="11" xfId="0" applyNumberFormat="1" applyFont="1" applyFill="1" applyBorder="1" applyAlignment="1">
      <alignment horizontal="right"/>
    </xf>
    <xf numFmtId="37" fontId="7" fillId="13" borderId="8" xfId="0" applyNumberFormat="1" applyFont="1" applyFill="1" applyBorder="1" applyAlignment="1">
      <alignment horizontal="right"/>
    </xf>
    <xf numFmtId="37" fontId="11" fillId="13" borderId="8" xfId="0" applyNumberFormat="1" applyFont="1" applyFill="1" applyBorder="1" applyAlignment="1">
      <alignment horizontal="right"/>
    </xf>
    <xf numFmtId="37" fontId="7" fillId="8" borderId="11" xfId="0" applyNumberFormat="1" applyFont="1" applyFill="1" applyBorder="1" applyAlignment="1">
      <alignment horizontal="right"/>
    </xf>
    <xf numFmtId="37" fontId="22" fillId="8" borderId="8" xfId="0" applyNumberFormat="1" applyFont="1" applyFill="1" applyBorder="1" applyAlignment="1">
      <alignment horizontal="right"/>
    </xf>
    <xf numFmtId="37" fontId="11" fillId="0" borderId="11" xfId="0" applyNumberFormat="1" applyFont="1" applyFill="1" applyBorder="1" applyAlignment="1">
      <alignment horizontal="right" vertical="center"/>
    </xf>
    <xf numFmtId="37" fontId="3" fillId="0" borderId="11" xfId="0" applyNumberFormat="1" applyFont="1" applyFill="1" applyBorder="1" applyAlignment="1">
      <alignment horizontal="right"/>
    </xf>
    <xf numFmtId="37" fontId="11" fillId="6" borderId="11" xfId="0" applyNumberFormat="1" applyFont="1" applyFill="1" applyBorder="1" applyAlignment="1">
      <alignment horizontal="right"/>
    </xf>
    <xf numFmtId="37" fontId="2" fillId="5" borderId="0" xfId="0" applyNumberFormat="1" applyFont="1" applyFill="1" applyAlignment="1">
      <alignment horizontal="right"/>
    </xf>
    <xf numFmtId="37" fontId="2" fillId="5" borderId="0" xfId="0" applyNumberFormat="1" applyFont="1" applyFill="1" applyBorder="1" applyAlignment="1">
      <alignment horizontal="right"/>
    </xf>
    <xf numFmtId="0" fontId="17" fillId="5" borderId="0" xfId="0" applyFont="1" applyFill="1"/>
    <xf numFmtId="37" fontId="10" fillId="2" borderId="0" xfId="0" applyNumberFormat="1" applyFont="1" applyFill="1" applyBorder="1" applyAlignment="1">
      <alignment horizontal="right"/>
    </xf>
    <xf numFmtId="37" fontId="0" fillId="0" borderId="10" xfId="1" applyNumberFormat="1" applyFont="1" applyFill="1" applyBorder="1" applyAlignment="1">
      <alignment horizontal="right"/>
    </xf>
    <xf numFmtId="166" fontId="2" fillId="2" borderId="7" xfId="0" applyNumberFormat="1" applyFont="1" applyFill="1" applyBorder="1" applyAlignment="1">
      <alignment horizontal="center"/>
    </xf>
    <xf numFmtId="37" fontId="2" fillId="5" borderId="7" xfId="0" applyNumberFormat="1" applyFont="1" applyFill="1" applyBorder="1" applyAlignment="1">
      <alignment horizontal="right"/>
    </xf>
    <xf numFmtId="164" fontId="6" fillId="0" borderId="11" xfId="1" applyNumberFormat="1" applyFont="1" applyFill="1" applyBorder="1" applyAlignment="1">
      <alignment horizontal="center"/>
    </xf>
    <xf numFmtId="164" fontId="6" fillId="0" borderId="12" xfId="1" applyNumberFormat="1" applyFont="1" applyFill="1" applyBorder="1" applyAlignment="1">
      <alignment horizontal="center"/>
    </xf>
    <xf numFmtId="37" fontId="0" fillId="0" borderId="11" xfId="1" applyNumberFormat="1" applyFont="1" applyFill="1" applyBorder="1" applyAlignment="1">
      <alignment horizontal="right"/>
    </xf>
    <xf numFmtId="37" fontId="11" fillId="13" borderId="11" xfId="0" applyNumberFormat="1" applyFont="1" applyFill="1" applyBorder="1" applyAlignment="1">
      <alignment horizontal="right"/>
    </xf>
    <xf numFmtId="37" fontId="2" fillId="5" borderId="11" xfId="0" applyNumberFormat="1" applyFont="1" applyFill="1" applyBorder="1" applyAlignment="1">
      <alignment horizontal="right"/>
    </xf>
    <xf numFmtId="165" fontId="0" fillId="0" borderId="0" xfId="0" applyNumberFormat="1"/>
    <xf numFmtId="172" fontId="0" fillId="0" borderId="0" xfId="0" applyNumberFormat="1"/>
    <xf numFmtId="173" fontId="0" fillId="0" borderId="0" xfId="0" applyNumberFormat="1"/>
    <xf numFmtId="10" fontId="0" fillId="0" borderId="0" xfId="2" applyNumberFormat="1" applyFont="1" applyFill="1"/>
    <xf numFmtId="9" fontId="13" fillId="0" borderId="3" xfId="2" applyFont="1" applyBorder="1" applyAlignment="1">
      <alignment horizontal="right"/>
    </xf>
    <xf numFmtId="0" fontId="13" fillId="0" borderId="0" xfId="0" applyFont="1" applyAlignment="1"/>
    <xf numFmtId="0" fontId="2" fillId="2" borderId="0" xfId="0" applyFont="1" applyFill="1" applyBorder="1" applyAlignment="1">
      <alignment horizontal="center"/>
    </xf>
    <xf numFmtId="164" fontId="3" fillId="0" borderId="0" xfId="0" applyNumberFormat="1" applyFont="1" applyBorder="1"/>
    <xf numFmtId="8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/>
    </xf>
    <xf numFmtId="169" fontId="14" fillId="0" borderId="0" xfId="2" applyNumberFormat="1" applyFont="1"/>
    <xf numFmtId="37" fontId="0" fillId="0" borderId="0" xfId="0" applyNumberFormat="1" applyFill="1"/>
    <xf numFmtId="164" fontId="0" fillId="0" borderId="0" xfId="0" applyNumberFormat="1" applyFill="1"/>
    <xf numFmtId="0" fontId="2" fillId="3" borderId="0" xfId="0" applyFont="1" applyFill="1" applyBorder="1" applyAlignment="1">
      <alignment horizontal="center"/>
    </xf>
    <xf numFmtId="166" fontId="2" fillId="3" borderId="0" xfId="0" applyNumberFormat="1" applyFont="1" applyFill="1" applyBorder="1" applyAlignment="1">
      <alignment horizontal="center"/>
    </xf>
    <xf numFmtId="37" fontId="3" fillId="0" borderId="0" xfId="0" applyNumberFormat="1" applyFont="1"/>
    <xf numFmtId="0" fontId="11" fillId="6" borderId="0" xfId="0" applyFont="1" applyFill="1" applyBorder="1" applyAlignment="1"/>
    <xf numFmtId="0" fontId="11" fillId="6" borderId="0" xfId="0" applyFont="1" applyFill="1" applyBorder="1" applyAlignment="1">
      <alignment horizontal="center"/>
    </xf>
    <xf numFmtId="166" fontId="11" fillId="6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166" fontId="2" fillId="5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11" fillId="6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left"/>
    </xf>
    <xf numFmtId="169" fontId="32" fillId="0" borderId="0" xfId="2" applyNumberFormat="1" applyFont="1"/>
    <xf numFmtId="0" fontId="2" fillId="18" borderId="0" xfId="0" applyFont="1" applyFill="1"/>
    <xf numFmtId="0" fontId="4" fillId="18" borderId="0" xfId="0" applyFont="1" applyFill="1"/>
    <xf numFmtId="43" fontId="0" fillId="0" borderId="0" xfId="0" applyNumberFormat="1"/>
    <xf numFmtId="164" fontId="0" fillId="0" borderId="0" xfId="0" applyNumberFormat="1"/>
    <xf numFmtId="0" fontId="0" fillId="0" borderId="0" xfId="0" applyFill="1"/>
    <xf numFmtId="169" fontId="0" fillId="0" borderId="0" xfId="2" applyNumberFormat="1" applyFont="1"/>
    <xf numFmtId="164" fontId="6" fillId="0" borderId="0" xfId="1" applyNumberFormat="1" applyFont="1" applyAlignment="1">
      <alignment horizontal="center"/>
    </xf>
    <xf numFmtId="14" fontId="0" fillId="0" borderId="0" xfId="0" applyNumberFormat="1"/>
    <xf numFmtId="0" fontId="11" fillId="15" borderId="0" xfId="0" applyFont="1" applyFill="1" applyAlignment="1">
      <alignment horizontal="center"/>
    </xf>
    <xf numFmtId="0" fontId="11" fillId="14" borderId="0" xfId="0" applyFont="1" applyFill="1" applyAlignment="1">
      <alignment horizontal="center"/>
    </xf>
    <xf numFmtId="0" fontId="11" fillId="16" borderId="0" xfId="0" applyFont="1" applyFill="1" applyAlignment="1">
      <alignment horizontal="center"/>
    </xf>
    <xf numFmtId="0" fontId="11" fillId="17" borderId="0" xfId="0" applyFont="1" applyFill="1" applyAlignment="1">
      <alignment horizontal="center"/>
    </xf>
    <xf numFmtId="37" fontId="0" fillId="0" borderId="0" xfId="0" applyNumberFormat="1" applyFont="1" applyBorder="1" applyAlignment="1">
      <alignment horizontal="right" vertical="center"/>
    </xf>
    <xf numFmtId="0" fontId="2" fillId="2" borderId="14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11" fillId="6" borderId="14" xfId="0" applyFont="1" applyFill="1" applyBorder="1" applyAlignment="1">
      <alignment horizontal="left"/>
    </xf>
    <xf numFmtId="0" fontId="11" fillId="6" borderId="0" xfId="0" applyFont="1" applyFill="1" applyBorder="1" applyAlignment="1">
      <alignment horizontal="left"/>
    </xf>
    <xf numFmtId="0" fontId="2" fillId="5" borderId="14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37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center"/>
    </xf>
    <xf numFmtId="9" fontId="27" fillId="13" borderId="0" xfId="0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0" borderId="0" xfId="1" applyNumberFormat="1" applyFont="1" applyBorder="1" applyAlignment="1">
      <alignment horizontal="center" wrapText="1"/>
    </xf>
    <xf numFmtId="164" fontId="0" fillId="0" borderId="2" xfId="1" applyNumberFormat="1" applyFont="1" applyBorder="1" applyAlignment="1">
      <alignment horizontal="center" wrapText="1"/>
    </xf>
    <xf numFmtId="0" fontId="2" fillId="7" borderId="2" xfId="0" applyFont="1" applyFill="1" applyBorder="1" applyAlignment="1">
      <alignment horizontal="center"/>
    </xf>
    <xf numFmtId="0" fontId="24" fillId="0" borderId="0" xfId="0" quotePrefix="1" applyFont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5">
    <cellStyle name="Comma" xfId="1" builtinId="3"/>
    <cellStyle name="Comma [0] 3" xfId="4"/>
    <cellStyle name="Currency" xfId="3" builtinId="4"/>
    <cellStyle name="Normal" xfId="0" builtinId="0"/>
    <cellStyle name="Percent" xfId="2" builtinId="5"/>
  </cellStyles>
  <dxfs count="22">
    <dxf>
      <font>
        <strike val="0"/>
        <color theme="0"/>
      </font>
      <fill>
        <patternFill patternType="none">
          <bgColor auto="1"/>
        </patternFill>
      </fill>
      <border>
        <vertical/>
        <horizontal/>
      </border>
    </dxf>
    <dxf>
      <font>
        <strike val="0"/>
        <color theme="0"/>
      </font>
      <fill>
        <patternFill patternType="none">
          <b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E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21</xdr:row>
      <xdr:rowOff>95250</xdr:rowOff>
    </xdr:from>
    <xdr:to>
      <xdr:col>13</xdr:col>
      <xdr:colOff>307944</xdr:colOff>
      <xdr:row>45</xdr:row>
      <xdr:rowOff>126129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A5E92AD-1BD0-45F1-86A9-30BA113CB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5175" y="4114800"/>
          <a:ext cx="5499069" cy="4602879"/>
        </a:xfrm>
        <a:prstGeom prst="rect">
          <a:avLst/>
        </a:prstGeom>
      </xdr:spPr>
    </xdr:pic>
    <xdr:clientData/>
  </xdr:twoCellAnchor>
  <xdr:twoCellAnchor>
    <xdr:from>
      <xdr:col>3</xdr:col>
      <xdr:colOff>333375</xdr:colOff>
      <xdr:row>27</xdr:row>
      <xdr:rowOff>114300</xdr:rowOff>
    </xdr:from>
    <xdr:to>
      <xdr:col>8</xdr:col>
      <xdr:colOff>523875</xdr:colOff>
      <xdr:row>27</xdr:row>
      <xdr:rowOff>114300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27F9A5B0-A88F-4313-A74F-C16DCB325C64}"/>
            </a:ext>
          </a:extLst>
        </xdr:cNvPr>
        <xdr:cNvCxnSpPr/>
      </xdr:nvCxnSpPr>
      <xdr:spPr>
        <a:xfrm flipV="1">
          <a:off x="1714500" y="5276850"/>
          <a:ext cx="6534150" cy="0"/>
        </a:xfrm>
        <a:prstGeom prst="straightConnector1">
          <a:avLst/>
        </a:prstGeom>
        <a:ln w="76200">
          <a:solidFill>
            <a:schemeClr val="accent5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185190</xdr:colOff>
      <xdr:row>40</xdr:row>
      <xdr:rowOff>157080</xdr:rowOff>
    </xdr:from>
    <xdr:to>
      <xdr:col>3</xdr:col>
      <xdr:colOff>117327</xdr:colOff>
      <xdr:row>45</xdr:row>
      <xdr:rowOff>151279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xmlns="" id="{8312150A-78E9-4013-AE11-21BEF6740665}"/>
            </a:ext>
          </a:extLst>
        </xdr:cNvPr>
        <xdr:cNvSpPr/>
      </xdr:nvSpPr>
      <xdr:spPr>
        <a:xfrm rot="19081465" flipH="1">
          <a:off x="5423940" y="7967580"/>
          <a:ext cx="817962" cy="851449"/>
        </a:xfrm>
        <a:prstGeom prst="arc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600075</xdr:colOff>
      <xdr:row>17</xdr:row>
      <xdr:rowOff>114300</xdr:rowOff>
    </xdr:from>
    <xdr:to>
      <xdr:col>2</xdr:col>
      <xdr:colOff>85725</xdr:colOff>
      <xdr:row>19</xdr:row>
      <xdr:rowOff>66675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D202AC95-7114-4636-AEE1-25C7ADC1CD90}"/>
            </a:ext>
          </a:extLst>
        </xdr:cNvPr>
        <xdr:cNvCxnSpPr/>
      </xdr:nvCxnSpPr>
      <xdr:spPr>
        <a:xfrm flipH="1">
          <a:off x="4819650" y="3543300"/>
          <a:ext cx="504825" cy="23812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657225</xdr:colOff>
      <xdr:row>19</xdr:row>
      <xdr:rowOff>152400</xdr:rowOff>
    </xdr:from>
    <xdr:to>
      <xdr:col>2</xdr:col>
      <xdr:colOff>200025</xdr:colOff>
      <xdr:row>19</xdr:row>
      <xdr:rowOff>152400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FB507795-F55A-47D3-A9DF-2E095DED6D61}"/>
            </a:ext>
          </a:extLst>
        </xdr:cNvPr>
        <xdr:cNvCxnSpPr/>
      </xdr:nvCxnSpPr>
      <xdr:spPr>
        <a:xfrm>
          <a:off x="4876800" y="3867150"/>
          <a:ext cx="561975" cy="0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24653</xdr:colOff>
      <xdr:row>6</xdr:row>
      <xdr:rowOff>177613</xdr:rowOff>
    </xdr:from>
    <xdr:to>
      <xdr:col>3</xdr:col>
      <xdr:colOff>941293</xdr:colOff>
      <xdr:row>11</xdr:row>
      <xdr:rowOff>168088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55D4D204-0CB8-4380-81EE-4E877222926F}"/>
            </a:ext>
          </a:extLst>
        </xdr:cNvPr>
        <xdr:cNvSpPr/>
      </xdr:nvSpPr>
      <xdr:spPr>
        <a:xfrm>
          <a:off x="5263403" y="1511113"/>
          <a:ext cx="1745315" cy="942975"/>
        </a:xfrm>
        <a:prstGeom prst="rect">
          <a:avLst/>
        </a:prstGeom>
        <a:pattFill prst="ltUpDiag">
          <a:fgClr>
            <a:schemeClr val="accent6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157173</xdr:colOff>
      <xdr:row>40</xdr:row>
      <xdr:rowOff>185094</xdr:rowOff>
    </xdr:from>
    <xdr:to>
      <xdr:col>3</xdr:col>
      <xdr:colOff>89310</xdr:colOff>
      <xdr:row>47</xdr:row>
      <xdr:rowOff>58190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xmlns="" id="{159606FF-BF24-4B49-AB52-F55FF2B78CDB}"/>
            </a:ext>
          </a:extLst>
        </xdr:cNvPr>
        <xdr:cNvSpPr/>
      </xdr:nvSpPr>
      <xdr:spPr>
        <a:xfrm rot="19545470" flipH="1">
          <a:off x="5395923" y="7995594"/>
          <a:ext cx="817962" cy="1111346"/>
        </a:xfrm>
        <a:prstGeom prst="arc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600075</xdr:colOff>
      <xdr:row>17</xdr:row>
      <xdr:rowOff>114300</xdr:rowOff>
    </xdr:from>
    <xdr:to>
      <xdr:col>2</xdr:col>
      <xdr:colOff>85725</xdr:colOff>
      <xdr:row>19</xdr:row>
      <xdr:rowOff>66675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6DDE5476-DB4F-4B1A-8DA8-AFDB8656451B}"/>
            </a:ext>
          </a:extLst>
        </xdr:cNvPr>
        <xdr:cNvCxnSpPr/>
      </xdr:nvCxnSpPr>
      <xdr:spPr>
        <a:xfrm flipH="1">
          <a:off x="4819650" y="3543300"/>
          <a:ext cx="504825" cy="23812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657225</xdr:colOff>
      <xdr:row>19</xdr:row>
      <xdr:rowOff>152400</xdr:rowOff>
    </xdr:from>
    <xdr:to>
      <xdr:col>2</xdr:col>
      <xdr:colOff>200025</xdr:colOff>
      <xdr:row>19</xdr:row>
      <xdr:rowOff>152400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1011CB9B-867A-4979-BE18-516A5A8A1713}"/>
            </a:ext>
          </a:extLst>
        </xdr:cNvPr>
        <xdr:cNvCxnSpPr/>
      </xdr:nvCxnSpPr>
      <xdr:spPr>
        <a:xfrm>
          <a:off x="4876800" y="3867150"/>
          <a:ext cx="561975" cy="0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7</xdr:row>
      <xdr:rowOff>9525</xdr:rowOff>
    </xdr:from>
    <xdr:to>
      <xdr:col>3</xdr:col>
      <xdr:colOff>876300</xdr:colOff>
      <xdr:row>12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99FE074E-F540-4E04-91D5-76B9B52144F3}"/>
            </a:ext>
          </a:extLst>
        </xdr:cNvPr>
        <xdr:cNvSpPr/>
      </xdr:nvSpPr>
      <xdr:spPr>
        <a:xfrm>
          <a:off x="5257800" y="1533525"/>
          <a:ext cx="1743075" cy="942975"/>
        </a:xfrm>
        <a:prstGeom prst="rect">
          <a:avLst/>
        </a:prstGeom>
        <a:pattFill prst="ltUpDiag">
          <a:fgClr>
            <a:schemeClr val="accent6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54</xdr:row>
      <xdr:rowOff>168088</xdr:rowOff>
    </xdr:from>
    <xdr:to>
      <xdr:col>6</xdr:col>
      <xdr:colOff>224117</xdr:colOff>
      <xdr:row>58</xdr:row>
      <xdr:rowOff>95250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xmlns="" id="{E84D57CB-1DA8-4DDE-B4A0-33DB738B3F30}"/>
            </a:ext>
          </a:extLst>
        </xdr:cNvPr>
        <xdr:cNvCxnSpPr/>
      </xdr:nvCxnSpPr>
      <xdr:spPr>
        <a:xfrm flipH="1">
          <a:off x="5282453" y="10477500"/>
          <a:ext cx="3727076" cy="59951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104775</xdr:colOff>
      <xdr:row>58</xdr:row>
      <xdr:rowOff>277907</xdr:rowOff>
    </xdr:from>
    <xdr:to>
      <xdr:col>6</xdr:col>
      <xdr:colOff>347382</xdr:colOff>
      <xdr:row>58</xdr:row>
      <xdr:rowOff>280147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xmlns="" id="{AC8E8299-6D87-4629-9B37-AC5D2032BC30}"/>
            </a:ext>
          </a:extLst>
        </xdr:cNvPr>
        <xdr:cNvCxnSpPr/>
      </xdr:nvCxnSpPr>
      <xdr:spPr>
        <a:xfrm>
          <a:off x="5349128" y="11259672"/>
          <a:ext cx="3783666" cy="2240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213204</xdr:colOff>
      <xdr:row>40</xdr:row>
      <xdr:rowOff>185096</xdr:rowOff>
    </xdr:from>
    <xdr:to>
      <xdr:col>3</xdr:col>
      <xdr:colOff>145341</xdr:colOff>
      <xdr:row>47</xdr:row>
      <xdr:rowOff>58192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xmlns="" id="{46804F64-5E9F-410A-8E31-DAD96E41FD4E}"/>
            </a:ext>
          </a:extLst>
        </xdr:cNvPr>
        <xdr:cNvSpPr/>
      </xdr:nvSpPr>
      <xdr:spPr>
        <a:xfrm rot="19545470" flipH="1">
          <a:off x="5451954" y="7995596"/>
          <a:ext cx="817962" cy="1111346"/>
        </a:xfrm>
        <a:prstGeom prst="arc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600075</xdr:colOff>
      <xdr:row>17</xdr:row>
      <xdr:rowOff>114300</xdr:rowOff>
    </xdr:from>
    <xdr:to>
      <xdr:col>2</xdr:col>
      <xdr:colOff>85725</xdr:colOff>
      <xdr:row>19</xdr:row>
      <xdr:rowOff>66675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8BD54BA7-BB2C-401C-81AD-44110A18B8CF}"/>
            </a:ext>
          </a:extLst>
        </xdr:cNvPr>
        <xdr:cNvCxnSpPr/>
      </xdr:nvCxnSpPr>
      <xdr:spPr>
        <a:xfrm flipH="1">
          <a:off x="4819650" y="3543300"/>
          <a:ext cx="504825" cy="23812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657225</xdr:colOff>
      <xdr:row>19</xdr:row>
      <xdr:rowOff>152400</xdr:rowOff>
    </xdr:from>
    <xdr:to>
      <xdr:col>2</xdr:col>
      <xdr:colOff>200025</xdr:colOff>
      <xdr:row>19</xdr:row>
      <xdr:rowOff>152400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AB365462-DC69-4B60-A225-6804BBF8348A}"/>
            </a:ext>
          </a:extLst>
        </xdr:cNvPr>
        <xdr:cNvCxnSpPr/>
      </xdr:nvCxnSpPr>
      <xdr:spPr>
        <a:xfrm>
          <a:off x="4876800" y="3867150"/>
          <a:ext cx="561975" cy="0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7</xdr:row>
      <xdr:rowOff>9525</xdr:rowOff>
    </xdr:from>
    <xdr:to>
      <xdr:col>3</xdr:col>
      <xdr:colOff>876300</xdr:colOff>
      <xdr:row>12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67D3A9FC-355B-474E-933B-BB237DD4CE73}"/>
            </a:ext>
          </a:extLst>
        </xdr:cNvPr>
        <xdr:cNvSpPr/>
      </xdr:nvSpPr>
      <xdr:spPr>
        <a:xfrm>
          <a:off x="5257800" y="1533525"/>
          <a:ext cx="1743075" cy="942975"/>
        </a:xfrm>
        <a:prstGeom prst="rect">
          <a:avLst/>
        </a:prstGeom>
        <a:pattFill prst="ltUpDiag">
          <a:fgClr>
            <a:schemeClr val="accent6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54</xdr:row>
      <xdr:rowOff>123264</xdr:rowOff>
    </xdr:from>
    <xdr:to>
      <xdr:col>6</xdr:col>
      <xdr:colOff>324970</xdr:colOff>
      <xdr:row>58</xdr:row>
      <xdr:rowOff>95250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xmlns="" id="{0CE8B464-A22B-4FEC-AA6E-318C3B21BCBB}"/>
            </a:ext>
          </a:extLst>
        </xdr:cNvPr>
        <xdr:cNvCxnSpPr/>
      </xdr:nvCxnSpPr>
      <xdr:spPr>
        <a:xfrm flipH="1">
          <a:off x="5282453" y="10432676"/>
          <a:ext cx="3827929" cy="644339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104775</xdr:colOff>
      <xdr:row>58</xdr:row>
      <xdr:rowOff>277907</xdr:rowOff>
    </xdr:from>
    <xdr:to>
      <xdr:col>6</xdr:col>
      <xdr:colOff>358588</xdr:colOff>
      <xdr:row>58</xdr:row>
      <xdr:rowOff>280147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xmlns="" id="{2FC4BC74-14C4-4FE5-8D03-ECC408E97014}"/>
            </a:ext>
          </a:extLst>
        </xdr:cNvPr>
        <xdr:cNvCxnSpPr/>
      </xdr:nvCxnSpPr>
      <xdr:spPr>
        <a:xfrm>
          <a:off x="5349128" y="11259672"/>
          <a:ext cx="3794872" cy="2240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358880</xdr:colOff>
      <xdr:row>33</xdr:row>
      <xdr:rowOff>140273</xdr:rowOff>
    </xdr:from>
    <xdr:to>
      <xdr:col>3</xdr:col>
      <xdr:colOff>291017</xdr:colOff>
      <xdr:row>40</xdr:row>
      <xdr:rowOff>13369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xmlns="" id="{F7803622-9268-46D6-8938-2B2930E2467E}"/>
            </a:ext>
          </a:extLst>
        </xdr:cNvPr>
        <xdr:cNvSpPr/>
      </xdr:nvSpPr>
      <xdr:spPr>
        <a:xfrm rot="19545470" flipH="1">
          <a:off x="5597630" y="6331523"/>
          <a:ext cx="817962" cy="1111346"/>
        </a:xfrm>
        <a:prstGeom prst="arc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600075</xdr:colOff>
      <xdr:row>17</xdr:row>
      <xdr:rowOff>114300</xdr:rowOff>
    </xdr:from>
    <xdr:to>
      <xdr:col>2</xdr:col>
      <xdr:colOff>85725</xdr:colOff>
      <xdr:row>19</xdr:row>
      <xdr:rowOff>66675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01C382D4-E009-47FF-9268-EC9E82A4EDC0}"/>
            </a:ext>
          </a:extLst>
        </xdr:cNvPr>
        <xdr:cNvCxnSpPr/>
      </xdr:nvCxnSpPr>
      <xdr:spPr>
        <a:xfrm flipH="1">
          <a:off x="4819650" y="3543300"/>
          <a:ext cx="504825" cy="23812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657225</xdr:colOff>
      <xdr:row>19</xdr:row>
      <xdr:rowOff>152400</xdr:rowOff>
    </xdr:from>
    <xdr:to>
      <xdr:col>2</xdr:col>
      <xdr:colOff>200025</xdr:colOff>
      <xdr:row>19</xdr:row>
      <xdr:rowOff>152400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392CB63D-6088-40C4-BB3E-1ADE963B2F31}"/>
            </a:ext>
          </a:extLst>
        </xdr:cNvPr>
        <xdr:cNvCxnSpPr/>
      </xdr:nvCxnSpPr>
      <xdr:spPr>
        <a:xfrm>
          <a:off x="4876800" y="3867150"/>
          <a:ext cx="561975" cy="0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7</xdr:row>
      <xdr:rowOff>9525</xdr:rowOff>
    </xdr:from>
    <xdr:to>
      <xdr:col>3</xdr:col>
      <xdr:colOff>876300</xdr:colOff>
      <xdr:row>12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BCA8856E-BC30-4CDB-8FD6-71E9F8FCDC53}"/>
            </a:ext>
          </a:extLst>
        </xdr:cNvPr>
        <xdr:cNvSpPr/>
      </xdr:nvSpPr>
      <xdr:spPr>
        <a:xfrm>
          <a:off x="5257800" y="1533525"/>
          <a:ext cx="1743075" cy="942975"/>
        </a:xfrm>
        <a:prstGeom prst="rect">
          <a:avLst/>
        </a:prstGeom>
        <a:pattFill prst="ltUpDiag">
          <a:fgClr>
            <a:schemeClr val="accent6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47</xdr:row>
      <xdr:rowOff>179294</xdr:rowOff>
    </xdr:from>
    <xdr:to>
      <xdr:col>6</xdr:col>
      <xdr:colOff>347382</xdr:colOff>
      <xdr:row>51</xdr:row>
      <xdr:rowOff>95250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xmlns="" id="{AF7C5268-3A47-4BF3-957D-3042C7F0CA7B}"/>
            </a:ext>
          </a:extLst>
        </xdr:cNvPr>
        <xdr:cNvCxnSpPr/>
      </xdr:nvCxnSpPr>
      <xdr:spPr>
        <a:xfrm flipH="1">
          <a:off x="5282453" y="8863853"/>
          <a:ext cx="3850341" cy="588309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104775</xdr:colOff>
      <xdr:row>51</xdr:row>
      <xdr:rowOff>268941</xdr:rowOff>
    </xdr:from>
    <xdr:to>
      <xdr:col>6</xdr:col>
      <xdr:colOff>381000</xdr:colOff>
      <xdr:row>51</xdr:row>
      <xdr:rowOff>277907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xmlns="" id="{190AFFD3-87DA-4C75-A219-AE34514FF3E5}"/>
            </a:ext>
          </a:extLst>
        </xdr:cNvPr>
        <xdr:cNvCxnSpPr/>
      </xdr:nvCxnSpPr>
      <xdr:spPr>
        <a:xfrm flipV="1">
          <a:off x="5349128" y="9625853"/>
          <a:ext cx="3817284" cy="8966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185190</xdr:colOff>
      <xdr:row>40</xdr:row>
      <xdr:rowOff>157080</xdr:rowOff>
    </xdr:from>
    <xdr:to>
      <xdr:col>3</xdr:col>
      <xdr:colOff>117327</xdr:colOff>
      <xdr:row>45</xdr:row>
      <xdr:rowOff>151279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xmlns="" id="{085AA12A-A181-498D-8428-D37A82FC0AAA}"/>
            </a:ext>
          </a:extLst>
        </xdr:cNvPr>
        <xdr:cNvSpPr/>
      </xdr:nvSpPr>
      <xdr:spPr>
        <a:xfrm rot="19081465" flipH="1">
          <a:off x="5423940" y="7967580"/>
          <a:ext cx="817962" cy="851449"/>
        </a:xfrm>
        <a:prstGeom prst="arc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600075</xdr:colOff>
      <xdr:row>17</xdr:row>
      <xdr:rowOff>114300</xdr:rowOff>
    </xdr:from>
    <xdr:to>
      <xdr:col>2</xdr:col>
      <xdr:colOff>85725</xdr:colOff>
      <xdr:row>19</xdr:row>
      <xdr:rowOff>66675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017C1552-CB8E-4FEB-B5B2-E8561E79282F}"/>
            </a:ext>
          </a:extLst>
        </xdr:cNvPr>
        <xdr:cNvCxnSpPr/>
      </xdr:nvCxnSpPr>
      <xdr:spPr>
        <a:xfrm flipH="1">
          <a:off x="4819650" y="3543300"/>
          <a:ext cx="504825" cy="23812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657225</xdr:colOff>
      <xdr:row>19</xdr:row>
      <xdr:rowOff>152400</xdr:rowOff>
    </xdr:from>
    <xdr:to>
      <xdr:col>2</xdr:col>
      <xdr:colOff>200025</xdr:colOff>
      <xdr:row>19</xdr:row>
      <xdr:rowOff>152400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B4D422C5-EB0F-4350-9171-7A878FAE6773}"/>
            </a:ext>
          </a:extLst>
        </xdr:cNvPr>
        <xdr:cNvCxnSpPr/>
      </xdr:nvCxnSpPr>
      <xdr:spPr>
        <a:xfrm>
          <a:off x="4876800" y="3867150"/>
          <a:ext cx="561975" cy="0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24653</xdr:colOff>
      <xdr:row>6</xdr:row>
      <xdr:rowOff>189519</xdr:rowOff>
    </xdr:from>
    <xdr:to>
      <xdr:col>4</xdr:col>
      <xdr:colOff>3081</xdr:colOff>
      <xdr:row>11</xdr:row>
      <xdr:rowOff>179994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DDB99406-1813-4D00-B787-5BEDAB107809}"/>
            </a:ext>
          </a:extLst>
        </xdr:cNvPr>
        <xdr:cNvSpPr/>
      </xdr:nvSpPr>
      <xdr:spPr>
        <a:xfrm>
          <a:off x="5263403" y="1523019"/>
          <a:ext cx="1740553" cy="942975"/>
        </a:xfrm>
        <a:prstGeom prst="rect">
          <a:avLst/>
        </a:prstGeom>
        <a:pattFill prst="ltUpDiag">
          <a:fgClr>
            <a:schemeClr val="accent6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157173</xdr:colOff>
      <xdr:row>40</xdr:row>
      <xdr:rowOff>185094</xdr:rowOff>
    </xdr:from>
    <xdr:to>
      <xdr:col>3</xdr:col>
      <xdr:colOff>89310</xdr:colOff>
      <xdr:row>47</xdr:row>
      <xdr:rowOff>58190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xmlns="" id="{42312998-51C6-40A4-B301-3787B31D41DA}"/>
            </a:ext>
          </a:extLst>
        </xdr:cNvPr>
        <xdr:cNvSpPr/>
      </xdr:nvSpPr>
      <xdr:spPr>
        <a:xfrm rot="19545470" flipH="1">
          <a:off x="5395923" y="7995594"/>
          <a:ext cx="817962" cy="1111346"/>
        </a:xfrm>
        <a:prstGeom prst="arc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600075</xdr:colOff>
      <xdr:row>17</xdr:row>
      <xdr:rowOff>114300</xdr:rowOff>
    </xdr:from>
    <xdr:to>
      <xdr:col>2</xdr:col>
      <xdr:colOff>85725</xdr:colOff>
      <xdr:row>19</xdr:row>
      <xdr:rowOff>66675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3AE07305-E28D-40E7-9DC1-C21478EB42BD}"/>
            </a:ext>
          </a:extLst>
        </xdr:cNvPr>
        <xdr:cNvCxnSpPr/>
      </xdr:nvCxnSpPr>
      <xdr:spPr>
        <a:xfrm flipH="1">
          <a:off x="4819650" y="3543300"/>
          <a:ext cx="504825" cy="23812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657225</xdr:colOff>
      <xdr:row>19</xdr:row>
      <xdr:rowOff>152400</xdr:rowOff>
    </xdr:from>
    <xdr:to>
      <xdr:col>2</xdr:col>
      <xdr:colOff>200025</xdr:colOff>
      <xdr:row>19</xdr:row>
      <xdr:rowOff>152400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95335C0D-74AB-45CF-86E5-B783228EA512}"/>
            </a:ext>
          </a:extLst>
        </xdr:cNvPr>
        <xdr:cNvCxnSpPr/>
      </xdr:nvCxnSpPr>
      <xdr:spPr>
        <a:xfrm>
          <a:off x="4876800" y="3867150"/>
          <a:ext cx="561975" cy="0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7</xdr:row>
      <xdr:rowOff>9525</xdr:rowOff>
    </xdr:from>
    <xdr:to>
      <xdr:col>3</xdr:col>
      <xdr:colOff>876300</xdr:colOff>
      <xdr:row>12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4C50EE5A-7BF4-444E-96D2-8EC8D042C553}"/>
            </a:ext>
          </a:extLst>
        </xdr:cNvPr>
        <xdr:cNvSpPr/>
      </xdr:nvSpPr>
      <xdr:spPr>
        <a:xfrm>
          <a:off x="5257800" y="1533525"/>
          <a:ext cx="1743075" cy="942975"/>
        </a:xfrm>
        <a:prstGeom prst="rect">
          <a:avLst/>
        </a:prstGeom>
        <a:pattFill prst="ltUpDiag">
          <a:fgClr>
            <a:schemeClr val="accent6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54</xdr:row>
      <xdr:rowOff>168088</xdr:rowOff>
    </xdr:from>
    <xdr:to>
      <xdr:col>6</xdr:col>
      <xdr:colOff>224117</xdr:colOff>
      <xdr:row>58</xdr:row>
      <xdr:rowOff>95250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xmlns="" id="{BDA64A5F-A176-4639-9D35-27D6133C01E4}"/>
            </a:ext>
          </a:extLst>
        </xdr:cNvPr>
        <xdr:cNvCxnSpPr/>
      </xdr:nvCxnSpPr>
      <xdr:spPr>
        <a:xfrm flipH="1">
          <a:off x="5276850" y="10455088"/>
          <a:ext cx="3729317" cy="593912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104775</xdr:colOff>
      <xdr:row>58</xdr:row>
      <xdr:rowOff>277907</xdr:rowOff>
    </xdr:from>
    <xdr:to>
      <xdr:col>6</xdr:col>
      <xdr:colOff>347382</xdr:colOff>
      <xdr:row>58</xdr:row>
      <xdr:rowOff>280147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xmlns="" id="{A0B26C82-498E-40EC-B4BE-BD3EDE268667}"/>
            </a:ext>
          </a:extLst>
        </xdr:cNvPr>
        <xdr:cNvCxnSpPr/>
      </xdr:nvCxnSpPr>
      <xdr:spPr>
        <a:xfrm>
          <a:off x="5343525" y="11231657"/>
          <a:ext cx="3785907" cy="2240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213204</xdr:colOff>
      <xdr:row>40</xdr:row>
      <xdr:rowOff>185096</xdr:rowOff>
    </xdr:from>
    <xdr:to>
      <xdr:col>3</xdr:col>
      <xdr:colOff>145341</xdr:colOff>
      <xdr:row>47</xdr:row>
      <xdr:rowOff>58192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xmlns="" id="{2EDD82FC-BC51-4F58-99BE-6CBA2C0D42C9}"/>
            </a:ext>
          </a:extLst>
        </xdr:cNvPr>
        <xdr:cNvSpPr/>
      </xdr:nvSpPr>
      <xdr:spPr>
        <a:xfrm rot="19545470" flipH="1">
          <a:off x="5451954" y="7995596"/>
          <a:ext cx="817962" cy="1111346"/>
        </a:xfrm>
        <a:prstGeom prst="arc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600075</xdr:colOff>
      <xdr:row>17</xdr:row>
      <xdr:rowOff>114300</xdr:rowOff>
    </xdr:from>
    <xdr:to>
      <xdr:col>2</xdr:col>
      <xdr:colOff>85725</xdr:colOff>
      <xdr:row>19</xdr:row>
      <xdr:rowOff>66675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29831F9D-40A9-435C-AA09-D3EDED0DAE39}"/>
            </a:ext>
          </a:extLst>
        </xdr:cNvPr>
        <xdr:cNvCxnSpPr/>
      </xdr:nvCxnSpPr>
      <xdr:spPr>
        <a:xfrm flipH="1">
          <a:off x="4819650" y="3543300"/>
          <a:ext cx="504825" cy="23812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657225</xdr:colOff>
      <xdr:row>19</xdr:row>
      <xdr:rowOff>152400</xdr:rowOff>
    </xdr:from>
    <xdr:to>
      <xdr:col>2</xdr:col>
      <xdr:colOff>200025</xdr:colOff>
      <xdr:row>19</xdr:row>
      <xdr:rowOff>152400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DA072382-FB3E-4072-A149-09090D5410EF}"/>
            </a:ext>
          </a:extLst>
        </xdr:cNvPr>
        <xdr:cNvCxnSpPr/>
      </xdr:nvCxnSpPr>
      <xdr:spPr>
        <a:xfrm>
          <a:off x="4876800" y="3867150"/>
          <a:ext cx="561975" cy="0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7</xdr:row>
      <xdr:rowOff>9525</xdr:rowOff>
    </xdr:from>
    <xdr:to>
      <xdr:col>3</xdr:col>
      <xdr:colOff>876300</xdr:colOff>
      <xdr:row>12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9BCBAF60-58CF-4CFA-B232-FAF570774EAF}"/>
            </a:ext>
          </a:extLst>
        </xdr:cNvPr>
        <xdr:cNvSpPr/>
      </xdr:nvSpPr>
      <xdr:spPr>
        <a:xfrm>
          <a:off x="5257800" y="1533525"/>
          <a:ext cx="1743075" cy="942975"/>
        </a:xfrm>
        <a:prstGeom prst="rect">
          <a:avLst/>
        </a:prstGeom>
        <a:pattFill prst="ltUpDiag">
          <a:fgClr>
            <a:schemeClr val="accent6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54</xdr:row>
      <xdr:rowOff>123264</xdr:rowOff>
    </xdr:from>
    <xdr:to>
      <xdr:col>6</xdr:col>
      <xdr:colOff>324970</xdr:colOff>
      <xdr:row>58</xdr:row>
      <xdr:rowOff>95250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xmlns="" id="{F7684CD8-A0B5-4AA7-8489-51A37E0B0C36}"/>
            </a:ext>
          </a:extLst>
        </xdr:cNvPr>
        <xdr:cNvCxnSpPr/>
      </xdr:nvCxnSpPr>
      <xdr:spPr>
        <a:xfrm flipH="1">
          <a:off x="5276850" y="10410264"/>
          <a:ext cx="3830170" cy="638736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104775</xdr:colOff>
      <xdr:row>58</xdr:row>
      <xdr:rowOff>277907</xdr:rowOff>
    </xdr:from>
    <xdr:to>
      <xdr:col>6</xdr:col>
      <xdr:colOff>358588</xdr:colOff>
      <xdr:row>58</xdr:row>
      <xdr:rowOff>280147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xmlns="" id="{FFA63878-94EC-42E3-BD16-70052555B6AC}"/>
            </a:ext>
          </a:extLst>
        </xdr:cNvPr>
        <xdr:cNvCxnSpPr/>
      </xdr:nvCxnSpPr>
      <xdr:spPr>
        <a:xfrm>
          <a:off x="5343525" y="11231657"/>
          <a:ext cx="3797113" cy="2240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358880</xdr:colOff>
      <xdr:row>33</xdr:row>
      <xdr:rowOff>140273</xdr:rowOff>
    </xdr:from>
    <xdr:to>
      <xdr:col>3</xdr:col>
      <xdr:colOff>291017</xdr:colOff>
      <xdr:row>40</xdr:row>
      <xdr:rowOff>13369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xmlns="" id="{A836046E-11A0-4854-974C-B783E70EB903}"/>
            </a:ext>
          </a:extLst>
        </xdr:cNvPr>
        <xdr:cNvSpPr/>
      </xdr:nvSpPr>
      <xdr:spPr>
        <a:xfrm rot="19545470" flipH="1">
          <a:off x="5597630" y="6331523"/>
          <a:ext cx="817962" cy="1111346"/>
        </a:xfrm>
        <a:prstGeom prst="arc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600075</xdr:colOff>
      <xdr:row>17</xdr:row>
      <xdr:rowOff>114300</xdr:rowOff>
    </xdr:from>
    <xdr:to>
      <xdr:col>2</xdr:col>
      <xdr:colOff>85725</xdr:colOff>
      <xdr:row>19</xdr:row>
      <xdr:rowOff>66675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01F8F8D7-80A3-4968-A7A7-E7DCF19E1575}"/>
            </a:ext>
          </a:extLst>
        </xdr:cNvPr>
        <xdr:cNvCxnSpPr/>
      </xdr:nvCxnSpPr>
      <xdr:spPr>
        <a:xfrm flipH="1">
          <a:off x="4819650" y="3543300"/>
          <a:ext cx="504825" cy="23812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657225</xdr:colOff>
      <xdr:row>19</xdr:row>
      <xdr:rowOff>152400</xdr:rowOff>
    </xdr:from>
    <xdr:to>
      <xdr:col>2</xdr:col>
      <xdr:colOff>200025</xdr:colOff>
      <xdr:row>19</xdr:row>
      <xdr:rowOff>152400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F1590980-6A30-439C-ABED-D7FABA992EB6}"/>
            </a:ext>
          </a:extLst>
        </xdr:cNvPr>
        <xdr:cNvCxnSpPr/>
      </xdr:nvCxnSpPr>
      <xdr:spPr>
        <a:xfrm>
          <a:off x="4876800" y="3867150"/>
          <a:ext cx="561975" cy="0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7</xdr:row>
      <xdr:rowOff>9525</xdr:rowOff>
    </xdr:from>
    <xdr:to>
      <xdr:col>3</xdr:col>
      <xdr:colOff>876300</xdr:colOff>
      <xdr:row>12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6BA652F5-599C-4758-A3DC-91F3C82B276C}"/>
            </a:ext>
          </a:extLst>
        </xdr:cNvPr>
        <xdr:cNvSpPr/>
      </xdr:nvSpPr>
      <xdr:spPr>
        <a:xfrm>
          <a:off x="5257800" y="1533525"/>
          <a:ext cx="1743075" cy="942975"/>
        </a:xfrm>
        <a:prstGeom prst="rect">
          <a:avLst/>
        </a:prstGeom>
        <a:pattFill prst="ltUpDiag">
          <a:fgClr>
            <a:schemeClr val="accent6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47</xdr:row>
      <xdr:rowOff>179294</xdr:rowOff>
    </xdr:from>
    <xdr:to>
      <xdr:col>6</xdr:col>
      <xdr:colOff>347382</xdr:colOff>
      <xdr:row>51</xdr:row>
      <xdr:rowOff>95250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xmlns="" id="{D4B2E5CB-147C-46F7-9234-C9D8478B6754}"/>
            </a:ext>
          </a:extLst>
        </xdr:cNvPr>
        <xdr:cNvCxnSpPr/>
      </xdr:nvCxnSpPr>
      <xdr:spPr>
        <a:xfrm flipH="1">
          <a:off x="5276850" y="8847044"/>
          <a:ext cx="3852582" cy="582706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104775</xdr:colOff>
      <xdr:row>51</xdr:row>
      <xdr:rowOff>268941</xdr:rowOff>
    </xdr:from>
    <xdr:to>
      <xdr:col>6</xdr:col>
      <xdr:colOff>381000</xdr:colOff>
      <xdr:row>51</xdr:row>
      <xdr:rowOff>277907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xmlns="" id="{4E013FC2-E788-45B9-9205-C5478B5CB185}"/>
            </a:ext>
          </a:extLst>
        </xdr:cNvPr>
        <xdr:cNvCxnSpPr/>
      </xdr:nvCxnSpPr>
      <xdr:spPr>
        <a:xfrm flipV="1">
          <a:off x="5343525" y="9603441"/>
          <a:ext cx="3819525" cy="8966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185190</xdr:colOff>
      <xdr:row>40</xdr:row>
      <xdr:rowOff>157080</xdr:rowOff>
    </xdr:from>
    <xdr:to>
      <xdr:col>3</xdr:col>
      <xdr:colOff>117327</xdr:colOff>
      <xdr:row>45</xdr:row>
      <xdr:rowOff>151279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xmlns="" id="{9477C103-4E8D-4528-85CA-D6355049B57B}"/>
            </a:ext>
          </a:extLst>
        </xdr:cNvPr>
        <xdr:cNvSpPr/>
      </xdr:nvSpPr>
      <xdr:spPr>
        <a:xfrm rot="19081465" flipH="1">
          <a:off x="5423940" y="7967580"/>
          <a:ext cx="817962" cy="851449"/>
        </a:xfrm>
        <a:prstGeom prst="arc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600075</xdr:colOff>
      <xdr:row>17</xdr:row>
      <xdr:rowOff>114300</xdr:rowOff>
    </xdr:from>
    <xdr:to>
      <xdr:col>2</xdr:col>
      <xdr:colOff>85725</xdr:colOff>
      <xdr:row>19</xdr:row>
      <xdr:rowOff>66675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D6B073DF-2A22-4128-97DB-D0D9DB0342A0}"/>
            </a:ext>
          </a:extLst>
        </xdr:cNvPr>
        <xdr:cNvCxnSpPr/>
      </xdr:nvCxnSpPr>
      <xdr:spPr>
        <a:xfrm flipH="1">
          <a:off x="4819650" y="3543300"/>
          <a:ext cx="504825" cy="23812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657225</xdr:colOff>
      <xdr:row>19</xdr:row>
      <xdr:rowOff>152400</xdr:rowOff>
    </xdr:from>
    <xdr:to>
      <xdr:col>2</xdr:col>
      <xdr:colOff>200025</xdr:colOff>
      <xdr:row>19</xdr:row>
      <xdr:rowOff>152400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24A86C01-C28E-40B0-ABD6-32CF087616B8}"/>
            </a:ext>
          </a:extLst>
        </xdr:cNvPr>
        <xdr:cNvCxnSpPr/>
      </xdr:nvCxnSpPr>
      <xdr:spPr>
        <a:xfrm>
          <a:off x="4876800" y="3867150"/>
          <a:ext cx="561975" cy="0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24653</xdr:colOff>
      <xdr:row>6</xdr:row>
      <xdr:rowOff>189519</xdr:rowOff>
    </xdr:from>
    <xdr:to>
      <xdr:col>4</xdr:col>
      <xdr:colOff>3081</xdr:colOff>
      <xdr:row>11</xdr:row>
      <xdr:rowOff>179994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D5EF4A0C-7019-4172-BF9A-6AC32A2FE9AA}"/>
            </a:ext>
          </a:extLst>
        </xdr:cNvPr>
        <xdr:cNvSpPr/>
      </xdr:nvSpPr>
      <xdr:spPr>
        <a:xfrm>
          <a:off x="5263403" y="1523019"/>
          <a:ext cx="1750078" cy="942975"/>
        </a:xfrm>
        <a:prstGeom prst="rect">
          <a:avLst/>
        </a:prstGeom>
        <a:pattFill prst="ltUpDiag">
          <a:fgClr>
            <a:schemeClr val="accent6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107157</xdr:colOff>
      <xdr:row>1</xdr:row>
      <xdr:rowOff>142876</xdr:rowOff>
    </xdr:from>
    <xdr:to>
      <xdr:col>9</xdr:col>
      <xdr:colOff>500064</xdr:colOff>
      <xdr:row>15</xdr:row>
      <xdr:rowOff>166688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B7F25AFC-4D1B-44A9-8F86-CDB9D78A6604}"/>
            </a:ext>
          </a:extLst>
        </xdr:cNvPr>
        <xdr:cNvSpPr txBox="1"/>
      </xdr:nvSpPr>
      <xdr:spPr>
        <a:xfrm>
          <a:off x="5881688" y="345282"/>
          <a:ext cx="1583532" cy="2917031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bg1"/>
              </a:solidFill>
            </a:rPr>
            <a:t>Note, when updating the DS in this,</a:t>
          </a:r>
          <a:r>
            <a:rPr lang="en-US" sz="1200" b="1" baseline="0">
              <a:solidFill>
                <a:schemeClr val="bg1"/>
              </a:solidFill>
            </a:rPr>
            <a:t> update the blue numbers only. Other numbers are formulas.</a:t>
          </a:r>
        </a:p>
        <a:p>
          <a:endParaRPr lang="en-US" sz="1200" b="1" baseline="0">
            <a:solidFill>
              <a:schemeClr val="bg1"/>
            </a:solidFill>
          </a:endParaRPr>
        </a:p>
        <a:p>
          <a:endParaRPr lang="en-US" sz="1200" b="1" baseline="0">
            <a:solidFill>
              <a:schemeClr val="bg1"/>
            </a:solidFill>
          </a:endParaRPr>
        </a:p>
        <a:p>
          <a:r>
            <a:rPr lang="en-US" sz="1200" b="1" baseline="0">
              <a:solidFill>
                <a:schemeClr val="bg1"/>
              </a:solidFill>
            </a:rPr>
            <a:t>Make sure to update the S&amp;U table in columns K-M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119062</xdr:colOff>
      <xdr:row>32</xdr:row>
      <xdr:rowOff>178593</xdr:rowOff>
    </xdr:from>
    <xdr:to>
      <xdr:col>15</xdr:col>
      <xdr:colOff>642937</xdr:colOff>
      <xdr:row>41</xdr:row>
      <xdr:rowOff>71437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D52D7467-7364-4605-BB02-10837C593CE8}"/>
            </a:ext>
          </a:extLst>
        </xdr:cNvPr>
        <xdr:cNvSpPr txBox="1"/>
      </xdr:nvSpPr>
      <xdr:spPr>
        <a:xfrm>
          <a:off x="13454062" y="6512718"/>
          <a:ext cx="2095500" cy="1607344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bg1"/>
              </a:solidFill>
            </a:rPr>
            <a:t>Note, this</a:t>
          </a:r>
          <a:r>
            <a:rPr lang="en-US" sz="1200" baseline="0">
              <a:solidFill>
                <a:schemeClr val="bg1"/>
              </a:solidFill>
            </a:rPr>
            <a:t> table relates to allocation of proceeds only, NOT allocation of debt service. Debt service, for bond security purposes, will be allocated based on property tax revenues generated in each area.</a:t>
          </a:r>
          <a:endParaRPr lang="en-US" sz="12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157173</xdr:colOff>
      <xdr:row>40</xdr:row>
      <xdr:rowOff>185094</xdr:rowOff>
    </xdr:from>
    <xdr:to>
      <xdr:col>3</xdr:col>
      <xdr:colOff>89310</xdr:colOff>
      <xdr:row>47</xdr:row>
      <xdr:rowOff>58190</xdr:rowOff>
    </xdr:to>
    <xdr:sp macro="" textlink="">
      <xdr:nvSpPr>
        <xdr:cNvPr id="10" name="Arc 9">
          <a:extLst>
            <a:ext uri="{FF2B5EF4-FFF2-40B4-BE49-F238E27FC236}">
              <a16:creationId xmlns:a16="http://schemas.microsoft.com/office/drawing/2014/main" xmlns="" id="{BE9E8D67-77A9-4F32-A482-F91454A628E6}"/>
            </a:ext>
          </a:extLst>
        </xdr:cNvPr>
        <xdr:cNvSpPr/>
      </xdr:nvSpPr>
      <xdr:spPr>
        <a:xfrm rot="19545470" flipH="1">
          <a:off x="5401526" y="6718123"/>
          <a:ext cx="817402" cy="1116949"/>
        </a:xfrm>
        <a:prstGeom prst="arc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600075</xdr:colOff>
      <xdr:row>17</xdr:row>
      <xdr:rowOff>114300</xdr:rowOff>
    </xdr:from>
    <xdr:to>
      <xdr:col>2</xdr:col>
      <xdr:colOff>85725</xdr:colOff>
      <xdr:row>19</xdr:row>
      <xdr:rowOff>66675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xmlns="" id="{C5B1EF28-180F-4B4C-81E8-3C1EFDCB40B9}"/>
            </a:ext>
          </a:extLst>
        </xdr:cNvPr>
        <xdr:cNvCxnSpPr/>
      </xdr:nvCxnSpPr>
      <xdr:spPr>
        <a:xfrm flipH="1">
          <a:off x="4819650" y="3924300"/>
          <a:ext cx="504825" cy="23812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657225</xdr:colOff>
      <xdr:row>19</xdr:row>
      <xdr:rowOff>152400</xdr:rowOff>
    </xdr:from>
    <xdr:to>
      <xdr:col>2</xdr:col>
      <xdr:colOff>200025</xdr:colOff>
      <xdr:row>19</xdr:row>
      <xdr:rowOff>152400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xmlns="" id="{2B42DBF6-7531-40D1-80BF-6DE4E2B7A27C}"/>
            </a:ext>
          </a:extLst>
        </xdr:cNvPr>
        <xdr:cNvCxnSpPr/>
      </xdr:nvCxnSpPr>
      <xdr:spPr>
        <a:xfrm>
          <a:off x="4876800" y="4248150"/>
          <a:ext cx="561975" cy="0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</xdr:colOff>
      <xdr:row>7</xdr:row>
      <xdr:rowOff>9525</xdr:rowOff>
    </xdr:from>
    <xdr:to>
      <xdr:col>3</xdr:col>
      <xdr:colOff>876299</xdr:colOff>
      <xdr:row>12</xdr:row>
      <xdr:rowOff>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xmlns="" id="{264460C1-134F-4395-A3A3-C5A9419EE0DA}"/>
            </a:ext>
          </a:extLst>
        </xdr:cNvPr>
        <xdr:cNvSpPr/>
      </xdr:nvSpPr>
      <xdr:spPr>
        <a:xfrm>
          <a:off x="5644402" y="1466290"/>
          <a:ext cx="1809750" cy="898151"/>
        </a:xfrm>
        <a:prstGeom prst="rect">
          <a:avLst/>
        </a:prstGeom>
        <a:pattFill prst="ltUpDiag">
          <a:fgClr>
            <a:schemeClr val="accent6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54</xdr:row>
      <xdr:rowOff>161925</xdr:rowOff>
    </xdr:from>
    <xdr:to>
      <xdr:col>4</xdr:col>
      <xdr:colOff>361951</xdr:colOff>
      <xdr:row>58</xdr:row>
      <xdr:rowOff>95250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xmlns="" id="{9C00A654-268E-43D8-9DF2-A27CCF62534D}"/>
            </a:ext>
          </a:extLst>
        </xdr:cNvPr>
        <xdr:cNvCxnSpPr/>
      </xdr:nvCxnSpPr>
      <xdr:spPr>
        <a:xfrm flipH="1">
          <a:off x="5276850" y="8639175"/>
          <a:ext cx="2095501" cy="69532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104775</xdr:colOff>
      <xdr:row>58</xdr:row>
      <xdr:rowOff>268381</xdr:rowOff>
    </xdr:from>
    <xdr:to>
      <xdr:col>4</xdr:col>
      <xdr:colOff>381000</xdr:colOff>
      <xdr:row>58</xdr:row>
      <xdr:rowOff>277906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xmlns="" id="{BF7AE9CB-1A19-4F9C-98E4-D6757AF52E04}"/>
            </a:ext>
          </a:extLst>
        </xdr:cNvPr>
        <xdr:cNvCxnSpPr/>
      </xdr:nvCxnSpPr>
      <xdr:spPr>
        <a:xfrm flipV="1">
          <a:off x="5349128" y="8863293"/>
          <a:ext cx="2046754" cy="952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213204</xdr:colOff>
      <xdr:row>40</xdr:row>
      <xdr:rowOff>185096</xdr:rowOff>
    </xdr:from>
    <xdr:to>
      <xdr:col>3</xdr:col>
      <xdr:colOff>145341</xdr:colOff>
      <xdr:row>47</xdr:row>
      <xdr:rowOff>58192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xmlns="" id="{9077BF29-6599-470D-B8AB-934E502D18B2}"/>
            </a:ext>
          </a:extLst>
        </xdr:cNvPr>
        <xdr:cNvSpPr/>
      </xdr:nvSpPr>
      <xdr:spPr>
        <a:xfrm rot="19545470" flipH="1">
          <a:off x="5457557" y="6718125"/>
          <a:ext cx="817402" cy="1116949"/>
        </a:xfrm>
        <a:prstGeom prst="arc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600075</xdr:colOff>
      <xdr:row>17</xdr:row>
      <xdr:rowOff>114300</xdr:rowOff>
    </xdr:from>
    <xdr:to>
      <xdr:col>2</xdr:col>
      <xdr:colOff>85725</xdr:colOff>
      <xdr:row>19</xdr:row>
      <xdr:rowOff>66675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533236B4-2A43-40D0-992E-6420A76E12F1}"/>
            </a:ext>
          </a:extLst>
        </xdr:cNvPr>
        <xdr:cNvCxnSpPr/>
      </xdr:nvCxnSpPr>
      <xdr:spPr>
        <a:xfrm flipH="1">
          <a:off x="4819650" y="3238500"/>
          <a:ext cx="504825" cy="16192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657225</xdr:colOff>
      <xdr:row>19</xdr:row>
      <xdr:rowOff>152400</xdr:rowOff>
    </xdr:from>
    <xdr:to>
      <xdr:col>2</xdr:col>
      <xdr:colOff>200025</xdr:colOff>
      <xdr:row>19</xdr:row>
      <xdr:rowOff>152400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3AA2E106-50DE-4A5E-A672-2A3D06DD0649}"/>
            </a:ext>
          </a:extLst>
        </xdr:cNvPr>
        <xdr:cNvCxnSpPr/>
      </xdr:nvCxnSpPr>
      <xdr:spPr>
        <a:xfrm>
          <a:off x="4876800" y="3486150"/>
          <a:ext cx="561975" cy="0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7</xdr:row>
      <xdr:rowOff>9525</xdr:rowOff>
    </xdr:from>
    <xdr:to>
      <xdr:col>3</xdr:col>
      <xdr:colOff>876300</xdr:colOff>
      <xdr:row>12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AD3C8E47-44FD-4707-BB48-C331AAA9B62F}"/>
            </a:ext>
          </a:extLst>
        </xdr:cNvPr>
        <xdr:cNvSpPr/>
      </xdr:nvSpPr>
      <xdr:spPr>
        <a:xfrm>
          <a:off x="5263403" y="1522319"/>
          <a:ext cx="1742515" cy="942975"/>
        </a:xfrm>
        <a:prstGeom prst="rect">
          <a:avLst/>
        </a:prstGeom>
        <a:pattFill prst="ltUpDiag">
          <a:fgClr>
            <a:schemeClr val="accent6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54</xdr:row>
      <xdr:rowOff>161925</xdr:rowOff>
    </xdr:from>
    <xdr:to>
      <xdr:col>4</xdr:col>
      <xdr:colOff>361951</xdr:colOff>
      <xdr:row>58</xdr:row>
      <xdr:rowOff>95250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xmlns="" id="{AAE1C4BF-BEF9-4E49-8DD9-AF76C13D88D1}"/>
            </a:ext>
          </a:extLst>
        </xdr:cNvPr>
        <xdr:cNvCxnSpPr/>
      </xdr:nvCxnSpPr>
      <xdr:spPr>
        <a:xfrm flipH="1">
          <a:off x="5276850" y="8067675"/>
          <a:ext cx="2095501" cy="60007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104775</xdr:colOff>
      <xdr:row>58</xdr:row>
      <xdr:rowOff>268381</xdr:rowOff>
    </xdr:from>
    <xdr:to>
      <xdr:col>4</xdr:col>
      <xdr:colOff>381000</xdr:colOff>
      <xdr:row>58</xdr:row>
      <xdr:rowOff>277906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xmlns="" id="{4A94DDF4-638E-4AE5-BAFC-CAEF6E735DCD}"/>
            </a:ext>
          </a:extLst>
        </xdr:cNvPr>
        <xdr:cNvCxnSpPr/>
      </xdr:nvCxnSpPr>
      <xdr:spPr>
        <a:xfrm flipV="1">
          <a:off x="5343525" y="8840881"/>
          <a:ext cx="2047875" cy="952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358880</xdr:colOff>
      <xdr:row>33</xdr:row>
      <xdr:rowOff>140273</xdr:rowOff>
    </xdr:from>
    <xdr:to>
      <xdr:col>3</xdr:col>
      <xdr:colOff>291017</xdr:colOff>
      <xdr:row>40</xdr:row>
      <xdr:rowOff>13369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xmlns="" id="{F33C5F6A-3E72-4813-884C-6E9B4B0CA5CE}"/>
            </a:ext>
          </a:extLst>
        </xdr:cNvPr>
        <xdr:cNvSpPr/>
      </xdr:nvSpPr>
      <xdr:spPr>
        <a:xfrm rot="19545470" flipH="1">
          <a:off x="5603233" y="5384626"/>
          <a:ext cx="817402" cy="1116949"/>
        </a:xfrm>
        <a:prstGeom prst="arc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600075</xdr:colOff>
      <xdr:row>17</xdr:row>
      <xdr:rowOff>114300</xdr:rowOff>
    </xdr:from>
    <xdr:to>
      <xdr:col>2</xdr:col>
      <xdr:colOff>85725</xdr:colOff>
      <xdr:row>19</xdr:row>
      <xdr:rowOff>66675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EA687959-8197-43FB-8028-A06FAD95987B}"/>
            </a:ext>
          </a:extLst>
        </xdr:cNvPr>
        <xdr:cNvCxnSpPr/>
      </xdr:nvCxnSpPr>
      <xdr:spPr>
        <a:xfrm flipH="1">
          <a:off x="4819650" y="3238500"/>
          <a:ext cx="504825" cy="16192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657225</xdr:colOff>
      <xdr:row>19</xdr:row>
      <xdr:rowOff>152400</xdr:rowOff>
    </xdr:from>
    <xdr:to>
      <xdr:col>2</xdr:col>
      <xdr:colOff>200025</xdr:colOff>
      <xdr:row>19</xdr:row>
      <xdr:rowOff>152400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B745051B-177E-4D93-A4ED-DA95ED42C408}"/>
            </a:ext>
          </a:extLst>
        </xdr:cNvPr>
        <xdr:cNvCxnSpPr/>
      </xdr:nvCxnSpPr>
      <xdr:spPr>
        <a:xfrm>
          <a:off x="4876800" y="3486150"/>
          <a:ext cx="561975" cy="0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7</xdr:row>
      <xdr:rowOff>9525</xdr:rowOff>
    </xdr:from>
    <xdr:to>
      <xdr:col>3</xdr:col>
      <xdr:colOff>876300</xdr:colOff>
      <xdr:row>12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CFE34515-F811-4E77-86CE-2A90A0EC0DBE}"/>
            </a:ext>
          </a:extLst>
        </xdr:cNvPr>
        <xdr:cNvSpPr/>
      </xdr:nvSpPr>
      <xdr:spPr>
        <a:xfrm>
          <a:off x="5257800" y="1533525"/>
          <a:ext cx="1743075" cy="942975"/>
        </a:xfrm>
        <a:prstGeom prst="rect">
          <a:avLst/>
        </a:prstGeom>
        <a:pattFill prst="ltUpDiag">
          <a:fgClr>
            <a:schemeClr val="accent6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47</xdr:row>
      <xdr:rowOff>161925</xdr:rowOff>
    </xdr:from>
    <xdr:to>
      <xdr:col>4</xdr:col>
      <xdr:colOff>361951</xdr:colOff>
      <xdr:row>51</xdr:row>
      <xdr:rowOff>95250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xmlns="" id="{3CC7932D-86A8-4F6F-8A38-096C5576A035}"/>
            </a:ext>
          </a:extLst>
        </xdr:cNvPr>
        <xdr:cNvCxnSpPr/>
      </xdr:nvCxnSpPr>
      <xdr:spPr>
        <a:xfrm flipH="1">
          <a:off x="5276850" y="7877175"/>
          <a:ext cx="2095501" cy="60007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104775</xdr:colOff>
      <xdr:row>51</xdr:row>
      <xdr:rowOff>268381</xdr:rowOff>
    </xdr:from>
    <xdr:to>
      <xdr:col>4</xdr:col>
      <xdr:colOff>381000</xdr:colOff>
      <xdr:row>51</xdr:row>
      <xdr:rowOff>277906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xmlns="" id="{AE926809-BD32-464B-AA32-55EEC272881D}"/>
            </a:ext>
          </a:extLst>
        </xdr:cNvPr>
        <xdr:cNvCxnSpPr/>
      </xdr:nvCxnSpPr>
      <xdr:spPr>
        <a:xfrm flipV="1">
          <a:off x="5343525" y="8650381"/>
          <a:ext cx="2047875" cy="952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185190</xdr:colOff>
      <xdr:row>40</xdr:row>
      <xdr:rowOff>157080</xdr:rowOff>
    </xdr:from>
    <xdr:to>
      <xdr:col>3</xdr:col>
      <xdr:colOff>117327</xdr:colOff>
      <xdr:row>45</xdr:row>
      <xdr:rowOff>151279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xmlns="" id="{3E6C672D-401A-4093-ACCE-E014E84688AC}"/>
            </a:ext>
          </a:extLst>
        </xdr:cNvPr>
        <xdr:cNvSpPr/>
      </xdr:nvSpPr>
      <xdr:spPr>
        <a:xfrm rot="19081465" flipH="1">
          <a:off x="5799337" y="6415566"/>
          <a:ext cx="879035" cy="823434"/>
        </a:xfrm>
        <a:prstGeom prst="arc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600075</xdr:colOff>
      <xdr:row>17</xdr:row>
      <xdr:rowOff>114300</xdr:rowOff>
    </xdr:from>
    <xdr:to>
      <xdr:col>2</xdr:col>
      <xdr:colOff>85725</xdr:colOff>
      <xdr:row>19</xdr:row>
      <xdr:rowOff>66675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A3D08220-F8CA-4CA7-8B4F-D7F48312D938}"/>
            </a:ext>
          </a:extLst>
        </xdr:cNvPr>
        <xdr:cNvCxnSpPr/>
      </xdr:nvCxnSpPr>
      <xdr:spPr>
        <a:xfrm flipH="1">
          <a:off x="4819650" y="3238500"/>
          <a:ext cx="504825" cy="16192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657225</xdr:colOff>
      <xdr:row>19</xdr:row>
      <xdr:rowOff>152400</xdr:rowOff>
    </xdr:from>
    <xdr:to>
      <xdr:col>2</xdr:col>
      <xdr:colOff>200025</xdr:colOff>
      <xdr:row>19</xdr:row>
      <xdr:rowOff>152400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2CA76325-925B-416C-AA8C-E747CD8663DB}"/>
            </a:ext>
          </a:extLst>
        </xdr:cNvPr>
        <xdr:cNvCxnSpPr/>
      </xdr:nvCxnSpPr>
      <xdr:spPr>
        <a:xfrm>
          <a:off x="4876800" y="3486150"/>
          <a:ext cx="561975" cy="0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24653</xdr:colOff>
      <xdr:row>6</xdr:row>
      <xdr:rowOff>177613</xdr:rowOff>
    </xdr:from>
    <xdr:to>
      <xdr:col>3</xdr:col>
      <xdr:colOff>941293</xdr:colOff>
      <xdr:row>11</xdr:row>
      <xdr:rowOff>168088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93137001-E80E-4383-85C0-D47BDB36F0C8}"/>
            </a:ext>
          </a:extLst>
        </xdr:cNvPr>
        <xdr:cNvSpPr/>
      </xdr:nvSpPr>
      <xdr:spPr>
        <a:xfrm>
          <a:off x="5638800" y="1455084"/>
          <a:ext cx="1863538" cy="898151"/>
        </a:xfrm>
        <a:prstGeom prst="rect">
          <a:avLst/>
        </a:prstGeom>
        <a:pattFill prst="ltUpDiag">
          <a:fgClr>
            <a:schemeClr val="accent6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157173</xdr:colOff>
      <xdr:row>40</xdr:row>
      <xdr:rowOff>185094</xdr:rowOff>
    </xdr:from>
    <xdr:to>
      <xdr:col>3</xdr:col>
      <xdr:colOff>89310</xdr:colOff>
      <xdr:row>47</xdr:row>
      <xdr:rowOff>58190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xmlns="" id="{DAD5507C-AE2C-4344-83B5-93EEB455C984}"/>
            </a:ext>
          </a:extLst>
        </xdr:cNvPr>
        <xdr:cNvSpPr/>
      </xdr:nvSpPr>
      <xdr:spPr>
        <a:xfrm rot="19545470" flipH="1">
          <a:off x="5395923" y="7995594"/>
          <a:ext cx="817962" cy="1111346"/>
        </a:xfrm>
        <a:prstGeom prst="arc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600075</xdr:colOff>
      <xdr:row>17</xdr:row>
      <xdr:rowOff>114300</xdr:rowOff>
    </xdr:from>
    <xdr:to>
      <xdr:col>2</xdr:col>
      <xdr:colOff>85725</xdr:colOff>
      <xdr:row>19</xdr:row>
      <xdr:rowOff>66675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2BDB2AF4-BD2A-47AC-ACDD-25B83CE7FAB8}"/>
            </a:ext>
          </a:extLst>
        </xdr:cNvPr>
        <xdr:cNvCxnSpPr/>
      </xdr:nvCxnSpPr>
      <xdr:spPr>
        <a:xfrm flipH="1">
          <a:off x="4819650" y="3543300"/>
          <a:ext cx="504825" cy="23812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657225</xdr:colOff>
      <xdr:row>19</xdr:row>
      <xdr:rowOff>152400</xdr:rowOff>
    </xdr:from>
    <xdr:to>
      <xdr:col>2</xdr:col>
      <xdr:colOff>200025</xdr:colOff>
      <xdr:row>19</xdr:row>
      <xdr:rowOff>152400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0A281C9A-5FA1-4CD9-971F-9D004AB0F60E}"/>
            </a:ext>
          </a:extLst>
        </xdr:cNvPr>
        <xdr:cNvCxnSpPr/>
      </xdr:nvCxnSpPr>
      <xdr:spPr>
        <a:xfrm>
          <a:off x="4876800" y="3867150"/>
          <a:ext cx="561975" cy="0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7</xdr:row>
      <xdr:rowOff>9525</xdr:rowOff>
    </xdr:from>
    <xdr:to>
      <xdr:col>3</xdr:col>
      <xdr:colOff>876300</xdr:colOff>
      <xdr:row>12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7C542E6F-6849-447B-8B1B-A6076E3083D9}"/>
            </a:ext>
          </a:extLst>
        </xdr:cNvPr>
        <xdr:cNvSpPr/>
      </xdr:nvSpPr>
      <xdr:spPr>
        <a:xfrm>
          <a:off x="5257800" y="1533525"/>
          <a:ext cx="1743075" cy="942975"/>
        </a:xfrm>
        <a:prstGeom prst="rect">
          <a:avLst/>
        </a:prstGeom>
        <a:pattFill prst="ltUpDiag">
          <a:fgClr>
            <a:schemeClr val="accent6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54</xdr:row>
      <xdr:rowOff>161925</xdr:rowOff>
    </xdr:from>
    <xdr:to>
      <xdr:col>4</xdr:col>
      <xdr:colOff>361951</xdr:colOff>
      <xdr:row>58</xdr:row>
      <xdr:rowOff>95250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xmlns="" id="{0000B57F-13FA-417C-B5FF-F52615919F3F}"/>
            </a:ext>
          </a:extLst>
        </xdr:cNvPr>
        <xdr:cNvCxnSpPr/>
      </xdr:nvCxnSpPr>
      <xdr:spPr>
        <a:xfrm flipH="1">
          <a:off x="5276850" y="10448925"/>
          <a:ext cx="2095501" cy="60007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104775</xdr:colOff>
      <xdr:row>58</xdr:row>
      <xdr:rowOff>268381</xdr:rowOff>
    </xdr:from>
    <xdr:to>
      <xdr:col>4</xdr:col>
      <xdr:colOff>381000</xdr:colOff>
      <xdr:row>58</xdr:row>
      <xdr:rowOff>277906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xmlns="" id="{88EC49E5-A4FA-4A36-AA33-36581B9DE545}"/>
            </a:ext>
          </a:extLst>
        </xdr:cNvPr>
        <xdr:cNvCxnSpPr/>
      </xdr:nvCxnSpPr>
      <xdr:spPr>
        <a:xfrm flipV="1">
          <a:off x="5343525" y="11222131"/>
          <a:ext cx="2047875" cy="952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213204</xdr:colOff>
      <xdr:row>40</xdr:row>
      <xdr:rowOff>185096</xdr:rowOff>
    </xdr:from>
    <xdr:to>
      <xdr:col>3</xdr:col>
      <xdr:colOff>145341</xdr:colOff>
      <xdr:row>47</xdr:row>
      <xdr:rowOff>58192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xmlns="" id="{E3C3D6FC-676E-492B-8A6D-A4134A35AB09}"/>
            </a:ext>
          </a:extLst>
        </xdr:cNvPr>
        <xdr:cNvSpPr/>
      </xdr:nvSpPr>
      <xdr:spPr>
        <a:xfrm rot="19545470" flipH="1">
          <a:off x="5451954" y="7995596"/>
          <a:ext cx="817962" cy="1111346"/>
        </a:xfrm>
        <a:prstGeom prst="arc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600075</xdr:colOff>
      <xdr:row>17</xdr:row>
      <xdr:rowOff>114300</xdr:rowOff>
    </xdr:from>
    <xdr:to>
      <xdr:col>2</xdr:col>
      <xdr:colOff>85725</xdr:colOff>
      <xdr:row>19</xdr:row>
      <xdr:rowOff>66675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9C635154-A94E-460A-BEC1-28BCFBE31574}"/>
            </a:ext>
          </a:extLst>
        </xdr:cNvPr>
        <xdr:cNvCxnSpPr/>
      </xdr:nvCxnSpPr>
      <xdr:spPr>
        <a:xfrm flipH="1">
          <a:off x="4819650" y="3543300"/>
          <a:ext cx="504825" cy="23812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657225</xdr:colOff>
      <xdr:row>19</xdr:row>
      <xdr:rowOff>152400</xdr:rowOff>
    </xdr:from>
    <xdr:to>
      <xdr:col>2</xdr:col>
      <xdr:colOff>200025</xdr:colOff>
      <xdr:row>19</xdr:row>
      <xdr:rowOff>152400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031C60ED-B5CF-427D-9682-2660CBF698AC}"/>
            </a:ext>
          </a:extLst>
        </xdr:cNvPr>
        <xdr:cNvCxnSpPr/>
      </xdr:nvCxnSpPr>
      <xdr:spPr>
        <a:xfrm>
          <a:off x="4876800" y="3867150"/>
          <a:ext cx="561975" cy="0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7</xdr:row>
      <xdr:rowOff>9525</xdr:rowOff>
    </xdr:from>
    <xdr:to>
      <xdr:col>3</xdr:col>
      <xdr:colOff>876300</xdr:colOff>
      <xdr:row>12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BBA5797F-2824-4E8F-80A5-B943F4ACA1CB}"/>
            </a:ext>
          </a:extLst>
        </xdr:cNvPr>
        <xdr:cNvSpPr/>
      </xdr:nvSpPr>
      <xdr:spPr>
        <a:xfrm>
          <a:off x="5257800" y="1533525"/>
          <a:ext cx="1743075" cy="942975"/>
        </a:xfrm>
        <a:prstGeom prst="rect">
          <a:avLst/>
        </a:prstGeom>
        <a:pattFill prst="ltUpDiag">
          <a:fgClr>
            <a:schemeClr val="accent6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54</xdr:row>
      <xdr:rowOff>161925</xdr:rowOff>
    </xdr:from>
    <xdr:to>
      <xdr:col>4</xdr:col>
      <xdr:colOff>361951</xdr:colOff>
      <xdr:row>58</xdr:row>
      <xdr:rowOff>95250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xmlns="" id="{C00AEF02-B296-4FB4-9A8B-BDF5290B43EC}"/>
            </a:ext>
          </a:extLst>
        </xdr:cNvPr>
        <xdr:cNvCxnSpPr/>
      </xdr:nvCxnSpPr>
      <xdr:spPr>
        <a:xfrm flipH="1">
          <a:off x="5276850" y="10448925"/>
          <a:ext cx="2095501" cy="60007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104775</xdr:colOff>
      <xdr:row>58</xdr:row>
      <xdr:rowOff>268381</xdr:rowOff>
    </xdr:from>
    <xdr:to>
      <xdr:col>4</xdr:col>
      <xdr:colOff>381000</xdr:colOff>
      <xdr:row>58</xdr:row>
      <xdr:rowOff>277906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xmlns="" id="{83AD3765-0828-49D0-8D76-6B0475CE00E9}"/>
            </a:ext>
          </a:extLst>
        </xdr:cNvPr>
        <xdr:cNvCxnSpPr/>
      </xdr:nvCxnSpPr>
      <xdr:spPr>
        <a:xfrm flipV="1">
          <a:off x="5343525" y="11222131"/>
          <a:ext cx="2047875" cy="952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358880</xdr:colOff>
      <xdr:row>33</xdr:row>
      <xdr:rowOff>140273</xdr:rowOff>
    </xdr:from>
    <xdr:to>
      <xdr:col>3</xdr:col>
      <xdr:colOff>291017</xdr:colOff>
      <xdr:row>40</xdr:row>
      <xdr:rowOff>13369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xmlns="" id="{9A42E197-BC72-4589-AD18-BDE8B66D0951}"/>
            </a:ext>
          </a:extLst>
        </xdr:cNvPr>
        <xdr:cNvSpPr/>
      </xdr:nvSpPr>
      <xdr:spPr>
        <a:xfrm rot="19545470" flipH="1">
          <a:off x="5597630" y="6331523"/>
          <a:ext cx="817962" cy="1111346"/>
        </a:xfrm>
        <a:prstGeom prst="arc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600075</xdr:colOff>
      <xdr:row>17</xdr:row>
      <xdr:rowOff>114300</xdr:rowOff>
    </xdr:from>
    <xdr:to>
      <xdr:col>2</xdr:col>
      <xdr:colOff>85725</xdr:colOff>
      <xdr:row>19</xdr:row>
      <xdr:rowOff>66675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042BC65E-F59B-4A2B-8AF5-F6FA469E9DB2}"/>
            </a:ext>
          </a:extLst>
        </xdr:cNvPr>
        <xdr:cNvCxnSpPr/>
      </xdr:nvCxnSpPr>
      <xdr:spPr>
        <a:xfrm flipH="1">
          <a:off x="4819650" y="3543300"/>
          <a:ext cx="504825" cy="23812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657225</xdr:colOff>
      <xdr:row>19</xdr:row>
      <xdr:rowOff>152400</xdr:rowOff>
    </xdr:from>
    <xdr:to>
      <xdr:col>2</xdr:col>
      <xdr:colOff>200025</xdr:colOff>
      <xdr:row>19</xdr:row>
      <xdr:rowOff>152400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C4BD8788-770B-4873-B1AB-7DB60AD2A8FC}"/>
            </a:ext>
          </a:extLst>
        </xdr:cNvPr>
        <xdr:cNvCxnSpPr/>
      </xdr:nvCxnSpPr>
      <xdr:spPr>
        <a:xfrm>
          <a:off x="4876800" y="3867150"/>
          <a:ext cx="561975" cy="0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7</xdr:row>
      <xdr:rowOff>9525</xdr:rowOff>
    </xdr:from>
    <xdr:to>
      <xdr:col>3</xdr:col>
      <xdr:colOff>876300</xdr:colOff>
      <xdr:row>12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5E49E370-8D78-4F5C-8694-F4308FA8AC53}"/>
            </a:ext>
          </a:extLst>
        </xdr:cNvPr>
        <xdr:cNvSpPr/>
      </xdr:nvSpPr>
      <xdr:spPr>
        <a:xfrm>
          <a:off x="5257800" y="1533525"/>
          <a:ext cx="1743075" cy="942975"/>
        </a:xfrm>
        <a:prstGeom prst="rect">
          <a:avLst/>
        </a:prstGeom>
        <a:pattFill prst="ltUpDiag">
          <a:fgClr>
            <a:schemeClr val="accent6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47</xdr:row>
      <xdr:rowOff>161925</xdr:rowOff>
    </xdr:from>
    <xdr:to>
      <xdr:col>4</xdr:col>
      <xdr:colOff>361951</xdr:colOff>
      <xdr:row>51</xdr:row>
      <xdr:rowOff>95250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xmlns="" id="{0A8F0235-89AE-4F6F-B989-D133FDE2B929}"/>
            </a:ext>
          </a:extLst>
        </xdr:cNvPr>
        <xdr:cNvCxnSpPr/>
      </xdr:nvCxnSpPr>
      <xdr:spPr>
        <a:xfrm flipH="1">
          <a:off x="5276850" y="8829675"/>
          <a:ext cx="2095501" cy="60007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104775</xdr:colOff>
      <xdr:row>51</xdr:row>
      <xdr:rowOff>268381</xdr:rowOff>
    </xdr:from>
    <xdr:to>
      <xdr:col>4</xdr:col>
      <xdr:colOff>381000</xdr:colOff>
      <xdr:row>51</xdr:row>
      <xdr:rowOff>277906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xmlns="" id="{284F98EB-2BA8-46CF-BA71-9EC1CF032A9F}"/>
            </a:ext>
          </a:extLst>
        </xdr:cNvPr>
        <xdr:cNvCxnSpPr/>
      </xdr:nvCxnSpPr>
      <xdr:spPr>
        <a:xfrm flipV="1">
          <a:off x="5343525" y="9602881"/>
          <a:ext cx="2047875" cy="9525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NHA Default">
  <a:themeElements>
    <a:clrScheme name="NHA RGB">
      <a:dk1>
        <a:srgbClr val="000000"/>
      </a:dk1>
      <a:lt1>
        <a:srgbClr val="FFFFFF"/>
      </a:lt1>
      <a:dk2>
        <a:srgbClr val="004F71"/>
      </a:dk2>
      <a:lt2>
        <a:srgbClr val="FFFFFF"/>
      </a:lt2>
      <a:accent1>
        <a:srgbClr val="0071CE"/>
      </a:accent1>
      <a:accent2>
        <a:srgbClr val="9EA2A2"/>
      </a:accent2>
      <a:accent3>
        <a:srgbClr val="004F71"/>
      </a:accent3>
      <a:accent4>
        <a:srgbClr val="51D2BC"/>
      </a:accent4>
      <a:accent5>
        <a:srgbClr val="DC6B2F"/>
      </a:accent5>
      <a:accent6>
        <a:srgbClr val="636669"/>
      </a:accent6>
      <a:hlink>
        <a:srgbClr val="DC6B2F"/>
      </a:hlink>
      <a:folHlink>
        <a:srgbClr val="DC6B2F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rigin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3000"/>
              </a:schemeClr>
            </a:gs>
            <a:gs pos="30000">
              <a:schemeClr val="phClr">
                <a:shade val="90000"/>
                <a:satMod val="110000"/>
              </a:schemeClr>
            </a:gs>
            <a:gs pos="45000">
              <a:schemeClr val="phClr">
                <a:shade val="100000"/>
                <a:satMod val="118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0000"/>
                <a:satMod val="110000"/>
              </a:schemeClr>
            </a:gs>
            <a:gs pos="100000">
              <a:schemeClr val="phClr">
                <a:shade val="63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30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balanced" dir="t">
              <a:rot lat="0" lon="0" rev="0"/>
            </a:lightRig>
          </a:scene3d>
          <a:sp3d prstMaterial="matte">
            <a:bevelT w="0" h="0"/>
            <a:contourClr>
              <a:schemeClr val="phClr">
                <a:tint val="100000"/>
                <a:shade val="100000"/>
                <a:hueMod val="100000"/>
                <a:satMod val="100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50000"/>
              </a:srgbClr>
            </a:outerShdw>
          </a:effectLst>
          <a:scene3d>
            <a:camera prst="orthographicFront" fov="0">
              <a:rot lat="0" lon="0" rev="0"/>
            </a:camera>
            <a:lightRig rig="soft" dir="t">
              <a:rot lat="0" lon="0" rev="2700000"/>
            </a:lightRig>
          </a:scene3d>
          <a:sp3d prstMaterial="matte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60000"/>
                <a:satMod val="300000"/>
              </a:schemeClr>
            </a:gs>
            <a:gs pos="30000">
              <a:schemeClr val="phClr">
                <a:shade val="80000"/>
                <a:satMod val="230000"/>
              </a:schemeClr>
            </a:gs>
            <a:gs pos="100000">
              <a:schemeClr val="phClr">
                <a:tint val="97000"/>
                <a:satMod val="22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hade val="6000"/>
                <a:satMod val="120000"/>
              </a:schemeClr>
              <a:schemeClr val="phClr">
                <a:tint val="90000"/>
              </a:schemeClr>
            </a:duotone>
          </a:blip>
          <a:tile tx="0" ty="0" sx="35000" sy="40000" flip="x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NHA Default" id="{8431B1B1-E46C-4E86-BB85-76CD4564C657}" vid="{EEA7DD46-7AB5-4669-AC39-F812C5FCCDA2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N13" sqref="N13"/>
    </sheetView>
  </sheetViews>
  <sheetFormatPr defaultColWidth="11.28515625" defaultRowHeight="15" x14ac:dyDescent="0.25"/>
  <cols>
    <col min="1" max="1" width="67" customWidth="1"/>
    <col min="2" max="3" width="11.5703125" bestFit="1" customWidth="1"/>
    <col min="4" max="4" width="13" customWidth="1"/>
    <col min="5" max="5" width="15.140625" bestFit="1" customWidth="1"/>
    <col min="6" max="6" width="18.42578125" bestFit="1" customWidth="1"/>
    <col min="7" max="7" width="10.85546875" bestFit="1" customWidth="1"/>
    <col min="8" max="8" width="12.5703125" bestFit="1" customWidth="1"/>
    <col min="9" max="9" width="11.5703125" bestFit="1" customWidth="1"/>
  </cols>
  <sheetData>
    <row r="1" spans="1:9" ht="15.75" x14ac:dyDescent="0.25">
      <c r="A1" s="29" t="s">
        <v>98</v>
      </c>
      <c r="I1" s="420">
        <v>43671</v>
      </c>
    </row>
    <row r="2" spans="1:9" ht="15.75" x14ac:dyDescent="0.25">
      <c r="A2" s="29" t="s">
        <v>108</v>
      </c>
    </row>
    <row r="3" spans="1:9" x14ac:dyDescent="0.25">
      <c r="A3" s="170" t="s">
        <v>320</v>
      </c>
      <c r="B3" s="170"/>
    </row>
    <row r="4" spans="1:9" x14ac:dyDescent="0.25">
      <c r="A4" s="170"/>
      <c r="B4" s="170"/>
    </row>
    <row r="5" spans="1:9" x14ac:dyDescent="0.25">
      <c r="A5" s="412" t="s">
        <v>346</v>
      </c>
      <c r="B5" s="412">
        <f>'DS (Base Case)'!L36</f>
        <v>0.51184488873142364</v>
      </c>
      <c r="C5" s="412">
        <f>'DS (Base Case)'!L37</f>
        <v>0.25951167079191245</v>
      </c>
      <c r="D5" s="412">
        <f>'DS (Base Case)'!L38</f>
        <v>0</v>
      </c>
      <c r="E5" s="412">
        <f>'DS (Base Case)'!L39</f>
        <v>6.8838885304802033E-2</v>
      </c>
      <c r="F5" s="412">
        <v>0</v>
      </c>
      <c r="G5" s="412">
        <f>'DS (Base Case)'!L35</f>
        <v>0.15980455517186187</v>
      </c>
      <c r="H5" s="412">
        <v>0</v>
      </c>
      <c r="I5" s="412">
        <v>0</v>
      </c>
    </row>
    <row r="6" spans="1:9" ht="30" hidden="1" x14ac:dyDescent="0.25">
      <c r="A6" s="310"/>
      <c r="B6" s="301" t="s">
        <v>2</v>
      </c>
      <c r="C6" s="301" t="s">
        <v>3</v>
      </c>
      <c r="D6" s="301" t="s">
        <v>1</v>
      </c>
      <c r="E6" s="311" t="s">
        <v>4</v>
      </c>
    </row>
    <row r="7" spans="1:9" hidden="1" x14ac:dyDescent="0.25">
      <c r="A7" s="314" t="s">
        <v>212</v>
      </c>
      <c r="B7" s="312">
        <v>0.2</v>
      </c>
      <c r="C7" s="312">
        <v>0.2</v>
      </c>
      <c r="D7" s="312">
        <v>0.2</v>
      </c>
      <c r="E7" s="313">
        <v>0.2</v>
      </c>
    </row>
    <row r="8" spans="1:9" hidden="1" x14ac:dyDescent="0.25"/>
    <row r="9" spans="1:9" x14ac:dyDescent="0.25">
      <c r="A9" s="426" t="s">
        <v>131</v>
      </c>
      <c r="B9" s="427"/>
      <c r="C9" s="427"/>
      <c r="D9" s="427"/>
      <c r="E9" s="427"/>
      <c r="F9" s="427"/>
      <c r="G9" s="408"/>
      <c r="H9" s="421" t="s">
        <v>326</v>
      </c>
      <c r="I9" s="421"/>
    </row>
    <row r="10" spans="1:9" ht="45" x14ac:dyDescent="0.25">
      <c r="A10" s="284"/>
      <c r="B10" s="168" t="s">
        <v>2</v>
      </c>
      <c r="C10" s="168" t="s">
        <v>3</v>
      </c>
      <c r="D10" s="168" t="s">
        <v>1</v>
      </c>
      <c r="E10" s="169" t="s">
        <v>312</v>
      </c>
      <c r="F10" s="169" t="s">
        <v>317</v>
      </c>
      <c r="G10" s="169" t="s">
        <v>348</v>
      </c>
      <c r="H10" s="168" t="s">
        <v>244</v>
      </c>
      <c r="I10" s="168" t="s">
        <v>245</v>
      </c>
    </row>
    <row r="11" spans="1:9" x14ac:dyDescent="0.25">
      <c r="A11" s="285" t="s">
        <v>90</v>
      </c>
      <c r="B11" s="283">
        <f>B5*'DS (Base Case)'!$M$6</f>
        <v>18737216.82</v>
      </c>
      <c r="C11" s="283">
        <f>C5*'DS (Base Case)'!$M$6</f>
        <v>9500000</v>
      </c>
      <c r="D11" s="283">
        <f>D5*'DS (Base Case)'!$M$6</f>
        <v>0</v>
      </c>
      <c r="E11" s="283">
        <f>E5*'DS (Base Case)'!$M$6</f>
        <v>2520000</v>
      </c>
      <c r="F11" s="283">
        <f>F5*'DS (Base Case)'!$M$6</f>
        <v>0</v>
      </c>
      <c r="G11" s="283">
        <f>G5*'DS (Base Case)'!$M$6</f>
        <v>5850000</v>
      </c>
      <c r="H11" s="283">
        <f>H5*'DS (Base Case)'!$M$6</f>
        <v>0</v>
      </c>
      <c r="I11" s="283">
        <f>I5*'DS (Base Case)'!$M$6</f>
        <v>0</v>
      </c>
    </row>
    <row r="12" spans="1:9" x14ac:dyDescent="0.25">
      <c r="A12" s="286" t="s">
        <v>100</v>
      </c>
      <c r="B12" s="283">
        <f>'1 - Marina'!C62</f>
        <v>5435147.2201744867</v>
      </c>
      <c r="C12" s="283">
        <f>'1 - Seaside'!C62</f>
        <v>4126378.8846759372</v>
      </c>
      <c r="D12" s="283">
        <f>'1 - DRO'!C55</f>
        <v>1605593.8459271106</v>
      </c>
      <c r="E12" s="283">
        <f>'1 - County'!C73</f>
        <v>23590893.566576023</v>
      </c>
      <c r="F12" s="283">
        <f>'1 - County'!C74</f>
        <v>31050931.457138699</v>
      </c>
      <c r="G12" s="283">
        <v>0</v>
      </c>
      <c r="H12" s="398">
        <f>'HSC 33482.78 PTs'!B20</f>
        <v>124536313.2295597</v>
      </c>
      <c r="I12" s="399">
        <f>'HSC 33482.78 PTs'!B23</f>
        <v>13448868.207988514</v>
      </c>
    </row>
    <row r="13" spans="1:9" ht="15.75" thickBot="1" x14ac:dyDescent="0.3">
      <c r="A13" s="287" t="s">
        <v>91</v>
      </c>
      <c r="B13" s="309">
        <f>B11+B12</f>
        <v>24172364.040174488</v>
      </c>
      <c r="C13" s="309">
        <f t="shared" ref="C13:E13" si="0">C11+C12</f>
        <v>13626378.884675937</v>
      </c>
      <c r="D13" s="309">
        <f t="shared" si="0"/>
        <v>1605593.8459271106</v>
      </c>
      <c r="E13" s="309">
        <f t="shared" si="0"/>
        <v>26110893.566576023</v>
      </c>
      <c r="F13" s="309">
        <f t="shared" ref="F13:I13" si="1">F11+F12</f>
        <v>31050931.457138699</v>
      </c>
      <c r="G13" s="309">
        <f t="shared" si="1"/>
        <v>5850000</v>
      </c>
      <c r="H13" s="309">
        <f t="shared" si="1"/>
        <v>124536313.2295597</v>
      </c>
      <c r="I13" s="309">
        <f t="shared" si="1"/>
        <v>13448868.207988514</v>
      </c>
    </row>
    <row r="14" spans="1:9" x14ac:dyDescent="0.25">
      <c r="A14" s="148"/>
      <c r="B14" s="282"/>
      <c r="C14" s="282"/>
      <c r="D14" s="282"/>
      <c r="E14" s="282"/>
      <c r="F14" s="282"/>
      <c r="G14" s="282"/>
      <c r="I14" s="8"/>
    </row>
    <row r="15" spans="1:9" x14ac:dyDescent="0.25">
      <c r="A15" s="428" t="s">
        <v>132</v>
      </c>
      <c r="B15" s="429"/>
      <c r="C15" s="429"/>
      <c r="D15" s="429"/>
      <c r="E15" s="429"/>
      <c r="F15" s="429"/>
      <c r="G15" s="409"/>
      <c r="H15" s="422" t="s">
        <v>326</v>
      </c>
      <c r="I15" s="422"/>
    </row>
    <row r="16" spans="1:9" ht="45" x14ac:dyDescent="0.25">
      <c r="A16" s="284"/>
      <c r="B16" s="168" t="s">
        <v>2</v>
      </c>
      <c r="C16" s="168" t="s">
        <v>3</v>
      </c>
      <c r="D16" s="168" t="s">
        <v>1</v>
      </c>
      <c r="E16" s="169" t="s">
        <v>312</v>
      </c>
      <c r="F16" s="169" t="s">
        <v>317</v>
      </c>
      <c r="G16" s="169" t="s">
        <v>348</v>
      </c>
      <c r="H16" s="168" t="s">
        <v>244</v>
      </c>
      <c r="I16" s="168" t="s">
        <v>245</v>
      </c>
    </row>
    <row r="17" spans="1:9" x14ac:dyDescent="0.25">
      <c r="A17" s="285" t="s">
        <v>90</v>
      </c>
      <c r="B17" s="288">
        <v>0</v>
      </c>
      <c r="C17" s="288">
        <v>0</v>
      </c>
      <c r="D17" s="288">
        <v>0</v>
      </c>
      <c r="E17" s="288">
        <v>0</v>
      </c>
      <c r="F17" s="288">
        <v>0</v>
      </c>
      <c r="G17" s="288">
        <v>0</v>
      </c>
      <c r="H17" s="282">
        <v>0</v>
      </c>
      <c r="I17" s="282">
        <v>0</v>
      </c>
    </row>
    <row r="18" spans="1:9" x14ac:dyDescent="0.25">
      <c r="A18" s="286" t="s">
        <v>107</v>
      </c>
      <c r="B18" s="289">
        <f>'2 - Marina'!C62</f>
        <v>4499579.1183127891</v>
      </c>
      <c r="C18" s="289">
        <f>'2 - Seaside'!C62</f>
        <v>3988512.8102264465</v>
      </c>
      <c r="D18" s="289">
        <f>'2 - DRO'!C55</f>
        <v>1615785.9662975597</v>
      </c>
      <c r="E18" s="290">
        <f>'2 - County'!C73</f>
        <v>23198201.125885189</v>
      </c>
      <c r="F18" s="290">
        <f>'2 - County'!C74</f>
        <v>30626951.419087294</v>
      </c>
      <c r="G18" s="290">
        <v>0</v>
      </c>
      <c r="H18" s="398">
        <f>'HSC 33482.78 PTs'!B39</f>
        <v>97718616.36496906</v>
      </c>
      <c r="I18" s="398">
        <f>'HSC 33482.78 PTs'!B42</f>
        <v>10552816.912101246</v>
      </c>
    </row>
    <row r="19" spans="1:9" ht="15.75" thickBot="1" x14ac:dyDescent="0.3">
      <c r="A19" s="287" t="s">
        <v>91</v>
      </c>
      <c r="B19" s="291">
        <f>B18+B17</f>
        <v>4499579.1183127891</v>
      </c>
      <c r="C19" s="291">
        <f t="shared" ref="C19:E19" si="2">C18+C17</f>
        <v>3988512.8102264465</v>
      </c>
      <c r="D19" s="291">
        <f t="shared" si="2"/>
        <v>1615785.9662975597</v>
      </c>
      <c r="E19" s="292">
        <f t="shared" si="2"/>
        <v>23198201.125885189</v>
      </c>
      <c r="F19" s="309">
        <f t="shared" ref="F19:I19" si="3">F18+F17</f>
        <v>30626951.419087294</v>
      </c>
      <c r="G19" s="309">
        <f t="shared" si="3"/>
        <v>0</v>
      </c>
      <c r="H19" s="309">
        <f t="shared" si="3"/>
        <v>97718616.36496906</v>
      </c>
      <c r="I19" s="309">
        <f t="shared" si="3"/>
        <v>10552816.912101246</v>
      </c>
    </row>
    <row r="20" spans="1:9" x14ac:dyDescent="0.25">
      <c r="A20" s="148"/>
      <c r="B20" s="288"/>
      <c r="C20" s="288"/>
      <c r="D20" s="288"/>
      <c r="E20" s="288"/>
      <c r="F20" s="288"/>
      <c r="G20" s="288"/>
    </row>
    <row r="21" spans="1:9" x14ac:dyDescent="0.25">
      <c r="A21" s="430" t="s">
        <v>99</v>
      </c>
      <c r="B21" s="431"/>
      <c r="C21" s="431"/>
      <c r="D21" s="431"/>
      <c r="E21" s="431"/>
      <c r="F21" s="431"/>
      <c r="G21" s="410"/>
      <c r="H21" s="423" t="s">
        <v>326</v>
      </c>
      <c r="I21" s="423"/>
    </row>
    <row r="22" spans="1:9" ht="45" x14ac:dyDescent="0.25">
      <c r="A22" s="284"/>
      <c r="B22" s="168" t="s">
        <v>2</v>
      </c>
      <c r="C22" s="168" t="s">
        <v>3</v>
      </c>
      <c r="D22" s="168" t="s">
        <v>1</v>
      </c>
      <c r="E22" s="169" t="s">
        <v>312</v>
      </c>
      <c r="F22" s="169" t="s">
        <v>317</v>
      </c>
      <c r="G22" s="169" t="s">
        <v>348</v>
      </c>
      <c r="H22" s="168" t="s">
        <v>244</v>
      </c>
      <c r="I22" s="168" t="s">
        <v>245</v>
      </c>
    </row>
    <row r="23" spans="1:9" x14ac:dyDescent="0.25">
      <c r="A23" s="285" t="s">
        <v>90</v>
      </c>
      <c r="B23" s="288">
        <f>B11</f>
        <v>18737216.82</v>
      </c>
      <c r="C23" s="288">
        <f t="shared" ref="C23:I23" si="4">C11</f>
        <v>9500000</v>
      </c>
      <c r="D23" s="288">
        <f t="shared" si="4"/>
        <v>0</v>
      </c>
      <c r="E23" s="288">
        <f t="shared" si="4"/>
        <v>2520000</v>
      </c>
      <c r="F23" s="288">
        <f t="shared" si="4"/>
        <v>0</v>
      </c>
      <c r="G23" s="288">
        <f t="shared" si="4"/>
        <v>5850000</v>
      </c>
      <c r="H23" s="288">
        <f t="shared" si="4"/>
        <v>0</v>
      </c>
      <c r="I23" s="288">
        <f t="shared" si="4"/>
        <v>0</v>
      </c>
    </row>
    <row r="24" spans="1:9" x14ac:dyDescent="0.25">
      <c r="A24" s="286" t="s">
        <v>100</v>
      </c>
      <c r="B24" s="289">
        <f>'3 - Marina'!C62</f>
        <v>5206398.107004419</v>
      </c>
      <c r="C24" s="289">
        <f>'3 - Seaside'!C62</f>
        <v>3969919.1272455445</v>
      </c>
      <c r="D24" s="289">
        <f>'3 - DRO'!C55</f>
        <v>1562178.1331749412</v>
      </c>
      <c r="E24" s="289">
        <f>'3 - County'!C73</f>
        <v>22673685.783564698</v>
      </c>
      <c r="F24" s="289">
        <f>'3 - County'!C74</f>
        <v>29748369.104308449</v>
      </c>
      <c r="G24" s="289">
        <v>0</v>
      </c>
      <c r="H24" s="398">
        <f>'HSC 33482.78 PTs'!B58</f>
        <v>124536313.2295597</v>
      </c>
      <c r="I24" s="398">
        <f>'HSC 33482.78 PTs'!B61</f>
        <v>13448868.207988514</v>
      </c>
    </row>
    <row r="25" spans="1:9" ht="15.75" thickBot="1" x14ac:dyDescent="0.3">
      <c r="A25" s="305" t="s">
        <v>91</v>
      </c>
      <c r="B25" s="306">
        <f t="shared" ref="B25:G25" si="5">SUM(B23:B24)</f>
        <v>23943614.927004419</v>
      </c>
      <c r="C25" s="306">
        <f t="shared" si="5"/>
        <v>13469919.127245545</v>
      </c>
      <c r="D25" s="306">
        <f t="shared" si="5"/>
        <v>1562178.1331749412</v>
      </c>
      <c r="E25" s="306">
        <f t="shared" si="5"/>
        <v>25193685.783564698</v>
      </c>
      <c r="F25" s="309">
        <f t="shared" si="5"/>
        <v>29748369.104308449</v>
      </c>
      <c r="G25" s="309">
        <f t="shared" si="5"/>
        <v>5850000</v>
      </c>
      <c r="H25" s="309">
        <f t="shared" ref="H25:I25" si="6">SUM(H23:H24)</f>
        <v>124536313.2295597</v>
      </c>
      <c r="I25" s="309">
        <f t="shared" si="6"/>
        <v>13448868.207988514</v>
      </c>
    </row>
    <row r="26" spans="1:9" x14ac:dyDescent="0.25">
      <c r="B26" s="139"/>
      <c r="C26" s="139"/>
      <c r="D26" s="139"/>
      <c r="E26" s="139"/>
      <c r="F26" s="139"/>
      <c r="G26" s="139"/>
    </row>
    <row r="27" spans="1:9" x14ac:dyDescent="0.25">
      <c r="A27" s="432" t="s">
        <v>281</v>
      </c>
      <c r="B27" s="433"/>
      <c r="C27" s="433"/>
      <c r="D27" s="433"/>
      <c r="E27" s="433"/>
      <c r="F27" s="433"/>
      <c r="G27" s="411"/>
      <c r="H27" s="424" t="s">
        <v>326</v>
      </c>
      <c r="I27" s="424"/>
    </row>
    <row r="28" spans="1:9" ht="45" x14ac:dyDescent="0.25">
      <c r="A28" s="284"/>
      <c r="B28" s="168" t="s">
        <v>2</v>
      </c>
      <c r="C28" s="168" t="s">
        <v>3</v>
      </c>
      <c r="D28" s="168" t="s">
        <v>1</v>
      </c>
      <c r="E28" s="169" t="s">
        <v>312</v>
      </c>
      <c r="F28" s="169" t="s">
        <v>317</v>
      </c>
      <c r="G28" s="169" t="s">
        <v>348</v>
      </c>
      <c r="H28" s="168" t="s">
        <v>244</v>
      </c>
      <c r="I28" s="168" t="s">
        <v>245</v>
      </c>
    </row>
    <row r="29" spans="1:9" x14ac:dyDescent="0.25">
      <c r="A29" s="285" t="s">
        <v>90</v>
      </c>
      <c r="B29" s="288">
        <v>0</v>
      </c>
      <c r="C29" s="288">
        <v>0</v>
      </c>
      <c r="D29" s="288">
        <v>0</v>
      </c>
      <c r="E29" s="288">
        <v>0</v>
      </c>
      <c r="F29" s="288">
        <v>0</v>
      </c>
      <c r="G29" s="288">
        <v>0</v>
      </c>
      <c r="H29" s="282">
        <v>0</v>
      </c>
      <c r="I29" s="282">
        <v>0</v>
      </c>
    </row>
    <row r="30" spans="1:9" x14ac:dyDescent="0.25">
      <c r="A30" s="286" t="s">
        <v>100</v>
      </c>
      <c r="B30" s="289">
        <f>'4 - Marina'!C62</f>
        <v>4169706.8799006524</v>
      </c>
      <c r="C30" s="289">
        <f>'4 - Seaside'!C62</f>
        <v>3713077.4867638452</v>
      </c>
      <c r="D30" s="289">
        <f>'4 - DRO'!C55</f>
        <v>1571163.4347278657</v>
      </c>
      <c r="E30" s="289">
        <f>'4 - County'!C73</f>
        <v>21753913.258337766</v>
      </c>
      <c r="F30" s="289">
        <f>'4 - County'!C74</f>
        <v>28574421.907705296</v>
      </c>
      <c r="G30" s="289">
        <v>0</v>
      </c>
      <c r="H30" s="398">
        <f>'HSC 33482.78 PTs'!B77</f>
        <v>97718616.36496906</v>
      </c>
      <c r="I30" s="398">
        <f>'HSC 33482.78 PTs'!B80</f>
        <v>10552816.912101246</v>
      </c>
    </row>
    <row r="31" spans="1:9" ht="15.75" thickBot="1" x14ac:dyDescent="0.3">
      <c r="A31" s="305" t="s">
        <v>91</v>
      </c>
      <c r="B31" s="306">
        <f t="shared" ref="B31:G31" si="7">SUM(B29:B30)</f>
        <v>4169706.8799006524</v>
      </c>
      <c r="C31" s="306">
        <f t="shared" si="7"/>
        <v>3713077.4867638452</v>
      </c>
      <c r="D31" s="306">
        <f t="shared" si="7"/>
        <v>1571163.4347278657</v>
      </c>
      <c r="E31" s="306">
        <f t="shared" si="7"/>
        <v>21753913.258337766</v>
      </c>
      <c r="F31" s="309">
        <f t="shared" si="7"/>
        <v>28574421.907705296</v>
      </c>
      <c r="G31" s="309">
        <f t="shared" si="7"/>
        <v>0</v>
      </c>
      <c r="H31" s="309">
        <f t="shared" ref="H31:I31" si="8">SUM(H29:H30)</f>
        <v>97718616.36496906</v>
      </c>
      <c r="I31" s="309">
        <f t="shared" si="8"/>
        <v>10552816.912101246</v>
      </c>
    </row>
    <row r="32" spans="1:9" x14ac:dyDescent="0.25">
      <c r="B32" s="139"/>
      <c r="C32" s="139"/>
      <c r="D32" s="139"/>
      <c r="E32" s="139"/>
      <c r="F32" s="139"/>
      <c r="G32" s="139"/>
    </row>
    <row r="33" spans="1:9" x14ac:dyDescent="0.25">
      <c r="A33" s="19" t="s">
        <v>318</v>
      </c>
      <c r="B33" s="139"/>
      <c r="C33" s="139"/>
      <c r="D33" s="139"/>
      <c r="E33" s="139"/>
      <c r="F33" s="139"/>
      <c r="G33" s="139"/>
    </row>
    <row r="34" spans="1:9" x14ac:dyDescent="0.25">
      <c r="A34" s="19"/>
      <c r="B34" s="139"/>
      <c r="C34" s="139"/>
      <c r="D34" s="139"/>
      <c r="E34" s="139"/>
      <c r="F34" s="139"/>
      <c r="G34" s="139"/>
    </row>
    <row r="35" spans="1:9" x14ac:dyDescent="0.25">
      <c r="A35" s="1" t="s">
        <v>325</v>
      </c>
      <c r="B35" s="393">
        <f>B25-B19</f>
        <v>19444035.808691628</v>
      </c>
      <c r="C35" s="393">
        <f t="shared" ref="C35:I35" si="9">C25-C19</f>
        <v>9481406.3170190994</v>
      </c>
      <c r="D35" s="393">
        <f t="shared" si="9"/>
        <v>-53607.833122618496</v>
      </c>
      <c r="E35" s="393">
        <f t="shared" si="9"/>
        <v>1995484.6576795094</v>
      </c>
      <c r="F35" s="393">
        <f t="shared" si="9"/>
        <v>-878582.31477884576</v>
      </c>
      <c r="G35" s="393">
        <f t="shared" si="9"/>
        <v>5850000</v>
      </c>
      <c r="H35" s="393">
        <f t="shared" si="9"/>
        <v>26817696.864590645</v>
      </c>
      <c r="I35" s="393">
        <f t="shared" si="9"/>
        <v>2896051.2958872672</v>
      </c>
    </row>
    <row r="36" spans="1:9" x14ac:dyDescent="0.25">
      <c r="A36" s="1"/>
      <c r="B36" s="393"/>
      <c r="C36" s="393"/>
      <c r="D36" s="393"/>
      <c r="E36" s="393"/>
      <c r="F36" s="393"/>
      <c r="G36" s="393"/>
    </row>
    <row r="37" spans="1:9" x14ac:dyDescent="0.25">
      <c r="A37" s="1"/>
      <c r="B37" s="393"/>
      <c r="C37" s="393"/>
      <c r="D37" s="393"/>
      <c r="E37" s="393"/>
      <c r="F37" s="393"/>
      <c r="G37" s="393"/>
    </row>
    <row r="38" spans="1:9" x14ac:dyDescent="0.25">
      <c r="A38" s="25" t="s">
        <v>339</v>
      </c>
      <c r="B38" s="392" t="s">
        <v>340</v>
      </c>
      <c r="C38" s="392" t="s">
        <v>341</v>
      </c>
      <c r="D38" s="392" t="s">
        <v>141</v>
      </c>
      <c r="E38" s="392" t="s">
        <v>142</v>
      </c>
    </row>
    <row r="39" spans="1:9" x14ac:dyDescent="0.25">
      <c r="A39" s="434" t="s">
        <v>349</v>
      </c>
      <c r="B39" s="425">
        <f>'3 - Marina'!C50+'3 - Seaside'!C50+'3 - DRO'!C43+'3 - County'!C48</f>
        <v>2833271.1770200208</v>
      </c>
      <c r="C39" s="425">
        <f>'3 - Marina'!D50+'3 - Seaside'!D50+'3 - DRO'!D43+'3 - County'!D48</f>
        <v>1653757.790364272</v>
      </c>
      <c r="D39" s="425">
        <f>'3 - Marina'!E50+'3 - Seaside'!E50+'3 - DRO'!E43+'3 - County'!E48</f>
        <v>2384020.7081350684</v>
      </c>
      <c r="E39" s="425">
        <f>'3 - Marina'!F50+'3 - Seaside'!F50+'3 - DRO'!F43+'3 - County'!F48</f>
        <v>3473359.2634448507</v>
      </c>
    </row>
    <row r="40" spans="1:9" x14ac:dyDescent="0.25">
      <c r="A40" s="434"/>
      <c r="B40" s="425"/>
      <c r="C40" s="425"/>
      <c r="D40" s="425"/>
      <c r="E40" s="425"/>
    </row>
    <row r="41" spans="1:9" x14ac:dyDescent="0.25">
      <c r="A41" s="434" t="s">
        <v>350</v>
      </c>
      <c r="B41" s="435">
        <f>'4 - Marina'!C50+'4 - Seaside'!C50+'4 - DRO'!C43+'4 - County'!C48</f>
        <v>2833271.1770200208</v>
      </c>
      <c r="C41" s="435">
        <f>'4 - Marina'!D50+'4 - Seaside'!D50+'4 - DRO'!D43+'4 - County'!D48</f>
        <v>3663055.0269885226</v>
      </c>
      <c r="D41" s="435">
        <f>'4 - Marina'!E50+'4 - Seaside'!E50+'4 - DRO'!E43+'4 - County'!E48</f>
        <v>4332026.5733908117</v>
      </c>
      <c r="E41" s="435">
        <f>'4 - Marina'!F50+'4 - Seaside'!F50+'4 - DRO'!F43+'4 - County'!F48</f>
        <v>4872211.6513085328</v>
      </c>
    </row>
    <row r="42" spans="1:9" x14ac:dyDescent="0.25">
      <c r="A42" s="434"/>
      <c r="B42" s="436"/>
      <c r="C42" s="436"/>
      <c r="D42" s="436"/>
      <c r="E42" s="436"/>
    </row>
    <row r="43" spans="1:9" x14ac:dyDescent="0.25">
      <c r="A43" s="1" t="s">
        <v>342</v>
      </c>
      <c r="B43" s="166">
        <f>B41-B39</f>
        <v>0</v>
      </c>
      <c r="C43" s="166">
        <f t="shared" ref="C43:E43" si="10">C41-C39</f>
        <v>2009297.2366242507</v>
      </c>
      <c r="D43" s="166">
        <f t="shared" si="10"/>
        <v>1948005.8652557433</v>
      </c>
      <c r="E43" s="166">
        <f t="shared" si="10"/>
        <v>1398852.3878636821</v>
      </c>
    </row>
  </sheetData>
  <mergeCells count="18">
    <mergeCell ref="A41:A42"/>
    <mergeCell ref="D39:D40"/>
    <mergeCell ref="E39:E40"/>
    <mergeCell ref="D41:D42"/>
    <mergeCell ref="E41:E42"/>
    <mergeCell ref="B41:B42"/>
    <mergeCell ref="C41:C42"/>
    <mergeCell ref="A39:A40"/>
    <mergeCell ref="H9:I9"/>
    <mergeCell ref="H15:I15"/>
    <mergeCell ref="H21:I21"/>
    <mergeCell ref="H27:I27"/>
    <mergeCell ref="B39:B40"/>
    <mergeCell ref="C39:C40"/>
    <mergeCell ref="A9:F9"/>
    <mergeCell ref="A15:F15"/>
    <mergeCell ref="A21:F21"/>
    <mergeCell ref="A27:F27"/>
  </mergeCells>
  <conditionalFormatting sqref="B25 B19 B13">
    <cfRule type="cellIs" dxfId="21" priority="23" operator="equal">
      <formula>MAX($B$13,$B$19,$B$25)</formula>
    </cfRule>
  </conditionalFormatting>
  <conditionalFormatting sqref="C25 C19 C13">
    <cfRule type="cellIs" dxfId="20" priority="22" operator="equal">
      <formula>MAX($C$13,$C$19,$C$25)</formula>
    </cfRule>
  </conditionalFormatting>
  <conditionalFormatting sqref="D25 D19 D13">
    <cfRule type="cellIs" dxfId="19" priority="21" operator="equal">
      <formula>MAX($D$13,$D$19,$D$25)</formula>
    </cfRule>
  </conditionalFormatting>
  <conditionalFormatting sqref="E25 E19 E13">
    <cfRule type="cellIs" dxfId="18" priority="20" operator="equal">
      <formula>MAX($E$13,$E$19,$E$25)</formula>
    </cfRule>
  </conditionalFormatting>
  <conditionalFormatting sqref="B31">
    <cfRule type="cellIs" dxfId="17" priority="18" operator="equal">
      <formula>MAX($B$13,$B$19,$B$25)</formula>
    </cfRule>
  </conditionalFormatting>
  <conditionalFormatting sqref="C31">
    <cfRule type="cellIs" dxfId="16" priority="17" operator="equal">
      <formula>MAX($C$13,$C$19,$C$25)</formula>
    </cfRule>
  </conditionalFormatting>
  <conditionalFormatting sqref="D31">
    <cfRule type="cellIs" dxfId="15" priority="16" operator="equal">
      <formula>MAX($D$13,$D$19,$D$25)</formula>
    </cfRule>
  </conditionalFormatting>
  <conditionalFormatting sqref="E31">
    <cfRule type="cellIs" dxfId="14" priority="15" operator="equal">
      <formula>MAX($E$13,$E$19,$E$25)</formula>
    </cfRule>
  </conditionalFormatting>
  <conditionalFormatting sqref="F13:I13">
    <cfRule type="cellIs" dxfId="13" priority="8" operator="equal">
      <formula>MAX($F$13,$F$19,$F$25,$F$31)</formula>
    </cfRule>
    <cfRule type="cellIs" dxfId="12" priority="12" operator="equal">
      <formula>MAX($E$13,$E$19,$E$25)</formula>
    </cfRule>
  </conditionalFormatting>
  <conditionalFormatting sqref="F19:I19">
    <cfRule type="cellIs" dxfId="11" priority="7" operator="equal">
      <formula>MAX($F$13,$F$19,$F$25,$F$31)</formula>
    </cfRule>
    <cfRule type="cellIs" dxfId="10" priority="11" operator="equal">
      <formula>MAX($E$13,$E$19,$E$25)</formula>
    </cfRule>
  </conditionalFormatting>
  <conditionalFormatting sqref="F25:I25">
    <cfRule type="cellIs" dxfId="9" priority="6" operator="equal">
      <formula>MAX($F$13,$F$19,$F$25,$F$31)</formula>
    </cfRule>
    <cfRule type="cellIs" dxfId="8" priority="10" operator="equal">
      <formula>MAX($E$13,$E$19,$E$25)</formula>
    </cfRule>
  </conditionalFormatting>
  <conditionalFormatting sqref="F31:I31">
    <cfRule type="cellIs" dxfId="7" priority="5" operator="equal">
      <formula>MAX($F$13,$F$19,$F$25,$F$31)</formula>
    </cfRule>
    <cfRule type="cellIs" dxfId="6" priority="9" operator="equal">
      <formula>MAX($E$13,$E$19,$E$25)</formula>
    </cfRule>
  </conditionalFormatting>
  <conditionalFormatting sqref="G13">
    <cfRule type="cellIs" dxfId="5" priority="4" operator="equal">
      <formula>MAX($G$13,$G$19,$G$25,$G$31)</formula>
    </cfRule>
  </conditionalFormatting>
  <conditionalFormatting sqref="G19">
    <cfRule type="cellIs" dxfId="4" priority="3" operator="equal">
      <formula>MAX($G$13,$G$19,$G$25,$G$31)</formula>
    </cfRule>
  </conditionalFormatting>
  <conditionalFormatting sqref="G25">
    <cfRule type="cellIs" dxfId="3" priority="2" operator="equal">
      <formula>MAX($G$13,$G$19,$G$25,$G$31)</formula>
    </cfRule>
  </conditionalFormatting>
  <conditionalFormatting sqref="G31">
    <cfRule type="cellIs" dxfId="2" priority="1" operator="equal">
      <formula>MAX($G$13,$G$19,$G$25,$G$31)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AJ69"/>
  <sheetViews>
    <sheetView showGridLines="0" zoomScale="85" zoomScaleNormal="85" workbookViewId="0">
      <selection activeCell="E8" sqref="E8:N8"/>
    </sheetView>
  </sheetViews>
  <sheetFormatPr defaultColWidth="8.85546875" defaultRowHeight="15" x14ac:dyDescent="0.25"/>
  <cols>
    <col min="1" max="1" width="64.28515625" customWidth="1"/>
    <col min="2" max="2" width="15.28515625" customWidth="1"/>
    <col min="3" max="32" width="13.28515625" customWidth="1"/>
    <col min="33" max="33" width="4.28515625" style="226" bestFit="1" customWidth="1"/>
    <col min="34" max="34" width="16.7109375" style="237" customWidth="1"/>
    <col min="35" max="35" width="13.85546875" customWidth="1"/>
  </cols>
  <sheetData>
    <row r="1" spans="1:36" ht="18.75" x14ac:dyDescent="0.3">
      <c r="A1" s="53" t="s">
        <v>56</v>
      </c>
    </row>
    <row r="2" spans="1:36" ht="18.75" x14ac:dyDescent="0.3">
      <c r="A2" s="54" t="s">
        <v>106</v>
      </c>
    </row>
    <row r="3" spans="1:36" ht="18.75" x14ac:dyDescent="0.3">
      <c r="A3" s="54"/>
    </row>
    <row r="4" spans="1:36" ht="18.75" x14ac:dyDescent="0.3">
      <c r="A4" s="55" t="s">
        <v>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</row>
    <row r="5" spans="1:36" ht="15.75" x14ac:dyDescent="0.25">
      <c r="A5" s="391" t="s">
        <v>319</v>
      </c>
      <c r="B5" s="390">
        <v>0</v>
      </c>
      <c r="AI5" s="264"/>
    </row>
    <row r="6" spans="1:36" x14ac:dyDescent="0.25">
      <c r="A6" s="52"/>
      <c r="B6" s="257"/>
      <c r="C6" s="449" t="s">
        <v>59</v>
      </c>
      <c r="D6" s="449"/>
      <c r="E6" s="443" t="s">
        <v>60</v>
      </c>
      <c r="F6" s="443"/>
      <c r="G6" s="443"/>
      <c r="H6" s="443"/>
      <c r="I6" s="443"/>
      <c r="J6" s="443"/>
      <c r="K6" s="443"/>
      <c r="L6" s="443"/>
      <c r="M6" s="443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I6" s="265"/>
    </row>
    <row r="7" spans="1:36" x14ac:dyDescent="0.25">
      <c r="A7" s="258" t="s">
        <v>92</v>
      </c>
      <c r="B7" s="259" t="s">
        <v>9</v>
      </c>
      <c r="C7" s="97">
        <v>201819</v>
      </c>
      <c r="D7" s="97">
        <f t="shared" ref="D7:AF7" si="0">C7+101</f>
        <v>201920</v>
      </c>
      <c r="E7" s="337">
        <f t="shared" si="0"/>
        <v>202021</v>
      </c>
      <c r="F7" s="337">
        <f t="shared" si="0"/>
        <v>202122</v>
      </c>
      <c r="G7" s="337">
        <f t="shared" si="0"/>
        <v>202223</v>
      </c>
      <c r="H7" s="337">
        <f t="shared" si="0"/>
        <v>202324</v>
      </c>
      <c r="I7" s="337">
        <f t="shared" si="0"/>
        <v>202425</v>
      </c>
      <c r="J7" s="337">
        <f t="shared" si="0"/>
        <v>202526</v>
      </c>
      <c r="K7" s="337">
        <f>J7+101</f>
        <v>202627</v>
      </c>
      <c r="L7" s="337">
        <f t="shared" si="0"/>
        <v>202728</v>
      </c>
      <c r="M7" s="337">
        <f t="shared" si="0"/>
        <v>202829</v>
      </c>
      <c r="N7" s="337">
        <f t="shared" si="0"/>
        <v>202930</v>
      </c>
      <c r="O7" s="337">
        <f t="shared" si="0"/>
        <v>203031</v>
      </c>
      <c r="P7" s="337">
        <f t="shared" si="0"/>
        <v>203132</v>
      </c>
      <c r="Q7" s="337">
        <f t="shared" si="0"/>
        <v>203233</v>
      </c>
      <c r="R7" s="337">
        <f t="shared" si="0"/>
        <v>203334</v>
      </c>
      <c r="S7" s="337">
        <f t="shared" si="0"/>
        <v>203435</v>
      </c>
      <c r="T7" s="337">
        <f t="shared" si="0"/>
        <v>203536</v>
      </c>
      <c r="U7" s="337">
        <f t="shared" si="0"/>
        <v>203637</v>
      </c>
      <c r="V7" s="337">
        <f t="shared" si="0"/>
        <v>203738</v>
      </c>
      <c r="W7" s="337">
        <f t="shared" si="0"/>
        <v>203839</v>
      </c>
      <c r="X7" s="337">
        <f t="shared" si="0"/>
        <v>203940</v>
      </c>
      <c r="Y7" s="337">
        <f t="shared" si="0"/>
        <v>204041</v>
      </c>
      <c r="Z7" s="337">
        <f t="shared" si="0"/>
        <v>204142</v>
      </c>
      <c r="AA7" s="337">
        <f t="shared" si="0"/>
        <v>204243</v>
      </c>
      <c r="AB7" s="337">
        <f t="shared" si="0"/>
        <v>204344</v>
      </c>
      <c r="AC7" s="337">
        <f t="shared" si="0"/>
        <v>204445</v>
      </c>
      <c r="AD7" s="337">
        <f t="shared" si="0"/>
        <v>204546</v>
      </c>
      <c r="AE7" s="337">
        <f t="shared" si="0"/>
        <v>204647</v>
      </c>
      <c r="AF7" s="337">
        <f t="shared" si="0"/>
        <v>204748</v>
      </c>
      <c r="AG7" s="227"/>
      <c r="AH7" s="238"/>
      <c r="AI7" s="265"/>
    </row>
    <row r="8" spans="1:36" x14ac:dyDescent="0.25">
      <c r="A8" s="139" t="s">
        <v>43</v>
      </c>
      <c r="B8" s="260">
        <v>533000</v>
      </c>
      <c r="C8" s="247">
        <v>192</v>
      </c>
      <c r="D8" s="247">
        <v>235</v>
      </c>
      <c r="E8" s="60">
        <v>40</v>
      </c>
      <c r="F8" s="60">
        <v>50</v>
      </c>
      <c r="G8" s="60">
        <v>125</v>
      </c>
      <c r="H8" s="60">
        <v>164</v>
      </c>
      <c r="I8" s="60">
        <v>109</v>
      </c>
      <c r="J8" s="60">
        <v>25</v>
      </c>
      <c r="K8" s="60">
        <v>22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60">
        <v>0</v>
      </c>
      <c r="AD8" s="60">
        <v>0</v>
      </c>
      <c r="AE8" s="60">
        <v>0</v>
      </c>
      <c r="AF8" s="60">
        <v>0</v>
      </c>
      <c r="AG8" s="227"/>
      <c r="AH8" s="238"/>
      <c r="AI8" s="265"/>
    </row>
    <row r="9" spans="1:36" x14ac:dyDescent="0.25">
      <c r="A9" s="139" t="s">
        <v>44</v>
      </c>
      <c r="B9" s="261">
        <v>220</v>
      </c>
      <c r="C9" s="247">
        <v>0</v>
      </c>
      <c r="D9" s="247">
        <v>23000</v>
      </c>
      <c r="E9" s="60">
        <v>0</v>
      </c>
      <c r="F9" s="60">
        <v>0</v>
      </c>
      <c r="G9" s="60"/>
      <c r="H9" s="60"/>
      <c r="I9" s="60">
        <v>100000</v>
      </c>
      <c r="J9" s="60"/>
      <c r="K9" s="60"/>
      <c r="L9" s="60">
        <v>50000</v>
      </c>
      <c r="M9" s="60">
        <v>50000</v>
      </c>
      <c r="N9" s="60">
        <v>50000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60">
        <v>0</v>
      </c>
      <c r="AD9" s="60">
        <v>0</v>
      </c>
      <c r="AE9" s="60">
        <v>0</v>
      </c>
      <c r="AF9" s="60">
        <v>0</v>
      </c>
      <c r="AG9" s="227"/>
      <c r="AH9" s="238"/>
      <c r="AI9" s="265"/>
    </row>
    <row r="10" spans="1:36" x14ac:dyDescent="0.25">
      <c r="A10" s="139" t="s">
        <v>45</v>
      </c>
      <c r="B10" s="261">
        <v>90</v>
      </c>
      <c r="C10" s="247">
        <v>0</v>
      </c>
      <c r="D10" s="247">
        <v>0</v>
      </c>
      <c r="E10" s="60"/>
      <c r="F10" s="60"/>
      <c r="G10" s="60">
        <v>10000</v>
      </c>
      <c r="H10" s="60">
        <v>10000</v>
      </c>
      <c r="I10" s="60">
        <v>10000</v>
      </c>
      <c r="J10" s="60">
        <v>10000</v>
      </c>
      <c r="K10" s="60">
        <v>10000</v>
      </c>
      <c r="L10" s="60">
        <v>10000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C10" s="60">
        <v>0</v>
      </c>
      <c r="AD10" s="60">
        <v>0</v>
      </c>
      <c r="AE10" s="60">
        <v>0</v>
      </c>
      <c r="AF10" s="60">
        <v>0</v>
      </c>
      <c r="AG10" s="334"/>
      <c r="AH10" s="444" t="s">
        <v>197</v>
      </c>
      <c r="AI10" s="265"/>
    </row>
    <row r="11" spans="1:36" ht="15" customHeight="1" x14ac:dyDescent="0.25">
      <c r="A11" s="139" t="s">
        <v>46</v>
      </c>
      <c r="B11" s="261">
        <v>265</v>
      </c>
      <c r="C11" s="247">
        <v>0</v>
      </c>
      <c r="D11" s="247">
        <v>20000</v>
      </c>
      <c r="E11" s="60">
        <v>0</v>
      </c>
      <c r="F11" s="60">
        <v>0</v>
      </c>
      <c r="G11" s="60">
        <v>0</v>
      </c>
      <c r="H11" s="60">
        <v>10000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60">
        <v>0</v>
      </c>
      <c r="AD11" s="60">
        <v>0</v>
      </c>
      <c r="AE11" s="60">
        <v>0</v>
      </c>
      <c r="AF11" s="60">
        <v>0</v>
      </c>
      <c r="AG11" s="334"/>
      <c r="AH11" s="444"/>
      <c r="AI11" s="143"/>
    </row>
    <row r="12" spans="1:36" ht="26.25" x14ac:dyDescent="0.25">
      <c r="A12" s="139" t="s">
        <v>47</v>
      </c>
      <c r="B12" s="262">
        <v>162000</v>
      </c>
      <c r="C12" s="249">
        <v>0</v>
      </c>
      <c r="D12" s="249">
        <v>0</v>
      </c>
      <c r="E12" s="60">
        <v>368</v>
      </c>
      <c r="F12" s="60">
        <v>0</v>
      </c>
      <c r="G12" s="60">
        <v>330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60">
        <v>0</v>
      </c>
      <c r="AD12" s="60">
        <v>0</v>
      </c>
      <c r="AE12" s="60">
        <v>0</v>
      </c>
      <c r="AF12" s="60">
        <v>0</v>
      </c>
      <c r="AG12" s="334" t="s">
        <v>189</v>
      </c>
      <c r="AH12" s="444"/>
      <c r="AI12" s="152"/>
    </row>
    <row r="13" spans="1:36" x14ac:dyDescent="0.25">
      <c r="A13" s="37" t="s">
        <v>49</v>
      </c>
      <c r="B13" s="24"/>
      <c r="C13" s="318">
        <v>1622985</v>
      </c>
      <c r="D13" s="205">
        <v>165612790</v>
      </c>
      <c r="E13" s="347">
        <f>SUMPRODUCT($B$8:$B$12,E8:E12)*(1-$B$5)</f>
        <v>80936000</v>
      </c>
      <c r="F13" s="302">
        <f>SUMPRODUCT($B$8:$B$12,F8:F12)*(1-$B$5)</f>
        <v>26650000</v>
      </c>
      <c r="G13" s="302">
        <f t="shared" ref="G13:AF13" si="1">SUMPRODUCT($B$8:$B$12,G8:G12)*(1-$B$5)</f>
        <v>120985000</v>
      </c>
      <c r="H13" s="302">
        <f t="shared" si="1"/>
        <v>90962000</v>
      </c>
      <c r="I13" s="302">
        <f t="shared" si="1"/>
        <v>80997000</v>
      </c>
      <c r="J13" s="302">
        <f t="shared" si="1"/>
        <v>14225000</v>
      </c>
      <c r="K13" s="302">
        <f t="shared" si="1"/>
        <v>12626000</v>
      </c>
      <c r="L13" s="302">
        <f t="shared" si="1"/>
        <v>11900000</v>
      </c>
      <c r="M13" s="302">
        <f t="shared" si="1"/>
        <v>11000000</v>
      </c>
      <c r="N13" s="302">
        <f t="shared" si="1"/>
        <v>11000000</v>
      </c>
      <c r="O13" s="302">
        <f t="shared" si="1"/>
        <v>0</v>
      </c>
      <c r="P13" s="302">
        <f t="shared" si="1"/>
        <v>0</v>
      </c>
      <c r="Q13" s="302">
        <f t="shared" si="1"/>
        <v>0</v>
      </c>
      <c r="R13" s="302">
        <f t="shared" si="1"/>
        <v>0</v>
      </c>
      <c r="S13" s="302">
        <f t="shared" si="1"/>
        <v>0</v>
      </c>
      <c r="T13" s="302">
        <f t="shared" si="1"/>
        <v>0</v>
      </c>
      <c r="U13" s="302">
        <f t="shared" si="1"/>
        <v>0</v>
      </c>
      <c r="V13" s="302">
        <f t="shared" si="1"/>
        <v>0</v>
      </c>
      <c r="W13" s="302">
        <f t="shared" si="1"/>
        <v>0</v>
      </c>
      <c r="X13" s="302">
        <f t="shared" si="1"/>
        <v>0</v>
      </c>
      <c r="Y13" s="302">
        <f t="shared" si="1"/>
        <v>0</v>
      </c>
      <c r="Z13" s="302">
        <f t="shared" si="1"/>
        <v>0</v>
      </c>
      <c r="AA13" s="302">
        <f t="shared" si="1"/>
        <v>0</v>
      </c>
      <c r="AB13" s="302">
        <f t="shared" si="1"/>
        <v>0</v>
      </c>
      <c r="AC13" s="302">
        <f t="shared" si="1"/>
        <v>0</v>
      </c>
      <c r="AD13" s="302">
        <f t="shared" si="1"/>
        <v>0</v>
      </c>
      <c r="AE13" s="302">
        <f t="shared" si="1"/>
        <v>0</v>
      </c>
      <c r="AF13" s="302">
        <f t="shared" si="1"/>
        <v>0</v>
      </c>
      <c r="AG13" s="229" t="s">
        <v>143</v>
      </c>
      <c r="AH13" s="239"/>
      <c r="AI13" s="143"/>
      <c r="AJ13" s="24"/>
    </row>
    <row r="14" spans="1:36" x14ac:dyDescent="0.25">
      <c r="A14" t="s">
        <v>97</v>
      </c>
      <c r="C14" s="319">
        <f>C16-C13-C15</f>
        <v>366312020.5882355</v>
      </c>
      <c r="D14" s="205">
        <f>C16</f>
        <v>375261246</v>
      </c>
      <c r="E14" s="144">
        <f>D16</f>
        <v>548379260.91999996</v>
      </c>
      <c r="F14" s="144">
        <f>E16</f>
        <v>640282846.13839996</v>
      </c>
      <c r="G14" s="144">
        <f t="shared" ref="G14:AF14" si="2">F16</f>
        <v>679738503.06116796</v>
      </c>
      <c r="H14" s="144">
        <f t="shared" si="2"/>
        <v>814318273.12239134</v>
      </c>
      <c r="I14" s="144">
        <f t="shared" si="2"/>
        <v>921566638.58483922</v>
      </c>
      <c r="J14" s="144">
        <f t="shared" si="2"/>
        <v>1020994971.356536</v>
      </c>
      <c r="K14" s="144">
        <f t="shared" si="2"/>
        <v>1055639870.7836667</v>
      </c>
      <c r="L14" s="144">
        <f t="shared" si="2"/>
        <v>1089378668.1993401</v>
      </c>
      <c r="M14" s="144">
        <f t="shared" si="2"/>
        <v>1123066241.5633268</v>
      </c>
      <c r="N14" s="144">
        <f t="shared" si="2"/>
        <v>1156527566.3945935</v>
      </c>
      <c r="O14" s="144">
        <f t="shared" si="2"/>
        <v>1190658117.7224853</v>
      </c>
      <c r="P14" s="144">
        <f t="shared" si="2"/>
        <v>1214471280.0769351</v>
      </c>
      <c r="Q14" s="144">
        <f t="shared" si="2"/>
        <v>1238760705.6784737</v>
      </c>
      <c r="R14" s="144">
        <f t="shared" si="2"/>
        <v>1263535919.7920432</v>
      </c>
      <c r="S14" s="144">
        <f t="shared" si="2"/>
        <v>1288806638.1878841</v>
      </c>
      <c r="T14" s="144">
        <f t="shared" si="2"/>
        <v>1314582770.9516418</v>
      </c>
      <c r="U14" s="144">
        <f t="shared" si="2"/>
        <v>1340874426.3706746</v>
      </c>
      <c r="V14" s="144">
        <f t="shared" si="2"/>
        <v>1367691914.8980882</v>
      </c>
      <c r="W14" s="144">
        <f t="shared" si="2"/>
        <v>1395045753.1960499</v>
      </c>
      <c r="X14" s="144">
        <f t="shared" si="2"/>
        <v>1422946668.2599709</v>
      </c>
      <c r="Y14" s="144">
        <f t="shared" si="2"/>
        <v>1451405601.6251702</v>
      </c>
      <c r="Z14" s="144">
        <f t="shared" si="2"/>
        <v>1480433713.6576736</v>
      </c>
      <c r="AA14" s="144">
        <f t="shared" si="2"/>
        <v>1510042387.9308271</v>
      </c>
      <c r="AB14" s="144">
        <f t="shared" si="2"/>
        <v>1540243235.6894436</v>
      </c>
      <c r="AC14" s="144">
        <f t="shared" si="2"/>
        <v>1571048100.4032326</v>
      </c>
      <c r="AD14" s="144">
        <f t="shared" si="2"/>
        <v>1602469062.4112973</v>
      </c>
      <c r="AE14" s="144">
        <f t="shared" si="2"/>
        <v>1634518443.6595232</v>
      </c>
      <c r="AF14" s="144">
        <f t="shared" si="2"/>
        <v>1667208812.5327137</v>
      </c>
      <c r="AG14" s="227" t="s">
        <v>145</v>
      </c>
      <c r="AH14" s="238"/>
      <c r="AI14" s="152"/>
    </row>
    <row r="15" spans="1:36" x14ac:dyDescent="0.25">
      <c r="A15" t="s">
        <v>94</v>
      </c>
      <c r="B15" s="8"/>
      <c r="C15" s="320">
        <v>7326240.4117645184</v>
      </c>
      <c r="D15" s="206">
        <f>D14*0.02</f>
        <v>7505224.9199999999</v>
      </c>
      <c r="E15" s="132">
        <f>E14*0.02</f>
        <v>10967585.2184</v>
      </c>
      <c r="F15" s="132">
        <f t="shared" ref="F15:AF15" si="3">F14*0.02</f>
        <v>12805656.922767999</v>
      </c>
      <c r="G15" s="132">
        <f t="shared" si="3"/>
        <v>13594770.06122336</v>
      </c>
      <c r="H15" s="132">
        <f t="shared" si="3"/>
        <v>16286365.462447828</v>
      </c>
      <c r="I15" s="132">
        <f t="shared" si="3"/>
        <v>18431332.771696784</v>
      </c>
      <c r="J15" s="132">
        <f t="shared" si="3"/>
        <v>20419899.427130722</v>
      </c>
      <c r="K15" s="132">
        <f t="shared" si="3"/>
        <v>21112797.415673334</v>
      </c>
      <c r="L15" s="132">
        <f t="shared" si="3"/>
        <v>21787573.363986801</v>
      </c>
      <c r="M15" s="132">
        <f t="shared" si="3"/>
        <v>22461324.831266537</v>
      </c>
      <c r="N15" s="132">
        <f t="shared" si="3"/>
        <v>23130551.327891871</v>
      </c>
      <c r="O15" s="132">
        <f t="shared" si="3"/>
        <v>23813162.354449708</v>
      </c>
      <c r="P15" s="132">
        <f t="shared" si="3"/>
        <v>24289425.601538703</v>
      </c>
      <c r="Q15" s="132">
        <f t="shared" si="3"/>
        <v>24775214.113569476</v>
      </c>
      <c r="R15" s="132">
        <f t="shared" si="3"/>
        <v>25270718.395840865</v>
      </c>
      <c r="S15" s="132">
        <f t="shared" si="3"/>
        <v>25776132.763757683</v>
      </c>
      <c r="T15" s="132">
        <f t="shared" si="3"/>
        <v>26291655.419032838</v>
      </c>
      <c r="U15" s="132">
        <f t="shared" si="3"/>
        <v>26817488.527413491</v>
      </c>
      <c r="V15" s="132">
        <f t="shared" si="3"/>
        <v>27353838.297961764</v>
      </c>
      <c r="W15" s="132">
        <f t="shared" si="3"/>
        <v>27900915.063921001</v>
      </c>
      <c r="X15" s="132">
        <f t="shared" si="3"/>
        <v>28458933.365199417</v>
      </c>
      <c r="Y15" s="132">
        <f t="shared" si="3"/>
        <v>29028112.032503404</v>
      </c>
      <c r="Z15" s="132">
        <f t="shared" si="3"/>
        <v>29608674.273153473</v>
      </c>
      <c r="AA15" s="132">
        <f t="shared" si="3"/>
        <v>30200847.758616544</v>
      </c>
      <c r="AB15" s="132">
        <f t="shared" si="3"/>
        <v>30804864.713788871</v>
      </c>
      <c r="AC15" s="132">
        <f t="shared" si="3"/>
        <v>31420962.008064654</v>
      </c>
      <c r="AD15" s="132">
        <f t="shared" si="3"/>
        <v>32049381.248225946</v>
      </c>
      <c r="AE15" s="132">
        <f t="shared" si="3"/>
        <v>32690368.873190466</v>
      </c>
      <c r="AF15" s="132">
        <f t="shared" si="3"/>
        <v>33344176.250654273</v>
      </c>
      <c r="AG15" s="227" t="s">
        <v>146</v>
      </c>
      <c r="AH15" s="238"/>
      <c r="AI15" s="152"/>
    </row>
    <row r="16" spans="1:36" x14ac:dyDescent="0.25">
      <c r="A16" t="s">
        <v>203</v>
      </c>
      <c r="C16" s="82">
        <f>C20/B20</f>
        <v>375261246</v>
      </c>
      <c r="D16" s="207">
        <f t="shared" ref="D16:AF16" si="4">D13+D14+D15</f>
        <v>548379260.91999996</v>
      </c>
      <c r="E16" s="82">
        <f t="shared" si="4"/>
        <v>640282846.13839996</v>
      </c>
      <c r="F16" s="82">
        <f t="shared" si="4"/>
        <v>679738503.06116796</v>
      </c>
      <c r="G16" s="82">
        <f t="shared" si="4"/>
        <v>814318273.12239134</v>
      </c>
      <c r="H16" s="82">
        <f t="shared" si="4"/>
        <v>921566638.58483922</v>
      </c>
      <c r="I16" s="82">
        <f t="shared" si="4"/>
        <v>1020994971.356536</v>
      </c>
      <c r="J16" s="82">
        <f t="shared" si="4"/>
        <v>1055639870.7836667</v>
      </c>
      <c r="K16" s="82">
        <f t="shared" si="4"/>
        <v>1089378668.1993401</v>
      </c>
      <c r="L16" s="82">
        <f t="shared" si="4"/>
        <v>1123066241.5633268</v>
      </c>
      <c r="M16" s="82">
        <f t="shared" si="4"/>
        <v>1156527566.3945935</v>
      </c>
      <c r="N16" s="82">
        <f t="shared" si="4"/>
        <v>1190658117.7224853</v>
      </c>
      <c r="O16" s="82">
        <f t="shared" si="4"/>
        <v>1214471280.0769351</v>
      </c>
      <c r="P16" s="82">
        <f t="shared" si="4"/>
        <v>1238760705.6784737</v>
      </c>
      <c r="Q16" s="82">
        <f t="shared" si="4"/>
        <v>1263535919.7920432</v>
      </c>
      <c r="R16" s="82">
        <f t="shared" si="4"/>
        <v>1288806638.1878841</v>
      </c>
      <c r="S16" s="82">
        <f t="shared" si="4"/>
        <v>1314582770.9516418</v>
      </c>
      <c r="T16" s="82">
        <f t="shared" si="4"/>
        <v>1340874426.3706746</v>
      </c>
      <c r="U16" s="82">
        <f t="shared" si="4"/>
        <v>1367691914.8980882</v>
      </c>
      <c r="V16" s="82">
        <f t="shared" si="4"/>
        <v>1395045753.1960499</v>
      </c>
      <c r="W16" s="82">
        <f t="shared" si="4"/>
        <v>1422946668.2599709</v>
      </c>
      <c r="X16" s="82">
        <f t="shared" si="4"/>
        <v>1451405601.6251702</v>
      </c>
      <c r="Y16" s="82">
        <f t="shared" si="4"/>
        <v>1480433713.6576736</v>
      </c>
      <c r="Z16" s="82">
        <f t="shared" si="4"/>
        <v>1510042387.9308271</v>
      </c>
      <c r="AA16" s="82">
        <f t="shared" si="4"/>
        <v>1540243235.6894436</v>
      </c>
      <c r="AB16" s="82">
        <f t="shared" si="4"/>
        <v>1571048100.4032326</v>
      </c>
      <c r="AC16" s="82">
        <f t="shared" si="4"/>
        <v>1602469062.4112973</v>
      </c>
      <c r="AD16" s="82">
        <f t="shared" si="4"/>
        <v>1634518443.6595232</v>
      </c>
      <c r="AE16" s="82">
        <f t="shared" si="4"/>
        <v>1667208812.5327137</v>
      </c>
      <c r="AF16" s="82">
        <f t="shared" si="4"/>
        <v>1700552988.7833679</v>
      </c>
      <c r="AG16" s="335" t="s">
        <v>176</v>
      </c>
      <c r="AH16" s="240" t="s">
        <v>190</v>
      </c>
      <c r="AI16" s="152"/>
    </row>
    <row r="17" spans="1:35" x14ac:dyDescent="0.25">
      <c r="A17" t="s">
        <v>12</v>
      </c>
      <c r="C17" s="146">
        <f t="shared" ref="C17:AF17" si="5">-$B$6</f>
        <v>0</v>
      </c>
      <c r="D17" s="208">
        <f t="shared" si="5"/>
        <v>0</v>
      </c>
      <c r="E17" s="56">
        <f t="shared" si="5"/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  <c r="Z17" s="56">
        <f t="shared" si="5"/>
        <v>0</v>
      </c>
      <c r="AA17" s="56">
        <f t="shared" si="5"/>
        <v>0</v>
      </c>
      <c r="AB17" s="56">
        <f t="shared" si="5"/>
        <v>0</v>
      </c>
      <c r="AC17" s="56">
        <f t="shared" si="5"/>
        <v>0</v>
      </c>
      <c r="AD17" s="56">
        <f t="shared" si="5"/>
        <v>0</v>
      </c>
      <c r="AE17" s="56">
        <f t="shared" si="5"/>
        <v>0</v>
      </c>
      <c r="AF17" s="56">
        <f t="shared" si="5"/>
        <v>0</v>
      </c>
      <c r="AG17" s="227" t="s">
        <v>144</v>
      </c>
      <c r="AH17" s="238" t="s">
        <v>144</v>
      </c>
      <c r="AI17" s="152"/>
    </row>
    <row r="18" spans="1:35" x14ac:dyDescent="0.25">
      <c r="A18" s="1" t="s">
        <v>51</v>
      </c>
      <c r="C18" s="96">
        <f>C20/B20</f>
        <v>375261246</v>
      </c>
      <c r="D18" s="209">
        <f t="shared" ref="D18:AF18" si="6">SUM(D16:D17)</f>
        <v>548379260.91999996</v>
      </c>
      <c r="E18" s="70">
        <f t="shared" si="6"/>
        <v>640282846.13839996</v>
      </c>
      <c r="F18" s="70">
        <f t="shared" si="6"/>
        <v>679738503.06116796</v>
      </c>
      <c r="G18" s="70">
        <f t="shared" si="6"/>
        <v>814318273.12239134</v>
      </c>
      <c r="H18" s="70">
        <f t="shared" si="6"/>
        <v>921566638.58483922</v>
      </c>
      <c r="I18" s="70">
        <f t="shared" si="6"/>
        <v>1020994971.356536</v>
      </c>
      <c r="J18" s="70">
        <f t="shared" si="6"/>
        <v>1055639870.7836667</v>
      </c>
      <c r="K18" s="70">
        <f t="shared" si="6"/>
        <v>1089378668.1993401</v>
      </c>
      <c r="L18" s="70">
        <f t="shared" si="6"/>
        <v>1123066241.5633268</v>
      </c>
      <c r="M18" s="70">
        <f t="shared" si="6"/>
        <v>1156527566.3945935</v>
      </c>
      <c r="N18" s="70">
        <f t="shared" si="6"/>
        <v>1190658117.7224853</v>
      </c>
      <c r="O18" s="70">
        <f t="shared" si="6"/>
        <v>1214471280.0769351</v>
      </c>
      <c r="P18" s="70">
        <f t="shared" si="6"/>
        <v>1238760705.6784737</v>
      </c>
      <c r="Q18" s="70">
        <f t="shared" si="6"/>
        <v>1263535919.7920432</v>
      </c>
      <c r="R18" s="70">
        <f t="shared" si="6"/>
        <v>1288806638.1878841</v>
      </c>
      <c r="S18" s="70">
        <f t="shared" si="6"/>
        <v>1314582770.9516418</v>
      </c>
      <c r="T18" s="70">
        <f t="shared" si="6"/>
        <v>1340874426.3706746</v>
      </c>
      <c r="U18" s="70">
        <f t="shared" si="6"/>
        <v>1367691914.8980882</v>
      </c>
      <c r="V18" s="70">
        <f t="shared" si="6"/>
        <v>1395045753.1960499</v>
      </c>
      <c r="W18" s="70">
        <f t="shared" si="6"/>
        <v>1422946668.2599709</v>
      </c>
      <c r="X18" s="70">
        <f t="shared" si="6"/>
        <v>1451405601.6251702</v>
      </c>
      <c r="Y18" s="70">
        <f t="shared" si="6"/>
        <v>1480433713.6576736</v>
      </c>
      <c r="Z18" s="70">
        <f t="shared" si="6"/>
        <v>1510042387.9308271</v>
      </c>
      <c r="AA18" s="70">
        <f t="shared" si="6"/>
        <v>1540243235.6894436</v>
      </c>
      <c r="AB18" s="70">
        <f t="shared" si="6"/>
        <v>1571048100.4032326</v>
      </c>
      <c r="AC18" s="70">
        <f t="shared" si="6"/>
        <v>1602469062.4112973</v>
      </c>
      <c r="AD18" s="70">
        <f t="shared" si="6"/>
        <v>1634518443.6595232</v>
      </c>
      <c r="AE18" s="70">
        <f t="shared" si="6"/>
        <v>1667208812.5327137</v>
      </c>
      <c r="AF18" s="70">
        <f t="shared" si="6"/>
        <v>1700552988.7833679</v>
      </c>
      <c r="AG18" s="227" t="s">
        <v>177</v>
      </c>
      <c r="AH18" s="238" t="s">
        <v>191</v>
      </c>
      <c r="AI18" s="152"/>
    </row>
    <row r="19" spans="1:35" ht="8.1" customHeight="1" x14ac:dyDescent="0.25">
      <c r="C19" s="82"/>
      <c r="D19" s="207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227"/>
      <c r="AH19" s="238"/>
      <c r="AI19" s="152"/>
    </row>
    <row r="20" spans="1:35" x14ac:dyDescent="0.25">
      <c r="A20" t="s">
        <v>42</v>
      </c>
      <c r="B20" s="253">
        <v>0.01</v>
      </c>
      <c r="C20" s="82">
        <f>440.8+3752171.66</f>
        <v>3752612.46</v>
      </c>
      <c r="D20" s="207">
        <f>D18*B20</f>
        <v>5483792.6091999998</v>
      </c>
      <c r="E20" s="68">
        <f t="shared" ref="E20:L20" si="7">1%*E18</f>
        <v>6402828.4613839993</v>
      </c>
      <c r="F20" s="68">
        <f t="shared" si="7"/>
        <v>6797385.0306116799</v>
      </c>
      <c r="G20" s="68">
        <f t="shared" si="7"/>
        <v>8143182.7312239138</v>
      </c>
      <c r="H20" s="68">
        <f t="shared" si="7"/>
        <v>9215666.3858483918</v>
      </c>
      <c r="I20" s="68">
        <f t="shared" si="7"/>
        <v>10209949.713565361</v>
      </c>
      <c r="J20" s="68">
        <f t="shared" si="7"/>
        <v>10556398.707836667</v>
      </c>
      <c r="K20" s="68">
        <f t="shared" si="7"/>
        <v>10893786.681993401</v>
      </c>
      <c r="L20" s="68">
        <f t="shared" si="7"/>
        <v>11230662.415633269</v>
      </c>
      <c r="M20" s="68">
        <f>1%*M18</f>
        <v>11565275.663945936</v>
      </c>
      <c r="N20" s="68">
        <f t="shared" ref="N20:AF20" si="8">1%*N18</f>
        <v>11906581.177224854</v>
      </c>
      <c r="O20" s="68">
        <f t="shared" si="8"/>
        <v>12144712.800769351</v>
      </c>
      <c r="P20" s="68">
        <f t="shared" si="8"/>
        <v>12387607.056784738</v>
      </c>
      <c r="Q20" s="68">
        <f t="shared" si="8"/>
        <v>12635359.197920432</v>
      </c>
      <c r="R20" s="68">
        <f t="shared" si="8"/>
        <v>12888066.381878842</v>
      </c>
      <c r="S20" s="68">
        <f t="shared" si="8"/>
        <v>13145827.709516419</v>
      </c>
      <c r="T20" s="68">
        <f t="shared" si="8"/>
        <v>13408744.263706746</v>
      </c>
      <c r="U20" s="68">
        <f t="shared" si="8"/>
        <v>13676919.148980882</v>
      </c>
      <c r="V20" s="68">
        <f t="shared" si="8"/>
        <v>13950457.5319605</v>
      </c>
      <c r="W20" s="68">
        <f t="shared" si="8"/>
        <v>14229466.682599708</v>
      </c>
      <c r="X20" s="68">
        <f t="shared" si="8"/>
        <v>14514056.016251702</v>
      </c>
      <c r="Y20" s="68">
        <f t="shared" si="8"/>
        <v>14804337.136576736</v>
      </c>
      <c r="Z20" s="68">
        <f t="shared" si="8"/>
        <v>15100423.879308272</v>
      </c>
      <c r="AA20" s="68">
        <f t="shared" si="8"/>
        <v>15402432.356894435</v>
      </c>
      <c r="AB20" s="68">
        <f t="shared" si="8"/>
        <v>15710481.004032327</v>
      </c>
      <c r="AC20" s="68">
        <f t="shared" si="8"/>
        <v>16024690.624112973</v>
      </c>
      <c r="AD20" s="68">
        <f t="shared" si="8"/>
        <v>16345184.436595233</v>
      </c>
      <c r="AE20" s="68">
        <f t="shared" si="8"/>
        <v>16672088.125327136</v>
      </c>
      <c r="AF20" s="68">
        <f t="shared" si="8"/>
        <v>17005529.887833677</v>
      </c>
      <c r="AG20" s="227" t="s">
        <v>178</v>
      </c>
      <c r="AH20" s="240" t="s">
        <v>192</v>
      </c>
      <c r="AI20" s="152"/>
    </row>
    <row r="21" spans="1:35" x14ac:dyDescent="0.25">
      <c r="A21" t="s">
        <v>41</v>
      </c>
      <c r="B21" s="176">
        <v>0.2</v>
      </c>
      <c r="C21" s="173">
        <f t="shared" ref="C21:L21" si="9">-$B21*C20</f>
        <v>-750522.49200000009</v>
      </c>
      <c r="D21" s="207">
        <f t="shared" si="9"/>
        <v>-1096758.5218400001</v>
      </c>
      <c r="E21" s="69">
        <f t="shared" si="9"/>
        <v>-1280565.6922768001</v>
      </c>
      <c r="F21" s="69">
        <f t="shared" si="9"/>
        <v>-1359477.006122336</v>
      </c>
      <c r="G21" s="69">
        <f t="shared" si="9"/>
        <v>-1628636.5462447829</v>
      </c>
      <c r="H21" s="69">
        <f t="shared" si="9"/>
        <v>-1843133.2771696784</v>
      </c>
      <c r="I21" s="69">
        <f t="shared" si="9"/>
        <v>-2041989.9427130723</v>
      </c>
      <c r="J21" s="69">
        <f t="shared" si="9"/>
        <v>-2111279.7415673337</v>
      </c>
      <c r="K21" s="69">
        <f t="shared" si="9"/>
        <v>-2178757.3363986802</v>
      </c>
      <c r="L21" s="69">
        <f t="shared" si="9"/>
        <v>-2246132.4831266538</v>
      </c>
      <c r="M21" s="69">
        <f>-$B21*M20</f>
        <v>-2313055.1327891871</v>
      </c>
      <c r="N21" s="69">
        <f t="shared" ref="N21:AF21" si="10">-$B21*N20</f>
        <v>-2381316.2354449709</v>
      </c>
      <c r="O21" s="69">
        <f t="shared" si="10"/>
        <v>-2428942.5601538704</v>
      </c>
      <c r="P21" s="69">
        <f t="shared" si="10"/>
        <v>-2477521.4113569479</v>
      </c>
      <c r="Q21" s="69">
        <f t="shared" si="10"/>
        <v>-2527071.8395840866</v>
      </c>
      <c r="R21" s="69">
        <f t="shared" si="10"/>
        <v>-2577613.2763757687</v>
      </c>
      <c r="S21" s="69">
        <f t="shared" si="10"/>
        <v>-2629165.5419032839</v>
      </c>
      <c r="T21" s="69">
        <f t="shared" si="10"/>
        <v>-2681748.8527413495</v>
      </c>
      <c r="U21" s="69">
        <f t="shared" si="10"/>
        <v>-2735383.8297961764</v>
      </c>
      <c r="V21" s="69">
        <f t="shared" si="10"/>
        <v>-2790091.5063921004</v>
      </c>
      <c r="W21" s="69">
        <f t="shared" si="10"/>
        <v>-2845893.3365199417</v>
      </c>
      <c r="X21" s="69">
        <f t="shared" si="10"/>
        <v>-2902811.2032503407</v>
      </c>
      <c r="Y21" s="69">
        <f t="shared" si="10"/>
        <v>-2960867.4273153474</v>
      </c>
      <c r="Z21" s="69">
        <f t="shared" si="10"/>
        <v>-3020084.7758616544</v>
      </c>
      <c r="AA21" s="69">
        <f t="shared" si="10"/>
        <v>-3080486.4713788871</v>
      </c>
      <c r="AB21" s="69">
        <f t="shared" si="10"/>
        <v>-3142096.2008064655</v>
      </c>
      <c r="AC21" s="69">
        <f t="shared" si="10"/>
        <v>-3204938.1248225947</v>
      </c>
      <c r="AD21" s="69">
        <f t="shared" si="10"/>
        <v>-3269036.887319047</v>
      </c>
      <c r="AE21" s="69">
        <f t="shared" si="10"/>
        <v>-3334417.6250654273</v>
      </c>
      <c r="AF21" s="69">
        <f t="shared" si="10"/>
        <v>-3401105.9775667358</v>
      </c>
      <c r="AG21" s="231" t="s">
        <v>179</v>
      </c>
      <c r="AH21" s="241" t="s">
        <v>193</v>
      </c>
      <c r="AI21" s="152"/>
    </row>
    <row r="22" spans="1:35" x14ac:dyDescent="0.25">
      <c r="A22" s="1" t="s">
        <v>69</v>
      </c>
      <c r="B22" s="254"/>
      <c r="C22" s="204">
        <f>C20+C21</f>
        <v>3002089.9679999999</v>
      </c>
      <c r="D22" s="210">
        <f t="shared" ref="D22:AF22" si="11">D20+D21</f>
        <v>4387034.0873600002</v>
      </c>
      <c r="E22" s="71">
        <f t="shared" si="11"/>
        <v>5122262.7691071993</v>
      </c>
      <c r="F22" s="71">
        <f t="shared" si="11"/>
        <v>5437908.0244893441</v>
      </c>
      <c r="G22" s="71">
        <f t="shared" si="11"/>
        <v>6514546.1849791314</v>
      </c>
      <c r="H22" s="71">
        <f t="shared" si="11"/>
        <v>7372533.1086787134</v>
      </c>
      <c r="I22" s="71">
        <f t="shared" si="11"/>
        <v>8167959.7708522882</v>
      </c>
      <c r="J22" s="71">
        <f t="shared" si="11"/>
        <v>8445118.9662693329</v>
      </c>
      <c r="K22" s="71">
        <f t="shared" si="11"/>
        <v>8715029.3455947209</v>
      </c>
      <c r="L22" s="71">
        <f t="shared" si="11"/>
        <v>8984529.9325066153</v>
      </c>
      <c r="M22" s="71">
        <f t="shared" si="11"/>
        <v>9252220.5311567485</v>
      </c>
      <c r="N22" s="71">
        <f t="shared" si="11"/>
        <v>9525264.9417798836</v>
      </c>
      <c r="O22" s="71">
        <f t="shared" si="11"/>
        <v>9715770.2406154815</v>
      </c>
      <c r="P22" s="71">
        <f t="shared" si="11"/>
        <v>9910085.6454277895</v>
      </c>
      <c r="Q22" s="71">
        <f t="shared" si="11"/>
        <v>10108287.358336346</v>
      </c>
      <c r="R22" s="71">
        <f t="shared" si="11"/>
        <v>10310453.105503073</v>
      </c>
      <c r="S22" s="71">
        <f t="shared" si="11"/>
        <v>10516662.167613136</v>
      </c>
      <c r="T22" s="71">
        <f t="shared" si="11"/>
        <v>10726995.410965396</v>
      </c>
      <c r="U22" s="71">
        <f t="shared" si="11"/>
        <v>10941535.319184706</v>
      </c>
      <c r="V22" s="71">
        <f t="shared" si="11"/>
        <v>11160366.0255684</v>
      </c>
      <c r="W22" s="71">
        <f t="shared" si="11"/>
        <v>11383573.346079767</v>
      </c>
      <c r="X22" s="71">
        <f t="shared" si="11"/>
        <v>11611244.813001361</v>
      </c>
      <c r="Y22" s="71">
        <f t="shared" si="11"/>
        <v>11843469.709261389</v>
      </c>
      <c r="Z22" s="71">
        <f t="shared" si="11"/>
        <v>12080339.103446618</v>
      </c>
      <c r="AA22" s="71">
        <f t="shared" si="11"/>
        <v>12321945.885515548</v>
      </c>
      <c r="AB22" s="71">
        <f t="shared" si="11"/>
        <v>12568384.803225862</v>
      </c>
      <c r="AC22" s="71">
        <f t="shared" si="11"/>
        <v>12819752.499290379</v>
      </c>
      <c r="AD22" s="71">
        <f t="shared" si="11"/>
        <v>13076147.549276186</v>
      </c>
      <c r="AE22" s="71">
        <f t="shared" si="11"/>
        <v>13337670.500261709</v>
      </c>
      <c r="AF22" s="71">
        <f t="shared" si="11"/>
        <v>13604423.910266941</v>
      </c>
      <c r="AG22" s="227" t="s">
        <v>180</v>
      </c>
      <c r="AH22" s="238" t="s">
        <v>150</v>
      </c>
      <c r="AI22" s="152"/>
    </row>
    <row r="23" spans="1:35" ht="8.1" customHeight="1" x14ac:dyDescent="0.25">
      <c r="A23" s="1"/>
      <c r="B23" s="254"/>
      <c r="C23" s="82"/>
      <c r="D23" s="207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227"/>
      <c r="AH23" s="238"/>
      <c r="AI23" s="152"/>
    </row>
    <row r="24" spans="1:35" x14ac:dyDescent="0.25">
      <c r="A24" s="1" t="s">
        <v>222</v>
      </c>
      <c r="B24" s="255"/>
      <c r="C24" s="82"/>
      <c r="D24" s="207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227"/>
      <c r="AH24" s="240"/>
      <c r="AI24" s="152"/>
    </row>
    <row r="25" spans="1:35" x14ac:dyDescent="0.25">
      <c r="A25" s="19" t="s">
        <v>220</v>
      </c>
      <c r="B25" s="255">
        <v>0.25</v>
      </c>
      <c r="C25" s="82"/>
      <c r="D25" s="207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227"/>
      <c r="AH25" s="240"/>
      <c r="AI25" s="152"/>
    </row>
    <row r="26" spans="1:35" x14ac:dyDescent="0.25">
      <c r="A26" t="s">
        <v>218</v>
      </c>
      <c r="B26" s="255">
        <v>0.41253499999999999</v>
      </c>
      <c r="C26" s="82">
        <f>-$B$26*C$22*$B$25</f>
        <v>-309616.79623722</v>
      </c>
      <c r="D26" s="207">
        <f t="shared" ref="D26:L26" si="12">-$B$26*D$22*$B$25</f>
        <v>-452451.27680726442</v>
      </c>
      <c r="E26" s="68">
        <f t="shared" si="12"/>
        <v>-528278.16786340962</v>
      </c>
      <c r="F26" s="68">
        <f t="shared" si="12"/>
        <v>-560831.84672067792</v>
      </c>
      <c r="G26" s="68">
        <f t="shared" si="12"/>
        <v>-671869.5776050915</v>
      </c>
      <c r="H26" s="68">
        <f t="shared" si="12"/>
        <v>-760356.98649719323</v>
      </c>
      <c r="I26" s="68">
        <f t="shared" si="12"/>
        <v>-842392.32101713715</v>
      </c>
      <c r="J26" s="68">
        <f t="shared" si="12"/>
        <v>-870976.78818747983</v>
      </c>
      <c r="K26" s="68">
        <f t="shared" si="12"/>
        <v>-898813.65777122951</v>
      </c>
      <c r="L26" s="68">
        <f t="shared" si="12"/>
        <v>-926608.26392665412</v>
      </c>
      <c r="M26" s="68">
        <f>-$B$26*M$22*$B$25</f>
        <v>-954216.19920518727</v>
      </c>
      <c r="N26" s="68">
        <f t="shared" ref="N26:AF26" si="13">-$B$26*N$22*$B$25</f>
        <v>-982376.29318929103</v>
      </c>
      <c r="O26" s="68">
        <f t="shared" si="13"/>
        <v>-1002023.8190530769</v>
      </c>
      <c r="P26" s="68">
        <f t="shared" si="13"/>
        <v>-1022064.2954341383</v>
      </c>
      <c r="Q26" s="68">
        <f t="shared" si="13"/>
        <v>-1042505.5813428211</v>
      </c>
      <c r="R26" s="68">
        <f t="shared" si="13"/>
        <v>-1063355.6929696775</v>
      </c>
      <c r="S26" s="68">
        <f t="shared" si="13"/>
        <v>-1084622.8068290711</v>
      </c>
      <c r="T26" s="68">
        <f t="shared" si="13"/>
        <v>-1106315.2629656524</v>
      </c>
      <c r="U26" s="68">
        <f t="shared" si="13"/>
        <v>-1128441.5682249656</v>
      </c>
      <c r="V26" s="68">
        <f t="shared" si="13"/>
        <v>-1151010.399589465</v>
      </c>
      <c r="W26" s="68">
        <f t="shared" si="13"/>
        <v>-1174030.6075812541</v>
      </c>
      <c r="X26" s="68">
        <f t="shared" si="13"/>
        <v>-1197511.219732879</v>
      </c>
      <c r="Y26" s="68">
        <f t="shared" si="13"/>
        <v>-1221461.4441275368</v>
      </c>
      <c r="Z26" s="68">
        <f t="shared" si="13"/>
        <v>-1245890.6730100876</v>
      </c>
      <c r="AA26" s="68">
        <f t="shared" si="13"/>
        <v>-1270808.4864702891</v>
      </c>
      <c r="AB26" s="68">
        <f t="shared" si="13"/>
        <v>-1296224.6561996951</v>
      </c>
      <c r="AC26" s="68">
        <f t="shared" si="13"/>
        <v>-1322149.1493236891</v>
      </c>
      <c r="AD26" s="68">
        <f t="shared" si="13"/>
        <v>-1348592.1323101628</v>
      </c>
      <c r="AE26" s="68">
        <f t="shared" si="13"/>
        <v>-1375563.974956366</v>
      </c>
      <c r="AF26" s="68">
        <f t="shared" si="13"/>
        <v>-1403075.2544554931</v>
      </c>
      <c r="AG26" s="227" t="s">
        <v>224</v>
      </c>
      <c r="AH26" s="240" t="s">
        <v>256</v>
      </c>
      <c r="AI26" s="152"/>
    </row>
    <row r="27" spans="1:35" x14ac:dyDescent="0.25">
      <c r="A27" t="s">
        <v>219</v>
      </c>
      <c r="B27" s="255">
        <v>4.4551E-2</v>
      </c>
      <c r="C27" s="82">
        <f>-$B$27*C$22*$B$25</f>
        <v>-33436.527541092</v>
      </c>
      <c r="D27" s="207">
        <f t="shared" ref="D27:AF27" si="14">-$B$27*D$22*$B$25</f>
        <v>-48861.688906493844</v>
      </c>
      <c r="E27" s="68">
        <f t="shared" si="14"/>
        <v>-57050.482156623708</v>
      </c>
      <c r="F27" s="68">
        <f t="shared" si="14"/>
        <v>-60566.060099756192</v>
      </c>
      <c r="G27" s="68">
        <f t="shared" si="14"/>
        <v>-72557.38677175132</v>
      </c>
      <c r="H27" s="68">
        <f t="shared" si="14"/>
        <v>-82113.430631186347</v>
      </c>
      <c r="I27" s="68">
        <f t="shared" si="14"/>
        <v>-90972.69393781008</v>
      </c>
      <c r="J27" s="68">
        <f t="shared" si="14"/>
        <v>-94059.623766566263</v>
      </c>
      <c r="K27" s="68">
        <f t="shared" si="14"/>
        <v>-97065.8180938976</v>
      </c>
      <c r="L27" s="68">
        <f t="shared" si="14"/>
        <v>-100067.44825577555</v>
      </c>
      <c r="M27" s="68">
        <f t="shared" si="14"/>
        <v>-103048.91922089108</v>
      </c>
      <c r="N27" s="68">
        <f t="shared" si="14"/>
        <v>-106090.0196053089</v>
      </c>
      <c r="O27" s="68">
        <f t="shared" si="14"/>
        <v>-108211.81999741508</v>
      </c>
      <c r="P27" s="68">
        <f t="shared" si="14"/>
        <v>-110376.05639736337</v>
      </c>
      <c r="Q27" s="68">
        <f t="shared" si="14"/>
        <v>-112583.57752531064</v>
      </c>
      <c r="R27" s="68">
        <f t="shared" si="14"/>
        <v>-114835.24907581686</v>
      </c>
      <c r="S27" s="68">
        <f t="shared" si="14"/>
        <v>-117131.95405733321</v>
      </c>
      <c r="T27" s="68">
        <f t="shared" si="14"/>
        <v>-119474.59313847985</v>
      </c>
      <c r="U27" s="68">
        <f t="shared" si="14"/>
        <v>-121864.08500124946</v>
      </c>
      <c r="V27" s="68">
        <f t="shared" si="14"/>
        <v>-124301.36670127444</v>
      </c>
      <c r="W27" s="68">
        <f t="shared" si="14"/>
        <v>-126787.39403529992</v>
      </c>
      <c r="X27" s="68">
        <f t="shared" si="14"/>
        <v>-129323.1419160059</v>
      </c>
      <c r="Y27" s="68">
        <f t="shared" si="14"/>
        <v>-131909.60475432605</v>
      </c>
      <c r="Z27" s="68">
        <f t="shared" si="14"/>
        <v>-134547.79684941258</v>
      </c>
      <c r="AA27" s="68">
        <f t="shared" si="14"/>
        <v>-137238.75278640079</v>
      </c>
      <c r="AB27" s="68">
        <f t="shared" si="14"/>
        <v>-139983.52784212885</v>
      </c>
      <c r="AC27" s="68">
        <f t="shared" si="14"/>
        <v>-142783.19839897141</v>
      </c>
      <c r="AD27" s="68">
        <f t="shared" si="14"/>
        <v>-145638.86236695084</v>
      </c>
      <c r="AE27" s="68">
        <f t="shared" si="14"/>
        <v>-148551.63961428986</v>
      </c>
      <c r="AF27" s="68">
        <f t="shared" si="14"/>
        <v>-151522.67240657561</v>
      </c>
      <c r="AG27" s="227" t="s">
        <v>225</v>
      </c>
      <c r="AH27" s="240" t="s">
        <v>257</v>
      </c>
      <c r="AI27" s="152"/>
    </row>
    <row r="28" spans="1:35" ht="26.25" x14ac:dyDescent="0.25">
      <c r="A28" s="322" t="s">
        <v>234</v>
      </c>
      <c r="B28" s="255"/>
      <c r="C28" s="82">
        <f>(C20-(8009.1+2870848.25))*0.8</f>
        <v>699004.08799999999</v>
      </c>
      <c r="D28" s="207">
        <f t="shared" ref="D28:AF28" si="15">(D20-(8009.1+2870848.25))*0.8</f>
        <v>2083948.2073599999</v>
      </c>
      <c r="E28" s="68">
        <f t="shared" si="15"/>
        <v>2819176.8891071994</v>
      </c>
      <c r="F28" s="68">
        <f t="shared" si="15"/>
        <v>3134822.1444893442</v>
      </c>
      <c r="G28" s="68">
        <f t="shared" si="15"/>
        <v>4211460.3049791306</v>
      </c>
      <c r="H28" s="68">
        <f t="shared" si="15"/>
        <v>5069447.2286787145</v>
      </c>
      <c r="I28" s="68">
        <f t="shared" si="15"/>
        <v>5864873.8908522893</v>
      </c>
      <c r="J28" s="68">
        <f t="shared" si="15"/>
        <v>6142033.086269334</v>
      </c>
      <c r="K28" s="68">
        <f t="shared" si="15"/>
        <v>6411943.465594721</v>
      </c>
      <c r="L28" s="68">
        <f t="shared" si="15"/>
        <v>6681444.0525066154</v>
      </c>
      <c r="M28" s="68">
        <f t="shared" si="15"/>
        <v>6949134.6511567496</v>
      </c>
      <c r="N28" s="68">
        <f t="shared" si="15"/>
        <v>7222179.0617798837</v>
      </c>
      <c r="O28" s="68">
        <f t="shared" si="15"/>
        <v>7412684.3606154816</v>
      </c>
      <c r="P28" s="68">
        <f t="shared" si="15"/>
        <v>7606999.7654277906</v>
      </c>
      <c r="Q28" s="68">
        <f t="shared" si="15"/>
        <v>7805201.4783363463</v>
      </c>
      <c r="R28" s="68">
        <f t="shared" si="15"/>
        <v>8007367.225503074</v>
      </c>
      <c r="S28" s="68">
        <f t="shared" si="15"/>
        <v>8213576.2876131358</v>
      </c>
      <c r="T28" s="68">
        <f t="shared" si="15"/>
        <v>8423909.5309653971</v>
      </c>
      <c r="U28" s="68">
        <f t="shared" si="15"/>
        <v>8638449.4391847067</v>
      </c>
      <c r="V28" s="68">
        <f t="shared" si="15"/>
        <v>8857280.1455684006</v>
      </c>
      <c r="W28" s="68">
        <f t="shared" si="15"/>
        <v>9080487.4660797678</v>
      </c>
      <c r="X28" s="68">
        <f t="shared" si="15"/>
        <v>9308158.9330013618</v>
      </c>
      <c r="Y28" s="68">
        <f t="shared" si="15"/>
        <v>9540383.8292613905</v>
      </c>
      <c r="Z28" s="68">
        <f t="shared" si="15"/>
        <v>9777253.2234466188</v>
      </c>
      <c r="AA28" s="68">
        <f t="shared" si="15"/>
        <v>10018860.005515549</v>
      </c>
      <c r="AB28" s="68">
        <f t="shared" si="15"/>
        <v>10265298.923225863</v>
      </c>
      <c r="AC28" s="68">
        <f t="shared" si="15"/>
        <v>10516666.61929038</v>
      </c>
      <c r="AD28" s="68">
        <f t="shared" si="15"/>
        <v>10773061.669276187</v>
      </c>
      <c r="AE28" s="68">
        <f t="shared" si="15"/>
        <v>11034584.62026171</v>
      </c>
      <c r="AF28" s="68">
        <f t="shared" si="15"/>
        <v>11301338.030266942</v>
      </c>
      <c r="AG28" s="227" t="s">
        <v>296</v>
      </c>
      <c r="AH28" s="246" t="s">
        <v>261</v>
      </c>
      <c r="AI28" s="152"/>
    </row>
    <row r="29" spans="1:35" x14ac:dyDescent="0.25">
      <c r="A29" s="317" t="s">
        <v>221</v>
      </c>
      <c r="B29" s="255">
        <v>0.21</v>
      </c>
      <c r="C29" s="82"/>
      <c r="D29" s="207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227"/>
      <c r="AH29" s="240"/>
      <c r="AI29" s="152"/>
    </row>
    <row r="30" spans="1:35" x14ac:dyDescent="0.25">
      <c r="A30" s="316" t="s">
        <v>218</v>
      </c>
      <c r="B30" s="255">
        <f>B26</f>
        <v>0.41253499999999999</v>
      </c>
      <c r="C30" s="82">
        <f>-C28*$B$30*$B$29</f>
        <v>-60556.366803046796</v>
      </c>
      <c r="D30" s="207">
        <f t="shared" ref="D30:AF30" si="16">-D28*$B$30*$B$29</f>
        <v>-180537.33048188407</v>
      </c>
      <c r="E30" s="68">
        <f t="shared" si="16"/>
        <v>-244231.91896904609</v>
      </c>
      <c r="F30" s="68">
        <f t="shared" si="16"/>
        <v>-271577.00920915138</v>
      </c>
      <c r="G30" s="68">
        <f t="shared" si="16"/>
        <v>-364848.70315205876</v>
      </c>
      <c r="H30" s="68">
        <f t="shared" si="16"/>
        <v>-439178.1266214244</v>
      </c>
      <c r="I30" s="68">
        <f t="shared" si="16"/>
        <v>-508087.80761817726</v>
      </c>
      <c r="J30" s="68">
        <f t="shared" si="16"/>
        <v>-532098.76004126505</v>
      </c>
      <c r="K30" s="68">
        <f t="shared" si="16"/>
        <v>-555481.73049161478</v>
      </c>
      <c r="L30" s="68">
        <f t="shared" si="16"/>
        <v>-578829.19966217142</v>
      </c>
      <c r="M30" s="68">
        <f t="shared" si="16"/>
        <v>-602019.86529613938</v>
      </c>
      <c r="N30" s="68">
        <f t="shared" si="16"/>
        <v>-625674.34424278652</v>
      </c>
      <c r="O30" s="68">
        <f t="shared" si="16"/>
        <v>-642178.26596836653</v>
      </c>
      <c r="P30" s="68">
        <f t="shared" si="16"/>
        <v>-659012.2661284582</v>
      </c>
      <c r="Q30" s="68">
        <f t="shared" si="16"/>
        <v>-676182.94629175169</v>
      </c>
      <c r="R30" s="68">
        <f t="shared" si="16"/>
        <v>-693697.04005831119</v>
      </c>
      <c r="S30" s="68">
        <f t="shared" si="16"/>
        <v>-711561.41570020176</v>
      </c>
      <c r="T30" s="68">
        <f t="shared" si="16"/>
        <v>-729783.07885493001</v>
      </c>
      <c r="U30" s="68">
        <f t="shared" si="16"/>
        <v>-748369.17527275311</v>
      </c>
      <c r="V30" s="68">
        <f t="shared" si="16"/>
        <v>-767326.99361893255</v>
      </c>
      <c r="W30" s="68">
        <f t="shared" si="16"/>
        <v>-786663.96833203547</v>
      </c>
      <c r="X30" s="68">
        <f t="shared" si="16"/>
        <v>-806387.68253940041</v>
      </c>
      <c r="Y30" s="68">
        <f t="shared" si="16"/>
        <v>-826505.87103091297</v>
      </c>
      <c r="Z30" s="68">
        <f t="shared" si="16"/>
        <v>-847026.42329225561</v>
      </c>
      <c r="AA30" s="68">
        <f t="shared" si="16"/>
        <v>-867957.38659882499</v>
      </c>
      <c r="AB30" s="68">
        <f t="shared" si="16"/>
        <v>-889306.96917152603</v>
      </c>
      <c r="AC30" s="68">
        <f t="shared" si="16"/>
        <v>-911083.54339568096</v>
      </c>
      <c r="AD30" s="68">
        <f t="shared" si="16"/>
        <v>-933295.64910431881</v>
      </c>
      <c r="AE30" s="68">
        <f t="shared" si="16"/>
        <v>-955951.99692712957</v>
      </c>
      <c r="AF30" s="68">
        <f t="shared" si="16"/>
        <v>-979061.47170639632</v>
      </c>
      <c r="AG30" s="227" t="s">
        <v>226</v>
      </c>
      <c r="AH30" s="240" t="s">
        <v>306</v>
      </c>
      <c r="AI30" s="152"/>
    </row>
    <row r="31" spans="1:35" x14ac:dyDescent="0.25">
      <c r="A31" s="316" t="s">
        <v>219</v>
      </c>
      <c r="B31" s="255">
        <f>B27</f>
        <v>4.4551E-2</v>
      </c>
      <c r="C31" s="173">
        <f>-($B$29*$B$31*C28)</f>
        <v>-6539.6795361424793</v>
      </c>
      <c r="D31" s="207">
        <f t="shared" ref="D31:AF31" si="17">-($B$29*$B$31*D28)</f>
        <v>-19496.815083080022</v>
      </c>
      <c r="E31" s="69">
        <f t="shared" si="17"/>
        <v>-26375.401413189116</v>
      </c>
      <c r="F31" s="69">
        <f t="shared" si="17"/>
        <v>-29328.486885420403</v>
      </c>
      <c r="G31" s="69">
        <f t="shared" si="17"/>
        <v>-39401.2012898963</v>
      </c>
      <c r="H31" s="69">
        <f t="shared" si="17"/>
        <v>-47428.278131821731</v>
      </c>
      <c r="I31" s="69">
        <f t="shared" si="17"/>
        <v>-54870.059309385673</v>
      </c>
      <c r="J31" s="69">
        <f t="shared" si="17"/>
        <v>-57463.080365540867</v>
      </c>
      <c r="K31" s="69">
        <f t="shared" si="17"/>
        <v>-59988.283600499184</v>
      </c>
      <c r="L31" s="69">
        <f t="shared" si="17"/>
        <v>-62509.652936476668</v>
      </c>
      <c r="M31" s="69">
        <f t="shared" si="17"/>
        <v>-65014.088547173713</v>
      </c>
      <c r="N31" s="69">
        <f t="shared" si="17"/>
        <v>-67568.612870084675</v>
      </c>
      <c r="O31" s="69">
        <f t="shared" si="17"/>
        <v>-69350.925199453864</v>
      </c>
      <c r="P31" s="69">
        <f t="shared" si="17"/>
        <v>-71168.883775410432</v>
      </c>
      <c r="Q31" s="69">
        <f t="shared" si="17"/>
        <v>-73023.201522886142</v>
      </c>
      <c r="R31" s="69">
        <f t="shared" si="17"/>
        <v>-74914.605625311364</v>
      </c>
      <c r="S31" s="69">
        <f t="shared" si="17"/>
        <v>-76843.837809785095</v>
      </c>
      <c r="T31" s="69">
        <f t="shared" si="17"/>
        <v>-78811.654637948275</v>
      </c>
      <c r="U31" s="69">
        <f t="shared" si="17"/>
        <v>-80818.827802674743</v>
      </c>
      <c r="V31" s="69">
        <f t="shared" si="17"/>
        <v>-82866.144430695742</v>
      </c>
      <c r="W31" s="69">
        <f t="shared" si="17"/>
        <v>-84954.407391277142</v>
      </c>
      <c r="X31" s="69">
        <f t="shared" si="17"/>
        <v>-87084.435611070163</v>
      </c>
      <c r="Y31" s="69">
        <f t="shared" si="17"/>
        <v>-89257.064395259076</v>
      </c>
      <c r="Z31" s="69">
        <f t="shared" si="17"/>
        <v>-91473.145755131758</v>
      </c>
      <c r="AA31" s="69">
        <f t="shared" si="17"/>
        <v>-93733.548742201878</v>
      </c>
      <c r="AB31" s="69">
        <f t="shared" si="17"/>
        <v>-96039.159789013429</v>
      </c>
      <c r="AC31" s="69">
        <f t="shared" si="17"/>
        <v>-98390.883056761202</v>
      </c>
      <c r="AD31" s="69">
        <f t="shared" si="17"/>
        <v>-100789.64078986392</v>
      </c>
      <c r="AE31" s="69">
        <f t="shared" si="17"/>
        <v>-103236.37367762868</v>
      </c>
      <c r="AF31" s="69">
        <f t="shared" si="17"/>
        <v>-105732.04122314873</v>
      </c>
      <c r="AG31" s="227" t="s">
        <v>227</v>
      </c>
      <c r="AH31" s="240" t="s">
        <v>307</v>
      </c>
      <c r="AI31" s="152"/>
    </row>
    <row r="32" spans="1:35" ht="26.25" x14ac:dyDescent="0.25">
      <c r="A32" s="322" t="s">
        <v>293</v>
      </c>
      <c r="B32" s="255"/>
      <c r="C32" s="173">
        <v>0</v>
      </c>
      <c r="D32" s="207">
        <v>0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>O22-$N$22</f>
        <v>190505.29883559793</v>
      </c>
      <c r="P32" s="69">
        <f t="shared" ref="P32:AF32" si="18">P22-$N$22</f>
        <v>384820.70364790596</v>
      </c>
      <c r="Q32" s="69">
        <f t="shared" si="18"/>
        <v>583022.41655646265</v>
      </c>
      <c r="R32" s="69">
        <f t="shared" si="18"/>
        <v>785188.16372318938</v>
      </c>
      <c r="S32" s="69">
        <f t="shared" si="18"/>
        <v>991397.22583325207</v>
      </c>
      <c r="T32" s="69">
        <f t="shared" si="18"/>
        <v>1201730.4691855125</v>
      </c>
      <c r="U32" s="69">
        <f t="shared" si="18"/>
        <v>1416270.377404822</v>
      </c>
      <c r="V32" s="69">
        <f t="shared" si="18"/>
        <v>1635101.083788516</v>
      </c>
      <c r="W32" s="69">
        <f t="shared" si="18"/>
        <v>1858308.4042998832</v>
      </c>
      <c r="X32" s="69">
        <f t="shared" si="18"/>
        <v>2085979.8712214772</v>
      </c>
      <c r="Y32" s="69">
        <f t="shared" si="18"/>
        <v>2318204.7674815059</v>
      </c>
      <c r="Z32" s="69">
        <f t="shared" si="18"/>
        <v>2555074.1616667341</v>
      </c>
      <c r="AA32" s="69">
        <f t="shared" si="18"/>
        <v>2796680.9437356647</v>
      </c>
      <c r="AB32" s="69">
        <f t="shared" si="18"/>
        <v>3043119.8614459783</v>
      </c>
      <c r="AC32" s="69">
        <f t="shared" si="18"/>
        <v>3294487.5575104952</v>
      </c>
      <c r="AD32" s="69">
        <f t="shared" si="18"/>
        <v>3550882.6074963026</v>
      </c>
      <c r="AE32" s="69">
        <f t="shared" si="18"/>
        <v>3812405.5584818255</v>
      </c>
      <c r="AF32" s="69">
        <f t="shared" si="18"/>
        <v>4079158.9684870578</v>
      </c>
      <c r="AG32" s="227" t="s">
        <v>297</v>
      </c>
      <c r="AH32" s="246" t="s">
        <v>261</v>
      </c>
      <c r="AI32" s="152"/>
    </row>
    <row r="33" spans="1:35" x14ac:dyDescent="0.25">
      <c r="A33" s="317" t="s">
        <v>221</v>
      </c>
      <c r="B33" s="255">
        <v>0.14000000000000001</v>
      </c>
      <c r="C33" s="82"/>
      <c r="D33" s="207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227"/>
      <c r="AH33" s="240"/>
      <c r="AI33" s="152"/>
    </row>
    <row r="34" spans="1:35" x14ac:dyDescent="0.25">
      <c r="A34" s="316" t="s">
        <v>218</v>
      </c>
      <c r="B34" s="255">
        <f>B30</f>
        <v>0.41253499999999999</v>
      </c>
      <c r="C34" s="82">
        <f>-C32*$B$30*$B$29</f>
        <v>0</v>
      </c>
      <c r="D34" s="207">
        <f t="shared" ref="D34:N34" si="19">-D32*$B$30*$B$29</f>
        <v>0</v>
      </c>
      <c r="E34" s="68">
        <f t="shared" si="19"/>
        <v>0</v>
      </c>
      <c r="F34" s="68">
        <f t="shared" si="19"/>
        <v>0</v>
      </c>
      <c r="G34" s="68">
        <f t="shared" si="19"/>
        <v>0</v>
      </c>
      <c r="H34" s="68">
        <f t="shared" si="19"/>
        <v>0</v>
      </c>
      <c r="I34" s="68">
        <f t="shared" si="19"/>
        <v>0</v>
      </c>
      <c r="J34" s="68">
        <f t="shared" si="19"/>
        <v>0</v>
      </c>
      <c r="K34" s="68">
        <f t="shared" si="19"/>
        <v>0</v>
      </c>
      <c r="L34" s="68">
        <f t="shared" si="19"/>
        <v>0</v>
      </c>
      <c r="M34" s="68">
        <f t="shared" si="19"/>
        <v>0</v>
      </c>
      <c r="N34" s="68">
        <f t="shared" si="19"/>
        <v>0</v>
      </c>
      <c r="O34" s="68">
        <f>-O32*$B$34*$B$33</f>
        <v>-11002.614483720075</v>
      </c>
      <c r="P34" s="68">
        <f t="shared" ref="P34:AF34" si="20">-P32*$B$34*$B$33</f>
        <v>-22225.281257114446</v>
      </c>
      <c r="Q34" s="68">
        <f>-Q32*$B$34*$B$33</f>
        <v>-33672.401365976846</v>
      </c>
      <c r="R34" s="68">
        <f t="shared" si="20"/>
        <v>-45348.463877016431</v>
      </c>
      <c r="S34" s="68">
        <f t="shared" si="20"/>
        <v>-57258.04763827689</v>
      </c>
      <c r="T34" s="68">
        <f t="shared" si="20"/>
        <v>-69405.82307476236</v>
      </c>
      <c r="U34" s="68">
        <f t="shared" si="20"/>
        <v>-81796.554019977761</v>
      </c>
      <c r="V34" s="68">
        <f t="shared" si="20"/>
        <v>-94435.099584097363</v>
      </c>
      <c r="W34" s="68">
        <f t="shared" si="20"/>
        <v>-107326.41605949933</v>
      </c>
      <c r="X34" s="68">
        <f t="shared" si="20"/>
        <v>-120475.55886440931</v>
      </c>
      <c r="Y34" s="68">
        <f t="shared" si="20"/>
        <v>-133887.68452541763</v>
      </c>
      <c r="Z34" s="68">
        <f t="shared" si="20"/>
        <v>-147568.05269964607</v>
      </c>
      <c r="AA34" s="68">
        <f t="shared" si="20"/>
        <v>-161522.02823735896</v>
      </c>
      <c r="AB34" s="68">
        <f t="shared" si="20"/>
        <v>-175755.08328582635</v>
      </c>
      <c r="AC34" s="68">
        <f t="shared" si="20"/>
        <v>-190272.79943526292</v>
      </c>
      <c r="AD34" s="68">
        <f t="shared" si="20"/>
        <v>-205080.86990768823</v>
      </c>
      <c r="AE34" s="68">
        <f t="shared" si="20"/>
        <v>-220185.101789562</v>
      </c>
      <c r="AF34" s="68">
        <f t="shared" si="20"/>
        <v>-235591.4183090732</v>
      </c>
      <c r="AG34" s="227" t="s">
        <v>284</v>
      </c>
      <c r="AH34" s="240" t="s">
        <v>308</v>
      </c>
      <c r="AI34" s="152"/>
    </row>
    <row r="35" spans="1:35" x14ac:dyDescent="0.25">
      <c r="A35" s="316" t="s">
        <v>219</v>
      </c>
      <c r="B35" s="256">
        <f>B31</f>
        <v>4.4551E-2</v>
      </c>
      <c r="C35" s="146">
        <f>-($B$29*$B$31*C32)</f>
        <v>0</v>
      </c>
      <c r="D35" s="208">
        <f t="shared" ref="D35:N35" si="21">-($B$29*$B$31*D32)</f>
        <v>0</v>
      </c>
      <c r="E35" s="56">
        <f t="shared" si="21"/>
        <v>0</v>
      </c>
      <c r="F35" s="56">
        <f t="shared" si="21"/>
        <v>0</v>
      </c>
      <c r="G35" s="56">
        <f t="shared" si="21"/>
        <v>0</v>
      </c>
      <c r="H35" s="56">
        <f t="shared" si="21"/>
        <v>0</v>
      </c>
      <c r="I35" s="56">
        <f t="shared" si="21"/>
        <v>0</v>
      </c>
      <c r="J35" s="56">
        <f t="shared" si="21"/>
        <v>0</v>
      </c>
      <c r="K35" s="56">
        <f t="shared" si="21"/>
        <v>0</v>
      </c>
      <c r="L35" s="56">
        <f t="shared" si="21"/>
        <v>0</v>
      </c>
      <c r="M35" s="56">
        <f t="shared" si="21"/>
        <v>0</v>
      </c>
      <c r="N35" s="56">
        <f t="shared" si="21"/>
        <v>0</v>
      </c>
      <c r="O35" s="56">
        <f>-($B$33*$B$35*O32)</f>
        <v>-1188.2082195794615</v>
      </c>
      <c r="P35" s="56">
        <f t="shared" ref="P35:AF35" si="22">-($B$33*$B$35*P32)</f>
        <v>-2400.1806035505001</v>
      </c>
      <c r="Q35" s="56">
        <f t="shared" si="22"/>
        <v>-3636.3924352009758</v>
      </c>
      <c r="R35" s="56">
        <f t="shared" si="22"/>
        <v>-4897.3285034844539</v>
      </c>
      <c r="S35" s="56">
        <f t="shared" si="22"/>
        <v>-6183.4832931336105</v>
      </c>
      <c r="T35" s="56">
        <f t="shared" si="22"/>
        <v>-7495.3611785757275</v>
      </c>
      <c r="U35" s="56">
        <f t="shared" si="22"/>
        <v>-8833.4766217267115</v>
      </c>
      <c r="V35" s="56">
        <f t="shared" si="22"/>
        <v>-10198.354373740705</v>
      </c>
      <c r="W35" s="56">
        <f t="shared" si="22"/>
        <v>-11590.529680794974</v>
      </c>
      <c r="X35" s="56">
        <f t="shared" si="22"/>
        <v>-13010.548493990325</v>
      </c>
      <c r="Y35" s="56">
        <f t="shared" si="22"/>
        <v>-14458.9676834496</v>
      </c>
      <c r="Z35" s="56">
        <f t="shared" si="22"/>
        <v>-15936.355256698056</v>
      </c>
      <c r="AA35" s="56">
        <f t="shared" si="22"/>
        <v>-17443.290581411464</v>
      </c>
      <c r="AB35" s="56">
        <f t="shared" si="22"/>
        <v>-18980.364612619171</v>
      </c>
      <c r="AC35" s="56">
        <f t="shared" si="22"/>
        <v>-20548.18012445101</v>
      </c>
      <c r="AD35" s="56">
        <f t="shared" si="22"/>
        <v>-22147.351946519491</v>
      </c>
      <c r="AE35" s="56">
        <f t="shared" si="22"/>
        <v>-23778.507205029335</v>
      </c>
      <c r="AF35" s="56">
        <f t="shared" si="22"/>
        <v>-25442.285568709369</v>
      </c>
      <c r="AG35" s="227" t="s">
        <v>285</v>
      </c>
      <c r="AH35" s="240" t="s">
        <v>309</v>
      </c>
      <c r="AI35" s="152"/>
    </row>
    <row r="36" spans="1:35" x14ac:dyDescent="0.25">
      <c r="A36" s="1" t="s">
        <v>223</v>
      </c>
      <c r="B36" s="266"/>
      <c r="C36" s="112">
        <f>C22+SUM(C26:C27)+SUM(C30:C31)+SUM(C34:C35)</f>
        <v>2591940.5978824985</v>
      </c>
      <c r="D36" s="210">
        <f t="shared" ref="D36:AF36" si="23">D22+SUM(D26:D27)+SUM(D30:D31)+SUM(D34:D35)</f>
        <v>3685686.9760812782</v>
      </c>
      <c r="E36" s="71">
        <f t="shared" si="23"/>
        <v>4266326.7987049306</v>
      </c>
      <c r="F36" s="71">
        <f t="shared" si="23"/>
        <v>4515604.6215743385</v>
      </c>
      <c r="G36" s="71">
        <f t="shared" si="23"/>
        <v>5365869.3161603343</v>
      </c>
      <c r="H36" s="71">
        <f t="shared" si="23"/>
        <v>6043456.2867970876</v>
      </c>
      <c r="I36" s="71">
        <f t="shared" si="23"/>
        <v>6671636.8889697781</v>
      </c>
      <c r="J36" s="71">
        <f t="shared" si="23"/>
        <v>6890520.7139084805</v>
      </c>
      <c r="K36" s="71">
        <f t="shared" si="23"/>
        <v>7103679.8556374796</v>
      </c>
      <c r="L36" s="71">
        <f t="shared" si="23"/>
        <v>7316515.3677255381</v>
      </c>
      <c r="M36" s="71">
        <f t="shared" si="23"/>
        <v>7527921.4588873563</v>
      </c>
      <c r="N36" s="134">
        <f>N22+SUM(N26:N27)+SUM(N30:N31)+SUM(N34:N35)</f>
        <v>7743555.6718724128</v>
      </c>
      <c r="O36" s="134">
        <f>O22+SUM(O26:O27)+SUM(O30:O31)+SUM(O34:O35)</f>
        <v>7881814.5876938691</v>
      </c>
      <c r="P36" s="134">
        <f>P22+SUM(P26:P27)+SUM(P30:P31)+SUM(P34:P35)</f>
        <v>8022838.6818317547</v>
      </c>
      <c r="Q36" s="134">
        <f>Q22+SUM(Q26:Q27)+SUM(Q30:Q31)+SUM(Q34:Q35)</f>
        <v>8166683.2578523979</v>
      </c>
      <c r="R36" s="134">
        <f t="shared" si="23"/>
        <v>8313404.7253934545</v>
      </c>
      <c r="S36" s="134">
        <f t="shared" si="23"/>
        <v>8463060.6222853325</v>
      </c>
      <c r="T36" s="134">
        <f t="shared" si="23"/>
        <v>8615709.6371150464</v>
      </c>
      <c r="U36" s="134">
        <f t="shared" si="23"/>
        <v>8771411.6322413571</v>
      </c>
      <c r="V36" s="134">
        <f t="shared" si="23"/>
        <v>8930227.6672701929</v>
      </c>
      <c r="W36" s="134">
        <f t="shared" si="23"/>
        <v>9092220.022999607</v>
      </c>
      <c r="X36" s="134">
        <f t="shared" si="23"/>
        <v>9257452.2258436047</v>
      </c>
      <c r="Y36" s="134">
        <f t="shared" si="23"/>
        <v>9425989.0727444887</v>
      </c>
      <c r="Z36" s="134">
        <f t="shared" si="23"/>
        <v>9597896.6565833855</v>
      </c>
      <c r="AA36" s="134">
        <f t="shared" si="23"/>
        <v>9773242.392099062</v>
      </c>
      <c r="AB36" s="134">
        <f t="shared" si="23"/>
        <v>9952095.0423250534</v>
      </c>
      <c r="AC36" s="134">
        <f t="shared" si="23"/>
        <v>10134524.745555561</v>
      </c>
      <c r="AD36" s="134">
        <f t="shared" si="23"/>
        <v>10320603.042850683</v>
      </c>
      <c r="AE36" s="134">
        <f t="shared" si="23"/>
        <v>10510402.906091705</v>
      </c>
      <c r="AF36" s="134">
        <f t="shared" si="23"/>
        <v>10703998.766597545</v>
      </c>
      <c r="AG36" s="227" t="s">
        <v>182</v>
      </c>
      <c r="AH36" s="240" t="s">
        <v>230</v>
      </c>
      <c r="AI36" s="152"/>
    </row>
    <row r="37" spans="1:35" ht="8.1" customHeight="1" x14ac:dyDescent="0.25">
      <c r="A37" s="1"/>
      <c r="B37" s="152"/>
      <c r="C37" s="114"/>
      <c r="D37" s="2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227"/>
      <c r="AH37" s="238"/>
      <c r="AI37" s="152"/>
    </row>
    <row r="38" spans="1:35" x14ac:dyDescent="0.25">
      <c r="A38" s="193" t="s">
        <v>167</v>
      </c>
      <c r="B38" s="194"/>
      <c r="C38" s="195"/>
      <c r="D38" s="212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227"/>
      <c r="AH38" s="238"/>
      <c r="AI38" s="152"/>
    </row>
    <row r="39" spans="1:35" ht="15" customHeight="1" x14ac:dyDescent="0.25">
      <c r="A39" s="179" t="s">
        <v>157</v>
      </c>
      <c r="B39" s="180">
        <v>0.25</v>
      </c>
      <c r="C39" s="181">
        <f>$B$39*C$36</f>
        <v>647985.14947062463</v>
      </c>
      <c r="D39" s="213">
        <f t="shared" ref="D39:AF39" si="24">$B$39*D$36</f>
        <v>921421.74402031954</v>
      </c>
      <c r="E39" s="181">
        <f t="shared" si="24"/>
        <v>1066581.6996762326</v>
      </c>
      <c r="F39" s="181">
        <f t="shared" si="24"/>
        <v>1128901.1553935846</v>
      </c>
      <c r="G39" s="181">
        <f t="shared" si="24"/>
        <v>1341467.3290400836</v>
      </c>
      <c r="H39" s="181">
        <f t="shared" si="24"/>
        <v>1510864.0716992719</v>
      </c>
      <c r="I39" s="181">
        <f t="shared" si="24"/>
        <v>1667909.2222424445</v>
      </c>
      <c r="J39" s="181">
        <f t="shared" si="24"/>
        <v>1722630.1784771201</v>
      </c>
      <c r="K39" s="181">
        <f t="shared" si="24"/>
        <v>1775919.9639093699</v>
      </c>
      <c r="L39" s="181">
        <f t="shared" si="24"/>
        <v>1829128.8419313845</v>
      </c>
      <c r="M39" s="181">
        <f t="shared" si="24"/>
        <v>1881980.3647218391</v>
      </c>
      <c r="N39" s="181">
        <f t="shared" si="24"/>
        <v>1935888.9179681032</v>
      </c>
      <c r="O39" s="181">
        <f t="shared" si="24"/>
        <v>1970453.6469234673</v>
      </c>
      <c r="P39" s="181">
        <f t="shared" si="24"/>
        <v>2005709.6704579387</v>
      </c>
      <c r="Q39" s="181">
        <f t="shared" si="24"/>
        <v>2041670.8144630995</v>
      </c>
      <c r="R39" s="181">
        <f t="shared" si="24"/>
        <v>2078351.1813483636</v>
      </c>
      <c r="S39" s="181">
        <f t="shared" si="24"/>
        <v>2115765.1555713331</v>
      </c>
      <c r="T39" s="181">
        <f t="shared" si="24"/>
        <v>2153927.4092787616</v>
      </c>
      <c r="U39" s="181">
        <f t="shared" si="24"/>
        <v>2192852.9080603393</v>
      </c>
      <c r="V39" s="181">
        <f t="shared" si="24"/>
        <v>2232556.9168175482</v>
      </c>
      <c r="W39" s="181">
        <f t="shared" si="24"/>
        <v>2273055.0057499018</v>
      </c>
      <c r="X39" s="181">
        <f t="shared" si="24"/>
        <v>2314363.0564609012</v>
      </c>
      <c r="Y39" s="181">
        <f t="shared" si="24"/>
        <v>2356497.2681861222</v>
      </c>
      <c r="Z39" s="181">
        <f t="shared" si="24"/>
        <v>2399474.1641458464</v>
      </c>
      <c r="AA39" s="181">
        <f t="shared" si="24"/>
        <v>2443310.5980247655</v>
      </c>
      <c r="AB39" s="181">
        <f t="shared" si="24"/>
        <v>2488023.7605812633</v>
      </c>
      <c r="AC39" s="181">
        <f t="shared" si="24"/>
        <v>2533631.1863888903</v>
      </c>
      <c r="AD39" s="181">
        <f t="shared" si="24"/>
        <v>2580150.7607126706</v>
      </c>
      <c r="AE39" s="181">
        <f t="shared" si="24"/>
        <v>2627600.7265229262</v>
      </c>
      <c r="AF39" s="181">
        <f t="shared" si="24"/>
        <v>2675999.6916493862</v>
      </c>
      <c r="AG39" s="232"/>
      <c r="AH39" s="242" t="s">
        <v>169</v>
      </c>
      <c r="AI39" s="124"/>
    </row>
    <row r="40" spans="1:35" ht="15" customHeight="1" x14ac:dyDescent="0.25">
      <c r="A40" s="179" t="s">
        <v>156</v>
      </c>
      <c r="B40" s="182">
        <v>0.05</v>
      </c>
      <c r="C40" s="181">
        <f>B40*C$36</f>
        <v>129597.02989412493</v>
      </c>
      <c r="D40" s="213">
        <f>B40*D$36</f>
        <v>184284.34880406392</v>
      </c>
      <c r="E40" s="181">
        <f>$B$40*E36</f>
        <v>213316.33993524653</v>
      </c>
      <c r="F40" s="181">
        <f t="shared" ref="F40:AF40" si="25">$B$40*F36</f>
        <v>225780.23107871693</v>
      </c>
      <c r="G40" s="181">
        <f t="shared" si="25"/>
        <v>268293.46580801671</v>
      </c>
      <c r="H40" s="181">
        <f t="shared" si="25"/>
        <v>302172.81433985441</v>
      </c>
      <c r="I40" s="181">
        <f t="shared" si="25"/>
        <v>333581.8444484889</v>
      </c>
      <c r="J40" s="181">
        <f t="shared" si="25"/>
        <v>344526.03569542407</v>
      </c>
      <c r="K40" s="181">
        <f t="shared" si="25"/>
        <v>355183.99278187403</v>
      </c>
      <c r="L40" s="181">
        <f t="shared" si="25"/>
        <v>365825.7683862769</v>
      </c>
      <c r="M40" s="181">
        <f t="shared" si="25"/>
        <v>376396.07294436783</v>
      </c>
      <c r="N40" s="181">
        <f t="shared" si="25"/>
        <v>387177.78359362064</v>
      </c>
      <c r="O40" s="181">
        <f t="shared" si="25"/>
        <v>394090.72938469349</v>
      </c>
      <c r="P40" s="181">
        <f t="shared" si="25"/>
        <v>401141.93409158778</v>
      </c>
      <c r="Q40" s="181">
        <f t="shared" si="25"/>
        <v>408334.1628926199</v>
      </c>
      <c r="R40" s="181">
        <f t="shared" si="25"/>
        <v>415670.23626967275</v>
      </c>
      <c r="S40" s="181">
        <f t="shared" si="25"/>
        <v>423153.03111426666</v>
      </c>
      <c r="T40" s="181">
        <f t="shared" si="25"/>
        <v>430785.48185575235</v>
      </c>
      <c r="U40" s="181">
        <f t="shared" si="25"/>
        <v>438570.58161206788</v>
      </c>
      <c r="V40" s="181">
        <f t="shared" si="25"/>
        <v>446511.38336350967</v>
      </c>
      <c r="W40" s="181">
        <f t="shared" si="25"/>
        <v>454611.00114998035</v>
      </c>
      <c r="X40" s="181">
        <f t="shared" si="25"/>
        <v>462872.61129218026</v>
      </c>
      <c r="Y40" s="181">
        <f t="shared" si="25"/>
        <v>471299.45363722445</v>
      </c>
      <c r="Z40" s="181">
        <f t="shared" si="25"/>
        <v>479894.83282916929</v>
      </c>
      <c r="AA40" s="181">
        <f t="shared" si="25"/>
        <v>488662.1196049531</v>
      </c>
      <c r="AB40" s="181">
        <f t="shared" si="25"/>
        <v>497604.75211625267</v>
      </c>
      <c r="AC40" s="181">
        <f t="shared" si="25"/>
        <v>506726.2372777781</v>
      </c>
      <c r="AD40" s="181">
        <f t="shared" si="25"/>
        <v>516030.15214253415</v>
      </c>
      <c r="AE40" s="181">
        <f t="shared" si="25"/>
        <v>525520.14530458522</v>
      </c>
      <c r="AF40" s="181">
        <f t="shared" si="25"/>
        <v>535199.93832987722</v>
      </c>
      <c r="AG40" s="233"/>
      <c r="AH40" s="243" t="s">
        <v>170</v>
      </c>
      <c r="AI40" s="152"/>
    </row>
    <row r="41" spans="1:35" ht="15" customHeight="1" x14ac:dyDescent="0.25">
      <c r="A41" s="179" t="s">
        <v>58</v>
      </c>
      <c r="B41" s="182">
        <v>0.35</v>
      </c>
      <c r="C41" s="181">
        <f>B41*C$36</f>
        <v>907179.20925887441</v>
      </c>
      <c r="D41" s="213">
        <f>B41*(D$36)</f>
        <v>1289990.4416284473</v>
      </c>
      <c r="E41" s="181">
        <f>$B$41*(E36)</f>
        <v>1493214.3795467257</v>
      </c>
      <c r="F41" s="181">
        <f t="shared" ref="F41:AF41" si="26">$B$41*(F36)</f>
        <v>1580461.6175510185</v>
      </c>
      <c r="G41" s="181">
        <f t="shared" si="26"/>
        <v>1878054.2606561168</v>
      </c>
      <c r="H41" s="181">
        <f t="shared" si="26"/>
        <v>2115209.7003789805</v>
      </c>
      <c r="I41" s="181">
        <f t="shared" si="26"/>
        <v>2335072.9111394221</v>
      </c>
      <c r="J41" s="181">
        <f t="shared" si="26"/>
        <v>2411682.2498679678</v>
      </c>
      <c r="K41" s="181">
        <f t="shared" si="26"/>
        <v>2486287.9494731175</v>
      </c>
      <c r="L41" s="181">
        <f t="shared" si="26"/>
        <v>2560780.3787039383</v>
      </c>
      <c r="M41" s="181">
        <f t="shared" si="26"/>
        <v>2634772.5106105744</v>
      </c>
      <c r="N41" s="181">
        <f t="shared" si="26"/>
        <v>2710244.4851553445</v>
      </c>
      <c r="O41" s="181">
        <f t="shared" si="26"/>
        <v>2758635.1056928542</v>
      </c>
      <c r="P41" s="181">
        <f t="shared" si="26"/>
        <v>2807993.5386411138</v>
      </c>
      <c r="Q41" s="181">
        <f t="shared" si="26"/>
        <v>2858339.1402483392</v>
      </c>
      <c r="R41" s="181">
        <f t="shared" si="26"/>
        <v>2909691.6538877091</v>
      </c>
      <c r="S41" s="181">
        <f t="shared" si="26"/>
        <v>2962071.2177998661</v>
      </c>
      <c r="T41" s="181">
        <f t="shared" si="26"/>
        <v>3015498.372990266</v>
      </c>
      <c r="U41" s="181">
        <f t="shared" si="26"/>
        <v>3069994.0712844748</v>
      </c>
      <c r="V41" s="181">
        <f t="shared" si="26"/>
        <v>3125579.6835445673</v>
      </c>
      <c r="W41" s="181">
        <f t="shared" si="26"/>
        <v>3182277.0080498625</v>
      </c>
      <c r="X41" s="181">
        <f t="shared" si="26"/>
        <v>3240108.2790452614</v>
      </c>
      <c r="Y41" s="181">
        <f t="shared" si="26"/>
        <v>3299096.175460571</v>
      </c>
      <c r="Z41" s="181">
        <f t="shared" si="26"/>
        <v>3359263.8298041848</v>
      </c>
      <c r="AA41" s="181">
        <f t="shared" si="26"/>
        <v>3420634.8372346717</v>
      </c>
      <c r="AB41" s="181">
        <f t="shared" si="26"/>
        <v>3483233.2648137687</v>
      </c>
      <c r="AC41" s="181">
        <f t="shared" si="26"/>
        <v>3547083.660944446</v>
      </c>
      <c r="AD41" s="181">
        <f t="shared" si="26"/>
        <v>3612211.0649977387</v>
      </c>
      <c r="AE41" s="181">
        <f t="shared" si="26"/>
        <v>3678641.0171320965</v>
      </c>
      <c r="AF41" s="181">
        <f t="shared" si="26"/>
        <v>3746399.5683091404</v>
      </c>
      <c r="AG41" s="335"/>
      <c r="AH41" s="240" t="s">
        <v>171</v>
      </c>
      <c r="AI41" s="152"/>
    </row>
    <row r="42" spans="1:35" x14ac:dyDescent="0.25">
      <c r="A42" s="179" t="s">
        <v>165</v>
      </c>
      <c r="B42" s="183">
        <v>0.35</v>
      </c>
      <c r="C42" s="181">
        <f>B42*C36</f>
        <v>907179.20925887441</v>
      </c>
      <c r="D42" s="213">
        <f>B42*D36</f>
        <v>1289990.4416284473</v>
      </c>
      <c r="E42" s="181">
        <f>$B$42*E36</f>
        <v>1493214.3795467257</v>
      </c>
      <c r="F42" s="181">
        <f t="shared" ref="F42:AF42" si="27">$B$42*F36</f>
        <v>1580461.6175510185</v>
      </c>
      <c r="G42" s="181">
        <f t="shared" si="27"/>
        <v>1878054.2606561168</v>
      </c>
      <c r="H42" s="181">
        <f t="shared" si="27"/>
        <v>2115209.7003789805</v>
      </c>
      <c r="I42" s="181">
        <f t="shared" si="27"/>
        <v>2335072.9111394221</v>
      </c>
      <c r="J42" s="181">
        <f t="shared" si="27"/>
        <v>2411682.2498679678</v>
      </c>
      <c r="K42" s="181">
        <f t="shared" si="27"/>
        <v>2486287.9494731175</v>
      </c>
      <c r="L42" s="181">
        <f t="shared" si="27"/>
        <v>2560780.3787039383</v>
      </c>
      <c r="M42" s="181">
        <f t="shared" si="27"/>
        <v>2634772.5106105744</v>
      </c>
      <c r="N42" s="181">
        <f t="shared" si="27"/>
        <v>2710244.4851553445</v>
      </c>
      <c r="O42" s="181">
        <f t="shared" si="27"/>
        <v>2758635.1056928542</v>
      </c>
      <c r="P42" s="181">
        <f t="shared" si="27"/>
        <v>2807993.5386411138</v>
      </c>
      <c r="Q42" s="181">
        <f t="shared" si="27"/>
        <v>2858339.1402483392</v>
      </c>
      <c r="R42" s="181">
        <f t="shared" si="27"/>
        <v>2909691.6538877091</v>
      </c>
      <c r="S42" s="181">
        <f t="shared" si="27"/>
        <v>2962071.2177998661</v>
      </c>
      <c r="T42" s="181">
        <f t="shared" si="27"/>
        <v>3015498.372990266</v>
      </c>
      <c r="U42" s="181">
        <f t="shared" si="27"/>
        <v>3069994.0712844748</v>
      </c>
      <c r="V42" s="181">
        <f t="shared" si="27"/>
        <v>3125579.6835445673</v>
      </c>
      <c r="W42" s="181">
        <f t="shared" si="27"/>
        <v>3182277.0080498625</v>
      </c>
      <c r="X42" s="181">
        <f t="shared" si="27"/>
        <v>3240108.2790452614</v>
      </c>
      <c r="Y42" s="181">
        <f t="shared" si="27"/>
        <v>3299096.175460571</v>
      </c>
      <c r="Z42" s="181">
        <f t="shared" si="27"/>
        <v>3359263.8298041848</v>
      </c>
      <c r="AA42" s="181">
        <f t="shared" si="27"/>
        <v>3420634.8372346717</v>
      </c>
      <c r="AB42" s="181">
        <f t="shared" si="27"/>
        <v>3483233.2648137687</v>
      </c>
      <c r="AC42" s="181">
        <f t="shared" si="27"/>
        <v>3547083.660944446</v>
      </c>
      <c r="AD42" s="181">
        <f t="shared" si="27"/>
        <v>3612211.0649977387</v>
      </c>
      <c r="AE42" s="181">
        <f t="shared" si="27"/>
        <v>3678641.0171320965</v>
      </c>
      <c r="AF42" s="181">
        <f t="shared" si="27"/>
        <v>3746399.5683091404</v>
      </c>
      <c r="AG42" s="335" t="s">
        <v>164</v>
      </c>
      <c r="AH42" s="240" t="s">
        <v>194</v>
      </c>
      <c r="AI42" s="152"/>
    </row>
    <row r="43" spans="1:35" x14ac:dyDescent="0.25">
      <c r="A43" s="197" t="s">
        <v>158</v>
      </c>
      <c r="B43" s="196">
        <f>SUM(B39:B42)</f>
        <v>0.99999999999999989</v>
      </c>
      <c r="C43" s="191">
        <f>SUM(C39:C42)</f>
        <v>2591940.5978824985</v>
      </c>
      <c r="D43" s="214">
        <f t="shared" ref="D43:AF43" si="28">SUM(D39:D42)</f>
        <v>3685686.9760812777</v>
      </c>
      <c r="E43" s="191">
        <f t="shared" si="28"/>
        <v>4266326.7987049306</v>
      </c>
      <c r="F43" s="191">
        <f t="shared" si="28"/>
        <v>4515604.6215743385</v>
      </c>
      <c r="G43" s="191">
        <f t="shared" si="28"/>
        <v>5365869.3161603333</v>
      </c>
      <c r="H43" s="191">
        <f t="shared" si="28"/>
        <v>6043456.2867970876</v>
      </c>
      <c r="I43" s="191">
        <f t="shared" si="28"/>
        <v>6671636.8889697781</v>
      </c>
      <c r="J43" s="191">
        <f t="shared" si="28"/>
        <v>6890520.7139084805</v>
      </c>
      <c r="K43" s="191">
        <f t="shared" si="28"/>
        <v>7103679.8556374786</v>
      </c>
      <c r="L43" s="191">
        <f t="shared" si="28"/>
        <v>7316515.3677255381</v>
      </c>
      <c r="M43" s="191">
        <f t="shared" si="28"/>
        <v>7527921.4588873554</v>
      </c>
      <c r="N43" s="191">
        <f t="shared" si="28"/>
        <v>7743555.6718724128</v>
      </c>
      <c r="O43" s="191">
        <f t="shared" si="28"/>
        <v>7881814.5876938691</v>
      </c>
      <c r="P43" s="191">
        <f t="shared" si="28"/>
        <v>8022838.6818317538</v>
      </c>
      <c r="Q43" s="191">
        <f t="shared" si="28"/>
        <v>8166683.2578523979</v>
      </c>
      <c r="R43" s="191">
        <f t="shared" si="28"/>
        <v>8313404.7253934555</v>
      </c>
      <c r="S43" s="191">
        <f t="shared" si="28"/>
        <v>8463060.6222853325</v>
      </c>
      <c r="T43" s="191">
        <f t="shared" si="28"/>
        <v>8615709.6371150464</v>
      </c>
      <c r="U43" s="191">
        <f t="shared" si="28"/>
        <v>8771411.6322413571</v>
      </c>
      <c r="V43" s="191">
        <f t="shared" si="28"/>
        <v>8930227.6672701929</v>
      </c>
      <c r="W43" s="191">
        <f t="shared" si="28"/>
        <v>9092220.022999607</v>
      </c>
      <c r="X43" s="191">
        <f t="shared" si="28"/>
        <v>9257452.2258436047</v>
      </c>
      <c r="Y43" s="191">
        <f t="shared" si="28"/>
        <v>9425989.0727444887</v>
      </c>
      <c r="Z43" s="191">
        <f t="shared" si="28"/>
        <v>9597896.6565833855</v>
      </c>
      <c r="AA43" s="191">
        <f t="shared" si="28"/>
        <v>9773242.392099062</v>
      </c>
      <c r="AB43" s="191">
        <f t="shared" si="28"/>
        <v>9952095.0423250534</v>
      </c>
      <c r="AC43" s="191">
        <f t="shared" si="28"/>
        <v>10134524.745555561</v>
      </c>
      <c r="AD43" s="191">
        <f t="shared" si="28"/>
        <v>10320603.042850683</v>
      </c>
      <c r="AE43" s="191">
        <f t="shared" si="28"/>
        <v>10510402.906091705</v>
      </c>
      <c r="AF43" s="191">
        <f t="shared" si="28"/>
        <v>10703998.766597543</v>
      </c>
      <c r="AG43" s="227"/>
      <c r="AH43" s="238"/>
      <c r="AI43" s="152"/>
    </row>
    <row r="44" spans="1:35" ht="8.1" customHeight="1" x14ac:dyDescent="0.25">
      <c r="A44" s="141"/>
      <c r="B44" s="174"/>
      <c r="C44" s="136"/>
      <c r="D44" s="205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227"/>
      <c r="AH44" s="238"/>
      <c r="AI44" s="152"/>
    </row>
    <row r="45" spans="1:35" x14ac:dyDescent="0.25">
      <c r="A45" s="184" t="s">
        <v>159</v>
      </c>
      <c r="B45" s="439" t="s">
        <v>200</v>
      </c>
      <c r="C45" s="185"/>
      <c r="D45" s="21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227"/>
      <c r="AH45" s="238"/>
      <c r="AI45" s="152"/>
    </row>
    <row r="46" spans="1:35" x14ac:dyDescent="0.25">
      <c r="A46" s="186" t="s">
        <v>165</v>
      </c>
      <c r="B46" s="439"/>
      <c r="C46" s="185">
        <f>C42</f>
        <v>907179.20925887441</v>
      </c>
      <c r="D46" s="215">
        <f t="shared" ref="D46:AF46" si="29">D42</f>
        <v>1289990.4416284473</v>
      </c>
      <c r="E46" s="185">
        <f t="shared" si="29"/>
        <v>1493214.3795467257</v>
      </c>
      <c r="F46" s="185">
        <f t="shared" si="29"/>
        <v>1580461.6175510185</v>
      </c>
      <c r="G46" s="185">
        <f t="shared" si="29"/>
        <v>1878054.2606561168</v>
      </c>
      <c r="H46" s="185">
        <f t="shared" si="29"/>
        <v>2115209.7003789805</v>
      </c>
      <c r="I46" s="185">
        <f t="shared" si="29"/>
        <v>2335072.9111394221</v>
      </c>
      <c r="J46" s="185">
        <f t="shared" si="29"/>
        <v>2411682.2498679678</v>
      </c>
      <c r="K46" s="185">
        <f t="shared" si="29"/>
        <v>2486287.9494731175</v>
      </c>
      <c r="L46" s="185">
        <f t="shared" si="29"/>
        <v>2560780.3787039383</v>
      </c>
      <c r="M46" s="185">
        <f t="shared" si="29"/>
        <v>2634772.5106105744</v>
      </c>
      <c r="N46" s="185">
        <f t="shared" si="29"/>
        <v>2710244.4851553445</v>
      </c>
      <c r="O46" s="185">
        <f t="shared" si="29"/>
        <v>2758635.1056928542</v>
      </c>
      <c r="P46" s="185">
        <f t="shared" si="29"/>
        <v>2807993.5386411138</v>
      </c>
      <c r="Q46" s="185">
        <f t="shared" si="29"/>
        <v>2858339.1402483392</v>
      </c>
      <c r="R46" s="185">
        <f t="shared" si="29"/>
        <v>2909691.6538877091</v>
      </c>
      <c r="S46" s="185">
        <f t="shared" si="29"/>
        <v>2962071.2177998661</v>
      </c>
      <c r="T46" s="185">
        <f t="shared" si="29"/>
        <v>3015498.372990266</v>
      </c>
      <c r="U46" s="185">
        <f t="shared" si="29"/>
        <v>3069994.0712844748</v>
      </c>
      <c r="V46" s="185">
        <f t="shared" si="29"/>
        <v>3125579.6835445673</v>
      </c>
      <c r="W46" s="185">
        <f t="shared" si="29"/>
        <v>3182277.0080498625</v>
      </c>
      <c r="X46" s="185">
        <f>X42</f>
        <v>3240108.2790452614</v>
      </c>
      <c r="Y46" s="185">
        <f t="shared" si="29"/>
        <v>3299096.175460571</v>
      </c>
      <c r="Z46" s="185">
        <f t="shared" si="29"/>
        <v>3359263.8298041848</v>
      </c>
      <c r="AA46" s="185">
        <f t="shared" si="29"/>
        <v>3420634.8372346717</v>
      </c>
      <c r="AB46" s="185">
        <f t="shared" si="29"/>
        <v>3483233.2648137687</v>
      </c>
      <c r="AC46" s="185">
        <f t="shared" si="29"/>
        <v>3547083.660944446</v>
      </c>
      <c r="AD46" s="185">
        <f t="shared" si="29"/>
        <v>3612211.0649977387</v>
      </c>
      <c r="AE46" s="185">
        <f t="shared" si="29"/>
        <v>3678641.0171320965</v>
      </c>
      <c r="AF46" s="185">
        <f t="shared" si="29"/>
        <v>3746399.5683091404</v>
      </c>
      <c r="AG46" s="227" t="s">
        <v>164</v>
      </c>
      <c r="AH46" s="238" t="s">
        <v>164</v>
      </c>
      <c r="AI46" s="152"/>
    </row>
    <row r="47" spans="1:35" x14ac:dyDescent="0.25">
      <c r="A47" s="186" t="str">
        <f>CONCATENATE("Less: 10% of Incremental FORA Share after 7/1/2012 (goes to ",A4,")")</f>
        <v>Less: 10% of Incremental FORA Share after 7/1/2012 (goes to Seaside)</v>
      </c>
      <c r="B47" s="263">
        <v>391585.68236800004</v>
      </c>
      <c r="C47" s="185">
        <f t="shared" ref="C47:AF47" si="30">IF(C46&gt;0,-(0.1*(C46-$B$47)),0)</f>
        <v>-51559.352689087442</v>
      </c>
      <c r="D47" s="215">
        <f t="shared" si="30"/>
        <v>-89840.475926044732</v>
      </c>
      <c r="E47" s="185">
        <f t="shared" si="30"/>
        <v>-110162.86971787257</v>
      </c>
      <c r="F47" s="185">
        <f t="shared" si="30"/>
        <v>-118887.59351830184</v>
      </c>
      <c r="G47" s="185">
        <f t="shared" si="30"/>
        <v>-148646.85782881168</v>
      </c>
      <c r="H47" s="185">
        <f t="shared" si="30"/>
        <v>-172362.40180109805</v>
      </c>
      <c r="I47" s="185">
        <f t="shared" si="30"/>
        <v>-194348.72287714222</v>
      </c>
      <c r="J47" s="185">
        <f t="shared" si="30"/>
        <v>-202009.65674999679</v>
      </c>
      <c r="K47" s="185">
        <f t="shared" si="30"/>
        <v>-209470.22671051175</v>
      </c>
      <c r="L47" s="185">
        <f t="shared" si="30"/>
        <v>-216919.46963359384</v>
      </c>
      <c r="M47" s="185">
        <f t="shared" si="30"/>
        <v>-224318.68282425744</v>
      </c>
      <c r="N47" s="185">
        <f t="shared" si="30"/>
        <v>-231865.88027873446</v>
      </c>
      <c r="O47" s="185">
        <f t="shared" si="30"/>
        <v>-236704.94233248543</v>
      </c>
      <c r="P47" s="185">
        <f t="shared" si="30"/>
        <v>-241640.78562731139</v>
      </c>
      <c r="Q47" s="185">
        <f t="shared" si="30"/>
        <v>-246675.34578803391</v>
      </c>
      <c r="R47" s="185">
        <f t="shared" si="30"/>
        <v>-251810.59715197093</v>
      </c>
      <c r="S47" s="185">
        <f t="shared" si="30"/>
        <v>-257048.55354318663</v>
      </c>
      <c r="T47" s="185">
        <f t="shared" si="30"/>
        <v>-262391.26906222658</v>
      </c>
      <c r="U47" s="185">
        <f t="shared" si="30"/>
        <v>-267840.83889164747</v>
      </c>
      <c r="V47" s="185">
        <f t="shared" si="30"/>
        <v>-273399.40011765674</v>
      </c>
      <c r="W47" s="185">
        <f t="shared" si="30"/>
        <v>-279069.13256818627</v>
      </c>
      <c r="X47" s="185">
        <f t="shared" si="30"/>
        <v>-284852.25966772618</v>
      </c>
      <c r="Y47" s="185">
        <f t="shared" si="30"/>
        <v>-290751.04930925713</v>
      </c>
      <c r="Z47" s="185">
        <f t="shared" si="30"/>
        <v>-296767.81474361848</v>
      </c>
      <c r="AA47" s="185">
        <f t="shared" si="30"/>
        <v>-302904.91548666719</v>
      </c>
      <c r="AB47" s="185">
        <f t="shared" si="30"/>
        <v>-309164.75824457686</v>
      </c>
      <c r="AC47" s="185">
        <f t="shared" si="30"/>
        <v>-315549.79785764462</v>
      </c>
      <c r="AD47" s="185">
        <f t="shared" si="30"/>
        <v>-322062.53826297389</v>
      </c>
      <c r="AE47" s="185">
        <f t="shared" si="30"/>
        <v>-328705.53347640968</v>
      </c>
      <c r="AF47" s="185">
        <f t="shared" si="30"/>
        <v>-335481.38859411405</v>
      </c>
      <c r="AG47" s="227" t="s">
        <v>148</v>
      </c>
      <c r="AH47" s="238"/>
      <c r="AI47" s="152"/>
    </row>
    <row r="48" spans="1:35" ht="15" customHeight="1" x14ac:dyDescent="0.25">
      <c r="A48" s="186" t="s">
        <v>80</v>
      </c>
      <c r="B48" s="188"/>
      <c r="C48" s="189">
        <f t="shared" ref="C48:AF48" si="31">C42+C47</f>
        <v>855619.85656978702</v>
      </c>
      <c r="D48" s="216">
        <f t="shared" si="31"/>
        <v>1200149.9657024026</v>
      </c>
      <c r="E48" s="189">
        <f t="shared" si="31"/>
        <v>1383051.5098288532</v>
      </c>
      <c r="F48" s="189">
        <f t="shared" si="31"/>
        <v>1461574.0240327166</v>
      </c>
      <c r="G48" s="189">
        <f t="shared" si="31"/>
        <v>1729407.402827305</v>
      </c>
      <c r="H48" s="189">
        <f t="shared" si="31"/>
        <v>1942847.2985778823</v>
      </c>
      <c r="I48" s="189">
        <f t="shared" si="31"/>
        <v>2140724.1882622801</v>
      </c>
      <c r="J48" s="189">
        <f t="shared" si="31"/>
        <v>2209672.593117971</v>
      </c>
      <c r="K48" s="189">
        <f t="shared" si="31"/>
        <v>2276817.7227626056</v>
      </c>
      <c r="L48" s="189">
        <f t="shared" si="31"/>
        <v>2343860.9090703446</v>
      </c>
      <c r="M48" s="189">
        <f t="shared" si="31"/>
        <v>2410453.8277863171</v>
      </c>
      <c r="N48" s="189">
        <f t="shared" si="31"/>
        <v>2478378.60487661</v>
      </c>
      <c r="O48" s="189">
        <f t="shared" si="31"/>
        <v>2521930.1633603689</v>
      </c>
      <c r="P48" s="189">
        <f t="shared" si="31"/>
        <v>2566352.7530138022</v>
      </c>
      <c r="Q48" s="189">
        <f t="shared" si="31"/>
        <v>2611663.794460305</v>
      </c>
      <c r="R48" s="189">
        <f t="shared" si="31"/>
        <v>2657881.0567357382</v>
      </c>
      <c r="S48" s="189">
        <f t="shared" si="31"/>
        <v>2705022.6642566794</v>
      </c>
      <c r="T48" s="189">
        <f t="shared" si="31"/>
        <v>2753107.1039280393</v>
      </c>
      <c r="U48" s="189">
        <f t="shared" si="31"/>
        <v>2802153.2323928275</v>
      </c>
      <c r="V48" s="189">
        <f t="shared" si="31"/>
        <v>2852180.2834269106</v>
      </c>
      <c r="W48" s="189">
        <f t="shared" si="31"/>
        <v>2903207.8754816763</v>
      </c>
      <c r="X48" s="189">
        <f t="shared" si="31"/>
        <v>2955256.0193775352</v>
      </c>
      <c r="Y48" s="189">
        <f t="shared" si="31"/>
        <v>3008345.126151314</v>
      </c>
      <c r="Z48" s="189">
        <f t="shared" si="31"/>
        <v>3062496.0150605664</v>
      </c>
      <c r="AA48" s="189">
        <f t="shared" si="31"/>
        <v>3117729.9217480044</v>
      </c>
      <c r="AB48" s="189">
        <f t="shared" si="31"/>
        <v>3174068.5065691918</v>
      </c>
      <c r="AC48" s="189">
        <f t="shared" si="31"/>
        <v>3231533.8630868015</v>
      </c>
      <c r="AD48" s="189">
        <f t="shared" si="31"/>
        <v>3290148.5267347647</v>
      </c>
      <c r="AE48" s="189">
        <f t="shared" si="31"/>
        <v>3349935.483655687</v>
      </c>
      <c r="AF48" s="189">
        <f t="shared" si="31"/>
        <v>3410918.1797150262</v>
      </c>
      <c r="AG48" s="227" t="s">
        <v>183</v>
      </c>
      <c r="AH48" s="240" t="s">
        <v>195</v>
      </c>
      <c r="AI48" s="152"/>
    </row>
    <row r="49" spans="1:35" ht="15" customHeight="1" x14ac:dyDescent="0.25">
      <c r="A49" s="186" t="str">
        <f>CONCATENATE("Less: ",$A$4," Portion of FORA Remediation Bonds Debt Service")</f>
        <v>Less: Seaside Portion of FORA Remediation Bonds Debt Service</v>
      </c>
      <c r="B49" s="186"/>
      <c r="C49" s="185">
        <v>0</v>
      </c>
      <c r="D49" s="215">
        <v>0</v>
      </c>
      <c r="E49" s="185">
        <v>0</v>
      </c>
      <c r="F49" s="185">
        <v>0</v>
      </c>
      <c r="G49" s="185">
        <v>0</v>
      </c>
      <c r="H49" s="185">
        <v>0</v>
      </c>
      <c r="I49" s="185">
        <v>0</v>
      </c>
      <c r="J49" s="185">
        <v>0</v>
      </c>
      <c r="K49" s="185">
        <v>0</v>
      </c>
      <c r="L49" s="185">
        <v>0</v>
      </c>
      <c r="M49" s="185">
        <v>0</v>
      </c>
      <c r="N49" s="185">
        <v>0</v>
      </c>
      <c r="O49" s="185">
        <v>0</v>
      </c>
      <c r="P49" s="185">
        <v>0</v>
      </c>
      <c r="Q49" s="185">
        <v>0</v>
      </c>
      <c r="R49" s="185">
        <v>0</v>
      </c>
      <c r="S49" s="185">
        <v>0</v>
      </c>
      <c r="T49" s="185">
        <v>0</v>
      </c>
      <c r="U49" s="185">
        <v>0</v>
      </c>
      <c r="V49" s="185">
        <v>0</v>
      </c>
      <c r="W49" s="185">
        <v>0</v>
      </c>
      <c r="X49" s="185">
        <v>0</v>
      </c>
      <c r="Y49" s="185">
        <v>0</v>
      </c>
      <c r="Z49" s="185">
        <v>0</v>
      </c>
      <c r="AA49" s="185">
        <v>0</v>
      </c>
      <c r="AB49" s="185">
        <v>0</v>
      </c>
      <c r="AC49" s="185">
        <v>0</v>
      </c>
      <c r="AD49" s="185">
        <v>0</v>
      </c>
      <c r="AE49" s="185">
        <v>0</v>
      </c>
      <c r="AF49" s="185">
        <v>0</v>
      </c>
      <c r="AG49" s="227" t="s">
        <v>147</v>
      </c>
      <c r="AH49" s="238" t="s">
        <v>147</v>
      </c>
      <c r="AI49" s="152"/>
    </row>
    <row r="50" spans="1:35" ht="15" customHeight="1" x14ac:dyDescent="0.25">
      <c r="A50" s="192" t="s">
        <v>166</v>
      </c>
      <c r="B50" s="187"/>
      <c r="C50" s="190">
        <f>SUM(C48:C49)</f>
        <v>855619.85656978702</v>
      </c>
      <c r="D50" s="217">
        <f t="shared" ref="D50:AF50" si="32">SUM(D48:D49)</f>
        <v>1200149.9657024026</v>
      </c>
      <c r="E50" s="190">
        <f t="shared" si="32"/>
        <v>1383051.5098288532</v>
      </c>
      <c r="F50" s="190">
        <f t="shared" si="32"/>
        <v>1461574.0240327166</v>
      </c>
      <c r="G50" s="190">
        <f t="shared" si="32"/>
        <v>1729407.402827305</v>
      </c>
      <c r="H50" s="190">
        <f t="shared" si="32"/>
        <v>1942847.2985778823</v>
      </c>
      <c r="I50" s="190">
        <f t="shared" si="32"/>
        <v>2140724.1882622801</v>
      </c>
      <c r="J50" s="190">
        <f t="shared" si="32"/>
        <v>2209672.593117971</v>
      </c>
      <c r="K50" s="190">
        <f t="shared" si="32"/>
        <v>2276817.7227626056</v>
      </c>
      <c r="L50" s="190">
        <f t="shared" si="32"/>
        <v>2343860.9090703446</v>
      </c>
      <c r="M50" s="190">
        <f t="shared" si="32"/>
        <v>2410453.8277863171</v>
      </c>
      <c r="N50" s="190">
        <f t="shared" si="32"/>
        <v>2478378.60487661</v>
      </c>
      <c r="O50" s="190">
        <f t="shared" si="32"/>
        <v>2521930.1633603689</v>
      </c>
      <c r="P50" s="190">
        <f t="shared" si="32"/>
        <v>2566352.7530138022</v>
      </c>
      <c r="Q50" s="190">
        <f t="shared" si="32"/>
        <v>2611663.794460305</v>
      </c>
      <c r="R50" s="190">
        <f t="shared" si="32"/>
        <v>2657881.0567357382</v>
      </c>
      <c r="S50" s="190">
        <f t="shared" si="32"/>
        <v>2705022.6642566794</v>
      </c>
      <c r="T50" s="190">
        <f t="shared" si="32"/>
        <v>2753107.1039280393</v>
      </c>
      <c r="U50" s="190">
        <f t="shared" si="32"/>
        <v>2802153.2323928275</v>
      </c>
      <c r="V50" s="190">
        <f t="shared" si="32"/>
        <v>2852180.2834269106</v>
      </c>
      <c r="W50" s="190">
        <f t="shared" si="32"/>
        <v>2903207.8754816763</v>
      </c>
      <c r="X50" s="190">
        <f t="shared" si="32"/>
        <v>2955256.0193775352</v>
      </c>
      <c r="Y50" s="190">
        <f t="shared" si="32"/>
        <v>3008345.126151314</v>
      </c>
      <c r="Z50" s="190">
        <f t="shared" si="32"/>
        <v>3062496.0150605664</v>
      </c>
      <c r="AA50" s="190">
        <f t="shared" si="32"/>
        <v>3117729.9217480044</v>
      </c>
      <c r="AB50" s="190">
        <f t="shared" si="32"/>
        <v>3174068.5065691918</v>
      </c>
      <c r="AC50" s="190">
        <f t="shared" si="32"/>
        <v>3231533.8630868015</v>
      </c>
      <c r="AD50" s="190">
        <f t="shared" si="32"/>
        <v>3290148.5267347647</v>
      </c>
      <c r="AE50" s="190">
        <f t="shared" si="32"/>
        <v>3349935.483655687</v>
      </c>
      <c r="AF50" s="190">
        <f t="shared" si="32"/>
        <v>3410918.1797150262</v>
      </c>
      <c r="AG50" s="227" t="s">
        <v>184</v>
      </c>
      <c r="AH50" s="240" t="s">
        <v>196</v>
      </c>
      <c r="AI50" s="152"/>
    </row>
    <row r="51" spans="1:35" ht="8.1" customHeight="1" x14ac:dyDescent="0.25">
      <c r="A51" s="171"/>
      <c r="B51" s="172"/>
      <c r="C51" s="136"/>
      <c r="D51" s="205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227"/>
      <c r="AH51" s="238"/>
      <c r="AI51" s="152"/>
    </row>
    <row r="52" spans="1:35" ht="15" customHeight="1" x14ac:dyDescent="0.25">
      <c r="A52" s="198" t="s">
        <v>168</v>
      </c>
      <c r="B52" s="199"/>
      <c r="C52" s="135"/>
      <c r="D52" s="218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227"/>
      <c r="AH52" s="238"/>
      <c r="AI52" s="152"/>
    </row>
    <row r="53" spans="1:35" ht="15" customHeight="1" x14ac:dyDescent="0.25">
      <c r="A53" s="200" t="s">
        <v>161</v>
      </c>
      <c r="B53" s="201">
        <v>0.38</v>
      </c>
      <c r="C53" s="135">
        <v>0</v>
      </c>
      <c r="D53" s="218">
        <v>0</v>
      </c>
      <c r="E53" s="135">
        <f t="shared" ref="E53:AF53" si="33">E50*$B$53</f>
        <v>525559.57373496424</v>
      </c>
      <c r="F53" s="135">
        <f t="shared" si="33"/>
        <v>555398.12913243228</v>
      </c>
      <c r="G53" s="135">
        <f t="shared" si="33"/>
        <v>657174.81307437597</v>
      </c>
      <c r="H53" s="135">
        <f t="shared" si="33"/>
        <v>738281.97345959535</v>
      </c>
      <c r="I53" s="135">
        <f t="shared" si="33"/>
        <v>813475.19153966638</v>
      </c>
      <c r="J53" s="135">
        <f t="shared" si="33"/>
        <v>839675.58538482897</v>
      </c>
      <c r="K53" s="135">
        <f t="shared" si="33"/>
        <v>865190.7346497901</v>
      </c>
      <c r="L53" s="135">
        <f t="shared" si="33"/>
        <v>890667.14544673101</v>
      </c>
      <c r="M53" s="135">
        <f t="shared" si="33"/>
        <v>915972.45455880056</v>
      </c>
      <c r="N53" s="135">
        <f t="shared" si="33"/>
        <v>941783.8698531118</v>
      </c>
      <c r="O53" s="135">
        <f t="shared" si="33"/>
        <v>958333.46207694022</v>
      </c>
      <c r="P53" s="135">
        <f t="shared" si="33"/>
        <v>975214.04614524485</v>
      </c>
      <c r="Q53" s="135">
        <f t="shared" si="33"/>
        <v>992432.24189491593</v>
      </c>
      <c r="R53" s="135">
        <f t="shared" si="33"/>
        <v>1009994.8015595805</v>
      </c>
      <c r="S53" s="135">
        <f t="shared" si="33"/>
        <v>1027908.6124175382</v>
      </c>
      <c r="T53" s="135">
        <f t="shared" si="33"/>
        <v>1046180.699492655</v>
      </c>
      <c r="U53" s="135">
        <f t="shared" si="33"/>
        <v>1064818.2283092744</v>
      </c>
      <c r="V53" s="135">
        <f t="shared" si="33"/>
        <v>1083828.5077022261</v>
      </c>
      <c r="W53" s="135">
        <f t="shared" si="33"/>
        <v>1103218.992683037</v>
      </c>
      <c r="X53" s="135">
        <f t="shared" si="33"/>
        <v>1122997.2873634633</v>
      </c>
      <c r="Y53" s="135">
        <f t="shared" si="33"/>
        <v>1143171.1479374992</v>
      </c>
      <c r="Z53" s="135">
        <f t="shared" si="33"/>
        <v>1163748.4857230152</v>
      </c>
      <c r="AA53" s="135">
        <f t="shared" si="33"/>
        <v>1184737.3702642417</v>
      </c>
      <c r="AB53" s="135">
        <f t="shared" si="33"/>
        <v>1206146.0324962928</v>
      </c>
      <c r="AC53" s="135">
        <f t="shared" si="33"/>
        <v>1227982.8679729847</v>
      </c>
      <c r="AD53" s="135">
        <f t="shared" si="33"/>
        <v>1250256.4401592107</v>
      </c>
      <c r="AE53" s="135">
        <f t="shared" si="33"/>
        <v>1272975.4837891611</v>
      </c>
      <c r="AF53" s="135">
        <f t="shared" si="33"/>
        <v>1296148.9082917101</v>
      </c>
      <c r="AG53" s="234"/>
      <c r="AH53" s="244" t="s">
        <v>172</v>
      </c>
      <c r="AI53" s="124"/>
    </row>
    <row r="54" spans="1:35" ht="15" customHeight="1" x14ac:dyDescent="0.25">
      <c r="A54" s="200" t="s">
        <v>162</v>
      </c>
      <c r="B54" s="202">
        <v>0.08</v>
      </c>
      <c r="C54" s="135">
        <v>0</v>
      </c>
      <c r="D54" s="218">
        <v>0</v>
      </c>
      <c r="E54" s="135">
        <f t="shared" ref="E54:AF54" si="34">E50*$B$54</f>
        <v>110644.12078630825</v>
      </c>
      <c r="F54" s="135">
        <f t="shared" si="34"/>
        <v>116925.92192261733</v>
      </c>
      <c r="G54" s="135">
        <f t="shared" si="34"/>
        <v>138352.59222618441</v>
      </c>
      <c r="H54" s="135">
        <f t="shared" si="34"/>
        <v>155427.78388623058</v>
      </c>
      <c r="I54" s="135">
        <f t="shared" si="34"/>
        <v>171257.93506098242</v>
      </c>
      <c r="J54" s="135">
        <f t="shared" si="34"/>
        <v>176773.80744943768</v>
      </c>
      <c r="K54" s="135">
        <f t="shared" si="34"/>
        <v>182145.41782100845</v>
      </c>
      <c r="L54" s="135">
        <f t="shared" si="34"/>
        <v>187508.87272562759</v>
      </c>
      <c r="M54" s="135">
        <f t="shared" si="34"/>
        <v>192836.30622290538</v>
      </c>
      <c r="N54" s="135">
        <f t="shared" si="34"/>
        <v>198270.28839012882</v>
      </c>
      <c r="O54" s="135">
        <f t="shared" si="34"/>
        <v>201754.41306882951</v>
      </c>
      <c r="P54" s="135">
        <f t="shared" si="34"/>
        <v>205308.22024110419</v>
      </c>
      <c r="Q54" s="135">
        <f t="shared" si="34"/>
        <v>208933.10355682441</v>
      </c>
      <c r="R54" s="135">
        <f t="shared" si="34"/>
        <v>212630.48453885905</v>
      </c>
      <c r="S54" s="135">
        <f t="shared" si="34"/>
        <v>216401.81314053436</v>
      </c>
      <c r="T54" s="135">
        <f t="shared" si="34"/>
        <v>220248.56831424314</v>
      </c>
      <c r="U54" s="135">
        <f t="shared" si="34"/>
        <v>224172.25859142622</v>
      </c>
      <c r="V54" s="135">
        <f t="shared" si="34"/>
        <v>228174.42267415285</v>
      </c>
      <c r="W54" s="135">
        <f t="shared" si="34"/>
        <v>232256.63003853412</v>
      </c>
      <c r="X54" s="135">
        <f t="shared" si="34"/>
        <v>236420.48155020282</v>
      </c>
      <c r="Y54" s="135">
        <f t="shared" si="34"/>
        <v>240667.61009210511</v>
      </c>
      <c r="Z54" s="135">
        <f t="shared" si="34"/>
        <v>244999.68120484531</v>
      </c>
      <c r="AA54" s="135">
        <f t="shared" si="34"/>
        <v>249418.39373984037</v>
      </c>
      <c r="AB54" s="135">
        <f t="shared" si="34"/>
        <v>253925.48052553536</v>
      </c>
      <c r="AC54" s="135">
        <f t="shared" si="34"/>
        <v>258522.70904694413</v>
      </c>
      <c r="AD54" s="135">
        <f t="shared" si="34"/>
        <v>263211.88213878119</v>
      </c>
      <c r="AE54" s="135">
        <f t="shared" si="34"/>
        <v>267994.83869245497</v>
      </c>
      <c r="AF54" s="135">
        <f t="shared" si="34"/>
        <v>272873.45437720208</v>
      </c>
      <c r="AG54" s="233"/>
      <c r="AH54" s="243" t="s">
        <v>173</v>
      </c>
      <c r="AI54" s="152"/>
    </row>
    <row r="55" spans="1:35" ht="15" customHeight="1" x14ac:dyDescent="0.25">
      <c r="A55" s="200" t="s">
        <v>163</v>
      </c>
      <c r="B55" s="203">
        <v>0.54</v>
      </c>
      <c r="C55" s="135">
        <v>0</v>
      </c>
      <c r="D55" s="218">
        <v>0</v>
      </c>
      <c r="E55" s="135">
        <f t="shared" ref="E55:AF55" si="35">$B$55*E50</f>
        <v>746847.81530758075</v>
      </c>
      <c r="F55" s="135">
        <f t="shared" si="35"/>
        <v>789249.972977667</v>
      </c>
      <c r="G55" s="135">
        <f t="shared" si="35"/>
        <v>933879.99752674473</v>
      </c>
      <c r="H55" s="135">
        <f t="shared" si="35"/>
        <v>1049137.5412320565</v>
      </c>
      <c r="I55" s="135">
        <f t="shared" si="35"/>
        <v>1155991.0616616313</v>
      </c>
      <c r="J55" s="135">
        <f t="shared" si="35"/>
        <v>1193223.2002837043</v>
      </c>
      <c r="K55" s="135">
        <f t="shared" si="35"/>
        <v>1229481.5702918072</v>
      </c>
      <c r="L55" s="135">
        <f t="shared" si="35"/>
        <v>1265684.8908979862</v>
      </c>
      <c r="M55" s="135">
        <f t="shared" si="35"/>
        <v>1301645.0670046113</v>
      </c>
      <c r="N55" s="135">
        <f t="shared" si="35"/>
        <v>1338324.4466333694</v>
      </c>
      <c r="O55" s="135">
        <f t="shared" si="35"/>
        <v>1361842.2882145992</v>
      </c>
      <c r="P55" s="135">
        <f t="shared" si="35"/>
        <v>1385830.4866274532</v>
      </c>
      <c r="Q55" s="135">
        <f t="shared" si="35"/>
        <v>1410298.4490085647</v>
      </c>
      <c r="R55" s="135">
        <f t="shared" si="35"/>
        <v>1435255.7706372987</v>
      </c>
      <c r="S55" s="135">
        <f t="shared" si="35"/>
        <v>1460712.2386986068</v>
      </c>
      <c r="T55" s="135">
        <f t="shared" si="35"/>
        <v>1486677.8361211414</v>
      </c>
      <c r="U55" s="135">
        <f t="shared" si="35"/>
        <v>1513162.745492127</v>
      </c>
      <c r="V55" s="135">
        <f t="shared" si="35"/>
        <v>1540177.3530505318</v>
      </c>
      <c r="W55" s="135">
        <f t="shared" si="35"/>
        <v>1567732.2527601053</v>
      </c>
      <c r="X55" s="135">
        <f t="shared" si="35"/>
        <v>1595838.2504638692</v>
      </c>
      <c r="Y55" s="135">
        <f t="shared" si="35"/>
        <v>1624506.3681217097</v>
      </c>
      <c r="Z55" s="135">
        <f t="shared" si="35"/>
        <v>1653747.848132706</v>
      </c>
      <c r="AA55" s="135">
        <f t="shared" si="35"/>
        <v>1683574.1577439224</v>
      </c>
      <c r="AB55" s="135">
        <f t="shared" si="35"/>
        <v>1713996.9935473637</v>
      </c>
      <c r="AC55" s="135">
        <f t="shared" si="35"/>
        <v>1745028.286066873</v>
      </c>
      <c r="AD55" s="135">
        <f t="shared" si="35"/>
        <v>1776680.204436773</v>
      </c>
      <c r="AE55" s="135">
        <f t="shared" si="35"/>
        <v>1808965.161174071</v>
      </c>
      <c r="AF55" s="135">
        <f t="shared" si="35"/>
        <v>1841895.8170461142</v>
      </c>
      <c r="AG55" s="227" t="s">
        <v>185</v>
      </c>
      <c r="AH55" s="240" t="s">
        <v>188</v>
      </c>
      <c r="AI55" s="152"/>
    </row>
    <row r="56" spans="1:35" ht="15" customHeight="1" x14ac:dyDescent="0.25">
      <c r="A56" s="220" t="s">
        <v>160</v>
      </c>
      <c r="B56" s="221">
        <f>SUM(B53:B55)</f>
        <v>1</v>
      </c>
      <c r="C56" s="222">
        <f>SUM(C53:C55)</f>
        <v>0</v>
      </c>
      <c r="D56" s="223">
        <f t="shared" ref="D56:AF56" si="36">SUM(D53:D55)</f>
        <v>0</v>
      </c>
      <c r="E56" s="222">
        <f t="shared" si="36"/>
        <v>1383051.5098288534</v>
      </c>
      <c r="F56" s="222">
        <f t="shared" si="36"/>
        <v>1461574.0240327166</v>
      </c>
      <c r="G56" s="222">
        <f t="shared" si="36"/>
        <v>1729407.4028273053</v>
      </c>
      <c r="H56" s="222">
        <f t="shared" si="36"/>
        <v>1942847.2985778823</v>
      </c>
      <c r="I56" s="222">
        <f t="shared" si="36"/>
        <v>2140724.1882622801</v>
      </c>
      <c r="J56" s="222">
        <f t="shared" si="36"/>
        <v>2209672.593117971</v>
      </c>
      <c r="K56" s="222">
        <f t="shared" si="36"/>
        <v>2276817.7227626056</v>
      </c>
      <c r="L56" s="222">
        <f t="shared" si="36"/>
        <v>2343860.9090703446</v>
      </c>
      <c r="M56" s="222">
        <f t="shared" si="36"/>
        <v>2410453.8277863171</v>
      </c>
      <c r="N56" s="222">
        <f t="shared" si="36"/>
        <v>2478378.60487661</v>
      </c>
      <c r="O56" s="222">
        <f t="shared" si="36"/>
        <v>2521930.1633603689</v>
      </c>
      <c r="P56" s="222">
        <f t="shared" si="36"/>
        <v>2566352.7530138022</v>
      </c>
      <c r="Q56" s="222">
        <f t="shared" si="36"/>
        <v>2611663.794460305</v>
      </c>
      <c r="R56" s="222">
        <f t="shared" si="36"/>
        <v>2657881.0567357382</v>
      </c>
      <c r="S56" s="222">
        <f t="shared" si="36"/>
        <v>2705022.6642566794</v>
      </c>
      <c r="T56" s="222">
        <f t="shared" si="36"/>
        <v>2753107.1039280398</v>
      </c>
      <c r="U56" s="222">
        <f t="shared" si="36"/>
        <v>2802153.232392828</v>
      </c>
      <c r="V56" s="222">
        <f t="shared" si="36"/>
        <v>2852180.2834269106</v>
      </c>
      <c r="W56" s="222">
        <f t="shared" si="36"/>
        <v>2903207.8754816763</v>
      </c>
      <c r="X56" s="222">
        <f t="shared" si="36"/>
        <v>2955256.0193775352</v>
      </c>
      <c r="Y56" s="222">
        <f t="shared" si="36"/>
        <v>3008345.126151314</v>
      </c>
      <c r="Z56" s="222">
        <f t="shared" si="36"/>
        <v>3062496.0150605664</v>
      </c>
      <c r="AA56" s="222">
        <f t="shared" si="36"/>
        <v>3117729.9217480044</v>
      </c>
      <c r="AB56" s="222">
        <f t="shared" si="36"/>
        <v>3174068.5065691918</v>
      </c>
      <c r="AC56" s="222">
        <f t="shared" si="36"/>
        <v>3231533.863086802</v>
      </c>
      <c r="AD56" s="222">
        <f t="shared" si="36"/>
        <v>3290148.5267347647</v>
      </c>
      <c r="AE56" s="222">
        <f t="shared" si="36"/>
        <v>3349935.483655687</v>
      </c>
      <c r="AF56" s="222">
        <f t="shared" si="36"/>
        <v>3410918.1797150262</v>
      </c>
      <c r="AG56" s="227"/>
      <c r="AH56" s="238"/>
      <c r="AI56" s="152"/>
    </row>
    <row r="57" spans="1:35" ht="8.1" customHeight="1" x14ac:dyDescent="0.25">
      <c r="A57" s="140"/>
      <c r="B57" s="101"/>
      <c r="C57" s="136"/>
      <c r="D57" s="205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227"/>
      <c r="AH57" s="238"/>
      <c r="AI57" s="152"/>
    </row>
    <row r="58" spans="1:35" ht="15" customHeight="1" x14ac:dyDescent="0.25">
      <c r="A58" s="150" t="str">
        <f>CONCATENATE("Increase in ",A4," General Fund Revenues")</f>
        <v>Increase in Seaside General Fund Revenues</v>
      </c>
      <c r="B58" s="251" t="s">
        <v>198</v>
      </c>
      <c r="C58" s="136"/>
      <c r="D58" s="205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227"/>
      <c r="AH58" s="238"/>
      <c r="AI58" s="152"/>
    </row>
    <row r="59" spans="1:35" ht="30" customHeight="1" x14ac:dyDescent="0.25">
      <c r="A59" s="178" t="s">
        <v>199</v>
      </c>
      <c r="B59" s="252">
        <f>Scenarios!C7</f>
        <v>0.2</v>
      </c>
      <c r="C59" s="177">
        <v>0</v>
      </c>
      <c r="D59" s="224">
        <v>0</v>
      </c>
      <c r="E59" s="177">
        <f t="shared" ref="E59:L59" si="37">E55*$B$59</f>
        <v>149369.56306151615</v>
      </c>
      <c r="F59" s="177">
        <f t="shared" si="37"/>
        <v>157849.99459553341</v>
      </c>
      <c r="G59" s="177">
        <f t="shared" si="37"/>
        <v>186775.99950534897</v>
      </c>
      <c r="H59" s="177">
        <f t="shared" si="37"/>
        <v>209827.50824641131</v>
      </c>
      <c r="I59" s="177">
        <f t="shared" si="37"/>
        <v>231198.21233232628</v>
      </c>
      <c r="J59" s="177">
        <f t="shared" si="37"/>
        <v>238644.64005674087</v>
      </c>
      <c r="K59" s="177">
        <f t="shared" si="37"/>
        <v>245896.31405836146</v>
      </c>
      <c r="L59" s="177">
        <f t="shared" si="37"/>
        <v>253136.97817959727</v>
      </c>
      <c r="M59" s="177">
        <f>M55*$B$59</f>
        <v>260329.01340092227</v>
      </c>
      <c r="N59" s="177">
        <f t="shared" ref="N59:AF59" si="38">N55*$B$59</f>
        <v>267664.88932667387</v>
      </c>
      <c r="O59" s="177">
        <f t="shared" si="38"/>
        <v>272368.45764291985</v>
      </c>
      <c r="P59" s="177">
        <f t="shared" si="38"/>
        <v>277166.09732549067</v>
      </c>
      <c r="Q59" s="177">
        <f t="shared" si="38"/>
        <v>282059.68980171293</v>
      </c>
      <c r="R59" s="177">
        <f t="shared" si="38"/>
        <v>287051.15412745974</v>
      </c>
      <c r="S59" s="177">
        <f t="shared" si="38"/>
        <v>292142.44773972139</v>
      </c>
      <c r="T59" s="177">
        <f t="shared" si="38"/>
        <v>297335.56722422829</v>
      </c>
      <c r="U59" s="177">
        <f t="shared" si="38"/>
        <v>302632.54909842543</v>
      </c>
      <c r="V59" s="177">
        <f t="shared" si="38"/>
        <v>308035.47061010636</v>
      </c>
      <c r="W59" s="177">
        <f t="shared" si="38"/>
        <v>313546.4505520211</v>
      </c>
      <c r="X59" s="177">
        <f t="shared" si="38"/>
        <v>319167.65009277384</v>
      </c>
      <c r="Y59" s="177">
        <f t="shared" si="38"/>
        <v>324901.27362434193</v>
      </c>
      <c r="Z59" s="177">
        <f t="shared" si="38"/>
        <v>330749.56962654123</v>
      </c>
      <c r="AA59" s="177">
        <f t="shared" si="38"/>
        <v>336714.83154878451</v>
      </c>
      <c r="AB59" s="177">
        <f t="shared" si="38"/>
        <v>342799.39870947273</v>
      </c>
      <c r="AC59" s="177">
        <f t="shared" si="38"/>
        <v>349005.65721337462</v>
      </c>
      <c r="AD59" s="177">
        <f t="shared" si="38"/>
        <v>355336.04088735464</v>
      </c>
      <c r="AE59" s="177">
        <f t="shared" si="38"/>
        <v>361793.03223481425</v>
      </c>
      <c r="AF59" s="177">
        <f t="shared" si="38"/>
        <v>368379.16340922285</v>
      </c>
      <c r="AG59" s="235" t="s">
        <v>186</v>
      </c>
      <c r="AH59" s="245" t="s">
        <v>187</v>
      </c>
      <c r="AI59" s="152"/>
    </row>
    <row r="60" spans="1:35" ht="15" hidden="1" customHeight="1" x14ac:dyDescent="0.25">
      <c r="A60" s="151" t="str">
        <f>CONCATENATE("Add Back In: 10% of Incremental FORA Share sent to ",A4)</f>
        <v>Add Back In: 10% of Incremental FORA Share sent to Seaside</v>
      </c>
      <c r="B60" s="142"/>
      <c r="C60" s="145">
        <f t="shared" ref="C60:M60" si="39">-C47</f>
        <v>51559.352689087442</v>
      </c>
      <c r="D60" s="211">
        <f t="shared" si="39"/>
        <v>89840.475926044732</v>
      </c>
      <c r="E60" s="145">
        <f t="shared" si="39"/>
        <v>110162.86971787257</v>
      </c>
      <c r="F60" s="145">
        <f t="shared" si="39"/>
        <v>118887.59351830184</v>
      </c>
      <c r="G60" s="145">
        <f t="shared" si="39"/>
        <v>148646.85782881168</v>
      </c>
      <c r="H60" s="145">
        <f t="shared" si="39"/>
        <v>172362.40180109805</v>
      </c>
      <c r="I60" s="145">
        <f t="shared" si="39"/>
        <v>194348.72287714222</v>
      </c>
      <c r="J60" s="145">
        <f t="shared" si="39"/>
        <v>202009.65674999679</v>
      </c>
      <c r="K60" s="145">
        <f t="shared" si="39"/>
        <v>209470.22671051175</v>
      </c>
      <c r="L60" s="145">
        <f t="shared" si="39"/>
        <v>216919.46963359384</v>
      </c>
      <c r="M60" s="145">
        <f t="shared" si="39"/>
        <v>224318.68282425744</v>
      </c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227" t="s">
        <v>148</v>
      </c>
      <c r="AH60" s="238"/>
      <c r="AI60" s="26"/>
    </row>
    <row r="61" spans="1:35" x14ac:dyDescent="0.25">
      <c r="A61" s="50" t="str">
        <f>CONCATENATE("Increase in Net Property Taxes Received by ",A4," General Fund")</f>
        <v>Increase in Net Property Taxes Received by Seaside General Fund</v>
      </c>
      <c r="B61" s="50"/>
      <c r="C61" s="126">
        <f>C59</f>
        <v>0</v>
      </c>
      <c r="D61" s="279">
        <f t="shared" ref="D61:AF61" si="40">D59</f>
        <v>0</v>
      </c>
      <c r="E61" s="126">
        <f t="shared" si="40"/>
        <v>149369.56306151615</v>
      </c>
      <c r="F61" s="126">
        <f t="shared" si="40"/>
        <v>157849.99459553341</v>
      </c>
      <c r="G61" s="126">
        <f t="shared" si="40"/>
        <v>186775.99950534897</v>
      </c>
      <c r="H61" s="126">
        <f t="shared" si="40"/>
        <v>209827.50824641131</v>
      </c>
      <c r="I61" s="126">
        <f t="shared" si="40"/>
        <v>231198.21233232628</v>
      </c>
      <c r="J61" s="126">
        <f t="shared" si="40"/>
        <v>238644.64005674087</v>
      </c>
      <c r="K61" s="126">
        <f t="shared" si="40"/>
        <v>245896.31405836146</v>
      </c>
      <c r="L61" s="126">
        <f t="shared" si="40"/>
        <v>253136.97817959727</v>
      </c>
      <c r="M61" s="126">
        <f t="shared" si="40"/>
        <v>260329.01340092227</v>
      </c>
      <c r="N61" s="126">
        <f t="shared" si="40"/>
        <v>267664.88932667387</v>
      </c>
      <c r="O61" s="126">
        <f t="shared" si="40"/>
        <v>272368.45764291985</v>
      </c>
      <c r="P61" s="126">
        <f t="shared" si="40"/>
        <v>277166.09732549067</v>
      </c>
      <c r="Q61" s="126">
        <f t="shared" si="40"/>
        <v>282059.68980171293</v>
      </c>
      <c r="R61" s="126">
        <f t="shared" si="40"/>
        <v>287051.15412745974</v>
      </c>
      <c r="S61" s="126">
        <f t="shared" si="40"/>
        <v>292142.44773972139</v>
      </c>
      <c r="T61" s="126">
        <f t="shared" si="40"/>
        <v>297335.56722422829</v>
      </c>
      <c r="U61" s="126">
        <f t="shared" si="40"/>
        <v>302632.54909842543</v>
      </c>
      <c r="V61" s="126">
        <f t="shared" si="40"/>
        <v>308035.47061010636</v>
      </c>
      <c r="W61" s="126">
        <f t="shared" si="40"/>
        <v>313546.4505520211</v>
      </c>
      <c r="X61" s="126">
        <f t="shared" si="40"/>
        <v>319167.65009277384</v>
      </c>
      <c r="Y61" s="126">
        <f t="shared" si="40"/>
        <v>324901.27362434193</v>
      </c>
      <c r="Z61" s="126">
        <f t="shared" si="40"/>
        <v>330749.56962654123</v>
      </c>
      <c r="AA61" s="126">
        <f t="shared" si="40"/>
        <v>336714.83154878451</v>
      </c>
      <c r="AB61" s="126">
        <f t="shared" si="40"/>
        <v>342799.39870947273</v>
      </c>
      <c r="AC61" s="126">
        <f t="shared" si="40"/>
        <v>349005.65721337462</v>
      </c>
      <c r="AD61" s="126">
        <f t="shared" si="40"/>
        <v>355336.04088735464</v>
      </c>
      <c r="AE61" s="126">
        <f t="shared" si="40"/>
        <v>361793.03223481425</v>
      </c>
      <c r="AF61" s="126">
        <f t="shared" si="40"/>
        <v>368379.16340922285</v>
      </c>
      <c r="AG61" s="335"/>
      <c r="AH61" s="240" t="s">
        <v>216</v>
      </c>
    </row>
    <row r="62" spans="1:35" x14ac:dyDescent="0.25">
      <c r="A62" s="1" t="s">
        <v>103</v>
      </c>
      <c r="C62" s="109">
        <f>NPV(Assumptions!D4,'2 - Seaside'!D61:AF61)+'2 - Seaside'!C61</f>
        <v>3988512.8102264465</v>
      </c>
      <c r="E62" s="80"/>
      <c r="AG62" s="227"/>
      <c r="AH62" s="238"/>
    </row>
    <row r="63" spans="1:35" x14ac:dyDescent="0.25">
      <c r="D63" s="80"/>
      <c r="AG63" s="227"/>
      <c r="AH63" s="238"/>
    </row>
    <row r="64" spans="1:35" x14ac:dyDescent="0.25">
      <c r="A64" s="19" t="s">
        <v>323</v>
      </c>
      <c r="D64" s="80"/>
      <c r="AG64" s="227"/>
      <c r="AH64" s="238"/>
    </row>
    <row r="65" spans="1:34" x14ac:dyDescent="0.25">
      <c r="A65" s="19" t="s">
        <v>201</v>
      </c>
      <c r="E65" s="80"/>
      <c r="AG65" s="227"/>
      <c r="AH65" s="238"/>
    </row>
    <row r="66" spans="1:34" x14ac:dyDescent="0.25">
      <c r="A66" s="19"/>
      <c r="AG66" s="227"/>
      <c r="AH66" s="238"/>
    </row>
    <row r="67" spans="1:34" ht="15.75" x14ac:dyDescent="0.25">
      <c r="A67" s="65"/>
      <c r="AG67" s="227"/>
      <c r="AH67" s="238"/>
    </row>
    <row r="68" spans="1:34" x14ac:dyDescent="0.25">
      <c r="AG68" s="227"/>
      <c r="AH68" s="238"/>
    </row>
    <row r="69" spans="1:34" x14ac:dyDescent="0.25">
      <c r="AG69" s="236"/>
      <c r="AH69" s="246"/>
    </row>
  </sheetData>
  <mergeCells count="4">
    <mergeCell ref="C6:D6"/>
    <mergeCell ref="E6:M6"/>
    <mergeCell ref="AH10:AH12"/>
    <mergeCell ref="B45:B46"/>
  </mergeCells>
  <pageMargins left="0.25" right="0.25" top="0.75" bottom="0.75" header="0.3" footer="0.3"/>
  <pageSetup scale="55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AW62"/>
  <sheetViews>
    <sheetView showGridLines="0" zoomScale="85" zoomScaleNormal="85" workbookViewId="0">
      <selection activeCell="E8" sqref="E8:M8"/>
    </sheetView>
  </sheetViews>
  <sheetFormatPr defaultColWidth="8.85546875" defaultRowHeight="15" x14ac:dyDescent="0.25"/>
  <cols>
    <col min="1" max="1" width="64.28515625" customWidth="1"/>
    <col min="2" max="2" width="15.28515625" customWidth="1"/>
    <col min="3" max="32" width="13.28515625" customWidth="1"/>
    <col min="33" max="33" width="4.28515625" style="226" bestFit="1" customWidth="1"/>
    <col min="34" max="34" width="17.85546875" style="237" customWidth="1"/>
    <col min="35" max="35" width="13.85546875" customWidth="1"/>
    <col min="36" max="40" width="8.85546875" style="139"/>
    <col min="49" max="49" width="8.85546875" style="139"/>
  </cols>
  <sheetData>
    <row r="1" spans="1:36" ht="18.75" x14ac:dyDescent="0.3">
      <c r="A1" s="53" t="s">
        <v>56</v>
      </c>
    </row>
    <row r="2" spans="1:36" ht="18.75" x14ac:dyDescent="0.3">
      <c r="A2" s="54" t="s">
        <v>106</v>
      </c>
    </row>
    <row r="3" spans="1:36" ht="18.75" x14ac:dyDescent="0.3">
      <c r="A3" s="54"/>
    </row>
    <row r="4" spans="1:36" ht="18.75" x14ac:dyDescent="0.3">
      <c r="A4" s="55" t="s">
        <v>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</row>
    <row r="5" spans="1:36" ht="15.75" x14ac:dyDescent="0.25">
      <c r="A5" s="391" t="s">
        <v>319</v>
      </c>
      <c r="B5" s="390">
        <v>0</v>
      </c>
      <c r="AI5" s="264"/>
    </row>
    <row r="6" spans="1:36" x14ac:dyDescent="0.25">
      <c r="A6" s="52"/>
      <c r="B6" s="257"/>
      <c r="C6" s="449" t="s">
        <v>59</v>
      </c>
      <c r="D6" s="449"/>
      <c r="E6" s="443" t="s">
        <v>60</v>
      </c>
      <c r="F6" s="443"/>
      <c r="G6" s="443"/>
      <c r="H6" s="443"/>
      <c r="I6" s="443"/>
      <c r="J6" s="443"/>
      <c r="K6" s="443"/>
      <c r="L6" s="443"/>
      <c r="M6" s="443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I6" s="265"/>
    </row>
    <row r="7" spans="1:36" x14ac:dyDescent="0.25">
      <c r="A7" s="258" t="s">
        <v>92</v>
      </c>
      <c r="B7" s="259" t="s">
        <v>9</v>
      </c>
      <c r="C7" s="97">
        <v>201819</v>
      </c>
      <c r="D7" s="97">
        <f t="shared" ref="D7:AF7" si="0">C7+101</f>
        <v>201920</v>
      </c>
      <c r="E7" s="337">
        <f t="shared" si="0"/>
        <v>202021</v>
      </c>
      <c r="F7" s="337">
        <f t="shared" si="0"/>
        <v>202122</v>
      </c>
      <c r="G7" s="337">
        <f t="shared" si="0"/>
        <v>202223</v>
      </c>
      <c r="H7" s="337">
        <f t="shared" si="0"/>
        <v>202324</v>
      </c>
      <c r="I7" s="337">
        <f t="shared" si="0"/>
        <v>202425</v>
      </c>
      <c r="J7" s="337">
        <f t="shared" si="0"/>
        <v>202526</v>
      </c>
      <c r="K7" s="337">
        <f>J7+101</f>
        <v>202627</v>
      </c>
      <c r="L7" s="337">
        <f t="shared" si="0"/>
        <v>202728</v>
      </c>
      <c r="M7" s="337">
        <f t="shared" si="0"/>
        <v>202829</v>
      </c>
      <c r="N7" s="337">
        <f t="shared" si="0"/>
        <v>202930</v>
      </c>
      <c r="O7" s="337">
        <f t="shared" si="0"/>
        <v>203031</v>
      </c>
      <c r="P7" s="337">
        <f t="shared" si="0"/>
        <v>203132</v>
      </c>
      <c r="Q7" s="337">
        <f t="shared" si="0"/>
        <v>203233</v>
      </c>
      <c r="R7" s="337">
        <f t="shared" si="0"/>
        <v>203334</v>
      </c>
      <c r="S7" s="337">
        <f t="shared" si="0"/>
        <v>203435</v>
      </c>
      <c r="T7" s="337">
        <f t="shared" si="0"/>
        <v>203536</v>
      </c>
      <c r="U7" s="337">
        <f t="shared" si="0"/>
        <v>203637</v>
      </c>
      <c r="V7" s="337">
        <f t="shared" si="0"/>
        <v>203738</v>
      </c>
      <c r="W7" s="337">
        <f t="shared" si="0"/>
        <v>203839</v>
      </c>
      <c r="X7" s="337">
        <f t="shared" si="0"/>
        <v>203940</v>
      </c>
      <c r="Y7" s="337">
        <f t="shared" si="0"/>
        <v>204041</v>
      </c>
      <c r="Z7" s="337">
        <f t="shared" si="0"/>
        <v>204142</v>
      </c>
      <c r="AA7" s="337">
        <f t="shared" si="0"/>
        <v>204243</v>
      </c>
      <c r="AB7" s="337">
        <f t="shared" si="0"/>
        <v>204344</v>
      </c>
      <c r="AC7" s="337">
        <f t="shared" si="0"/>
        <v>204445</v>
      </c>
      <c r="AD7" s="337">
        <f t="shared" si="0"/>
        <v>204546</v>
      </c>
      <c r="AE7" s="337">
        <f t="shared" si="0"/>
        <v>204647</v>
      </c>
      <c r="AF7" s="337">
        <f t="shared" si="0"/>
        <v>204748</v>
      </c>
      <c r="AG7" s="227"/>
      <c r="AH7" s="238"/>
      <c r="AI7" s="265"/>
    </row>
    <row r="8" spans="1:36" x14ac:dyDescent="0.25">
      <c r="A8" s="139" t="s">
        <v>43</v>
      </c>
      <c r="B8" s="260">
        <v>533000</v>
      </c>
      <c r="C8" s="247">
        <v>192</v>
      </c>
      <c r="D8" s="247">
        <v>235</v>
      </c>
      <c r="E8" s="60">
        <v>20</v>
      </c>
      <c r="F8" s="60">
        <v>60</v>
      </c>
      <c r="G8" s="60">
        <v>60</v>
      </c>
      <c r="H8" s="60">
        <v>60</v>
      </c>
      <c r="I8" s="60">
        <v>60</v>
      </c>
      <c r="J8" s="60">
        <v>120</v>
      </c>
      <c r="K8" s="60">
        <v>120</v>
      </c>
      <c r="L8" s="60">
        <v>110</v>
      </c>
      <c r="M8" s="60">
        <v>81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60">
        <v>0</v>
      </c>
      <c r="AD8" s="60">
        <v>0</v>
      </c>
      <c r="AE8" s="60">
        <v>0</v>
      </c>
      <c r="AF8" s="60">
        <v>0</v>
      </c>
      <c r="AG8" s="227"/>
      <c r="AH8" s="238"/>
      <c r="AI8" s="265"/>
    </row>
    <row r="9" spans="1:36" x14ac:dyDescent="0.25">
      <c r="A9" s="139" t="s">
        <v>44</v>
      </c>
      <c r="B9" s="261">
        <v>220</v>
      </c>
      <c r="C9" s="247">
        <v>0</v>
      </c>
      <c r="D9" s="247">
        <v>23000</v>
      </c>
      <c r="E9" s="60">
        <v>200000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60">
        <v>0</v>
      </c>
      <c r="AD9" s="60">
        <v>0</v>
      </c>
      <c r="AE9" s="60">
        <v>0</v>
      </c>
      <c r="AF9" s="60">
        <v>0</v>
      </c>
      <c r="AG9" s="227"/>
      <c r="AH9" s="238"/>
      <c r="AI9" s="265"/>
    </row>
    <row r="10" spans="1:36" x14ac:dyDescent="0.25">
      <c r="A10" s="139" t="s">
        <v>45</v>
      </c>
      <c r="B10" s="261">
        <v>90</v>
      </c>
      <c r="C10" s="247">
        <v>0</v>
      </c>
      <c r="D10" s="247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C10" s="60">
        <v>0</v>
      </c>
      <c r="AD10" s="60">
        <v>0</v>
      </c>
      <c r="AE10" s="60">
        <v>0</v>
      </c>
      <c r="AF10" s="60">
        <v>0</v>
      </c>
      <c r="AG10" s="334"/>
      <c r="AH10" s="444" t="s">
        <v>197</v>
      </c>
      <c r="AI10" s="265"/>
    </row>
    <row r="11" spans="1:36" ht="15" customHeight="1" x14ac:dyDescent="0.25">
      <c r="A11" s="139" t="s">
        <v>46</v>
      </c>
      <c r="B11" s="261">
        <v>265</v>
      </c>
      <c r="C11" s="247">
        <v>0</v>
      </c>
      <c r="D11" s="247">
        <v>20000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60">
        <v>0</v>
      </c>
      <c r="AD11" s="60">
        <v>0</v>
      </c>
      <c r="AE11" s="60">
        <v>0</v>
      </c>
      <c r="AF11" s="60">
        <v>0</v>
      </c>
      <c r="AG11" s="334"/>
      <c r="AH11" s="444"/>
      <c r="AI11" s="143"/>
    </row>
    <row r="12" spans="1:36" ht="26.25" x14ac:dyDescent="0.25">
      <c r="A12" s="139" t="s">
        <v>47</v>
      </c>
      <c r="B12" s="262">
        <v>162000</v>
      </c>
      <c r="C12" s="249">
        <v>0</v>
      </c>
      <c r="D12" s="249">
        <v>0</v>
      </c>
      <c r="E12" s="60">
        <v>0</v>
      </c>
      <c r="F12" s="60">
        <v>0</v>
      </c>
      <c r="G12" s="60">
        <v>0</v>
      </c>
      <c r="H12" s="60">
        <v>0</v>
      </c>
      <c r="I12" s="60">
        <v>550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60">
        <v>0</v>
      </c>
      <c r="AD12" s="60">
        <v>0</v>
      </c>
      <c r="AE12" s="60">
        <v>0</v>
      </c>
      <c r="AF12" s="60">
        <v>0</v>
      </c>
      <c r="AG12" s="334" t="s">
        <v>189</v>
      </c>
      <c r="AH12" s="444"/>
      <c r="AI12" s="152"/>
    </row>
    <row r="13" spans="1:36" x14ac:dyDescent="0.25">
      <c r="A13" s="37" t="s">
        <v>49</v>
      </c>
      <c r="B13" s="24"/>
      <c r="C13" s="318">
        <v>0</v>
      </c>
      <c r="D13" s="205">
        <v>45329900</v>
      </c>
      <c r="E13" s="347">
        <f>SUMPRODUCT($B$8:$B$12,E8:E12)*(1-$B$5)</f>
        <v>54660000</v>
      </c>
      <c r="F13" s="302">
        <f>SUMPRODUCT($B$8:$B$12,F8:F12)*(1-$B$5)</f>
        <v>31980000</v>
      </c>
      <c r="G13" s="302">
        <f t="shared" ref="G13:AF13" si="1">SUMPRODUCT($B$8:$B$12,G8:G12)*(1-$B$5)</f>
        <v>31980000</v>
      </c>
      <c r="H13" s="302">
        <f t="shared" si="1"/>
        <v>31980000</v>
      </c>
      <c r="I13" s="302">
        <f t="shared" si="1"/>
        <v>121080000</v>
      </c>
      <c r="J13" s="302">
        <f t="shared" si="1"/>
        <v>63960000</v>
      </c>
      <c r="K13" s="302">
        <f t="shared" si="1"/>
        <v>63960000</v>
      </c>
      <c r="L13" s="302">
        <f t="shared" si="1"/>
        <v>58630000</v>
      </c>
      <c r="M13" s="302">
        <f t="shared" si="1"/>
        <v>43173000</v>
      </c>
      <c r="N13" s="302">
        <f t="shared" si="1"/>
        <v>0</v>
      </c>
      <c r="O13" s="302">
        <f t="shared" si="1"/>
        <v>0</v>
      </c>
      <c r="P13" s="302">
        <f t="shared" si="1"/>
        <v>0</v>
      </c>
      <c r="Q13" s="302">
        <f t="shared" si="1"/>
        <v>0</v>
      </c>
      <c r="R13" s="302">
        <f t="shared" si="1"/>
        <v>0</v>
      </c>
      <c r="S13" s="302">
        <f t="shared" si="1"/>
        <v>0</v>
      </c>
      <c r="T13" s="302">
        <f t="shared" si="1"/>
        <v>0</v>
      </c>
      <c r="U13" s="302">
        <f t="shared" si="1"/>
        <v>0</v>
      </c>
      <c r="V13" s="302">
        <f t="shared" si="1"/>
        <v>0</v>
      </c>
      <c r="W13" s="302">
        <f t="shared" si="1"/>
        <v>0</v>
      </c>
      <c r="X13" s="302">
        <f t="shared" si="1"/>
        <v>0</v>
      </c>
      <c r="Y13" s="302">
        <f t="shared" si="1"/>
        <v>0</v>
      </c>
      <c r="Z13" s="302">
        <f t="shared" si="1"/>
        <v>0</v>
      </c>
      <c r="AA13" s="302">
        <f t="shared" si="1"/>
        <v>0</v>
      </c>
      <c r="AB13" s="302">
        <f t="shared" si="1"/>
        <v>0</v>
      </c>
      <c r="AC13" s="302">
        <f t="shared" si="1"/>
        <v>0</v>
      </c>
      <c r="AD13" s="302">
        <f t="shared" si="1"/>
        <v>0</v>
      </c>
      <c r="AE13" s="302">
        <f t="shared" si="1"/>
        <v>0</v>
      </c>
      <c r="AF13" s="302">
        <f t="shared" si="1"/>
        <v>0</v>
      </c>
      <c r="AG13" s="229" t="s">
        <v>143</v>
      </c>
      <c r="AH13" s="239"/>
      <c r="AI13" s="143"/>
      <c r="AJ13" s="37"/>
    </row>
    <row r="14" spans="1:36" x14ac:dyDescent="0.25">
      <c r="A14" t="s">
        <v>97</v>
      </c>
      <c r="C14" s="319">
        <v>3788683.0264020502</v>
      </c>
      <c r="D14" s="205">
        <f>C16</f>
        <v>3864456.6869300911</v>
      </c>
      <c r="E14" s="144">
        <f>D16</f>
        <v>49271645.82066869</v>
      </c>
      <c r="F14" s="144">
        <f>E16</f>
        <v>104917078.73708206</v>
      </c>
      <c r="G14" s="144">
        <f t="shared" ref="G14:L14" si="2">F16</f>
        <v>138995420.3118237</v>
      </c>
      <c r="H14" s="144">
        <f t="shared" si="2"/>
        <v>173755328.71806017</v>
      </c>
      <c r="I14" s="144">
        <f t="shared" si="2"/>
        <v>209210435.29242137</v>
      </c>
      <c r="J14" s="144">
        <f t="shared" si="2"/>
        <v>334474643.9982698</v>
      </c>
      <c r="K14" s="144">
        <f t="shared" si="2"/>
        <v>405124136.87823522</v>
      </c>
      <c r="L14" s="144">
        <f t="shared" si="2"/>
        <v>477186619.6157999</v>
      </c>
      <c r="M14" s="144">
        <f>L16</f>
        <v>545360352.00811589</v>
      </c>
      <c r="N14" s="144">
        <f t="shared" ref="N14:AF14" si="3">M16</f>
        <v>599440559.04827821</v>
      </c>
      <c r="O14" s="144">
        <f t="shared" si="3"/>
        <v>611429370.22924376</v>
      </c>
      <c r="P14" s="144">
        <f t="shared" si="3"/>
        <v>623657957.63382864</v>
      </c>
      <c r="Q14" s="144">
        <f t="shared" si="3"/>
        <v>636131116.78650522</v>
      </c>
      <c r="R14" s="144">
        <f t="shared" si="3"/>
        <v>648853739.1222353</v>
      </c>
      <c r="S14" s="144">
        <f t="shared" si="3"/>
        <v>661830813.90468001</v>
      </c>
      <c r="T14" s="144">
        <f t="shared" si="3"/>
        <v>675067430.18277359</v>
      </c>
      <c r="U14" s="144">
        <f t="shared" si="3"/>
        <v>688568778.78642905</v>
      </c>
      <c r="V14" s="144">
        <f t="shared" si="3"/>
        <v>702340154.36215758</v>
      </c>
      <c r="W14" s="144">
        <f t="shared" si="3"/>
        <v>716386957.44940078</v>
      </c>
      <c r="X14" s="144">
        <f t="shared" si="3"/>
        <v>730714696.59838879</v>
      </c>
      <c r="Y14" s="144">
        <f t="shared" si="3"/>
        <v>745328990.53035653</v>
      </c>
      <c r="Z14" s="144">
        <f t="shared" si="3"/>
        <v>760235570.3409636</v>
      </c>
      <c r="AA14" s="144">
        <f t="shared" si="3"/>
        <v>775440281.74778283</v>
      </c>
      <c r="AB14" s="144">
        <f t="shared" si="3"/>
        <v>790949087.38273847</v>
      </c>
      <c r="AC14" s="144">
        <f t="shared" si="3"/>
        <v>806768069.13039327</v>
      </c>
      <c r="AD14" s="144">
        <f t="shared" si="3"/>
        <v>822903430.51300108</v>
      </c>
      <c r="AE14" s="144">
        <f t="shared" si="3"/>
        <v>839361499.12326109</v>
      </c>
      <c r="AF14" s="144">
        <f t="shared" si="3"/>
        <v>856148729.10572636</v>
      </c>
      <c r="AG14" s="227" t="s">
        <v>145</v>
      </c>
      <c r="AH14" s="238"/>
      <c r="AI14" s="152"/>
    </row>
    <row r="15" spans="1:36" x14ac:dyDescent="0.25">
      <c r="A15" t="s">
        <v>94</v>
      </c>
      <c r="B15" s="8"/>
      <c r="C15" s="320">
        <v>75773.660528041</v>
      </c>
      <c r="D15" s="206">
        <f t="shared" ref="D15:AF15" si="4">D14*0.02</f>
        <v>77289.133738601828</v>
      </c>
      <c r="E15" s="132">
        <f t="shared" si="4"/>
        <v>985432.91641337378</v>
      </c>
      <c r="F15" s="132">
        <f t="shared" si="4"/>
        <v>2098341.5747416415</v>
      </c>
      <c r="G15" s="132">
        <f t="shared" si="4"/>
        <v>2779908.4062364739</v>
      </c>
      <c r="H15" s="132">
        <f t="shared" si="4"/>
        <v>3475106.5743612032</v>
      </c>
      <c r="I15" s="132">
        <f t="shared" si="4"/>
        <v>4184208.7058484275</v>
      </c>
      <c r="J15" s="132">
        <f t="shared" si="4"/>
        <v>6689492.8799653957</v>
      </c>
      <c r="K15" s="132">
        <f t="shared" si="4"/>
        <v>8102482.7375647044</v>
      </c>
      <c r="L15" s="132">
        <f t="shared" si="4"/>
        <v>9543732.3923159987</v>
      </c>
      <c r="M15" s="132">
        <f t="shared" si="4"/>
        <v>10907207.040162317</v>
      </c>
      <c r="N15" s="132">
        <f t="shared" si="4"/>
        <v>11988811.180965565</v>
      </c>
      <c r="O15" s="132">
        <f t="shared" si="4"/>
        <v>12228587.404584875</v>
      </c>
      <c r="P15" s="132">
        <f t="shared" si="4"/>
        <v>12473159.152676573</v>
      </c>
      <c r="Q15" s="132">
        <f t="shared" si="4"/>
        <v>12722622.335730106</v>
      </c>
      <c r="R15" s="132">
        <f t="shared" si="4"/>
        <v>12977074.782444706</v>
      </c>
      <c r="S15" s="132">
        <f t="shared" si="4"/>
        <v>13236616.278093601</v>
      </c>
      <c r="T15" s="132">
        <f t="shared" si="4"/>
        <v>13501348.603655472</v>
      </c>
      <c r="U15" s="132">
        <f t="shared" si="4"/>
        <v>13771375.57572858</v>
      </c>
      <c r="V15" s="132">
        <f t="shared" si="4"/>
        <v>14046803.087243153</v>
      </c>
      <c r="W15" s="132">
        <f t="shared" si="4"/>
        <v>14327739.148988016</v>
      </c>
      <c r="X15" s="132">
        <f t="shared" si="4"/>
        <v>14614293.931967776</v>
      </c>
      <c r="Y15" s="132">
        <f t="shared" si="4"/>
        <v>14906579.810607132</v>
      </c>
      <c r="Z15" s="132">
        <f t="shared" si="4"/>
        <v>15204711.406819273</v>
      </c>
      <c r="AA15" s="132">
        <f t="shared" si="4"/>
        <v>15508805.634955658</v>
      </c>
      <c r="AB15" s="132">
        <f t="shared" si="4"/>
        <v>15818981.74765477</v>
      </c>
      <c r="AC15" s="132">
        <f t="shared" si="4"/>
        <v>16135361.382607866</v>
      </c>
      <c r="AD15" s="132">
        <f t="shared" si="4"/>
        <v>16458068.610260023</v>
      </c>
      <c r="AE15" s="132">
        <f t="shared" si="4"/>
        <v>16787229.982465222</v>
      </c>
      <c r="AF15" s="132">
        <f t="shared" si="4"/>
        <v>17122974.582114529</v>
      </c>
      <c r="AG15" s="227" t="s">
        <v>146</v>
      </c>
      <c r="AH15" s="238"/>
      <c r="AI15" s="152"/>
    </row>
    <row r="16" spans="1:36" x14ac:dyDescent="0.25">
      <c r="A16" t="s">
        <v>203</v>
      </c>
      <c r="C16" s="82">
        <f>SUM(C13:C15)</f>
        <v>3864456.6869300911</v>
      </c>
      <c r="D16" s="207">
        <f>D13+D14+D15</f>
        <v>49271645.82066869</v>
      </c>
      <c r="E16" s="82">
        <f t="shared" ref="E16:AF16" si="5">E13+E14+E15</f>
        <v>104917078.73708206</v>
      </c>
      <c r="F16" s="82">
        <f t="shared" si="5"/>
        <v>138995420.3118237</v>
      </c>
      <c r="G16" s="82">
        <f t="shared" si="5"/>
        <v>173755328.71806017</v>
      </c>
      <c r="H16" s="82">
        <f t="shared" si="5"/>
        <v>209210435.29242137</v>
      </c>
      <c r="I16" s="82">
        <f t="shared" si="5"/>
        <v>334474643.9982698</v>
      </c>
      <c r="J16" s="82">
        <f t="shared" si="5"/>
        <v>405124136.87823522</v>
      </c>
      <c r="K16" s="82">
        <f t="shared" si="5"/>
        <v>477186619.6157999</v>
      </c>
      <c r="L16" s="82">
        <f t="shared" si="5"/>
        <v>545360352.00811589</v>
      </c>
      <c r="M16" s="82">
        <f t="shared" si="5"/>
        <v>599440559.04827821</v>
      </c>
      <c r="N16" s="82">
        <f t="shared" si="5"/>
        <v>611429370.22924376</v>
      </c>
      <c r="O16" s="82">
        <f t="shared" si="5"/>
        <v>623657957.63382864</v>
      </c>
      <c r="P16" s="82">
        <f t="shared" si="5"/>
        <v>636131116.78650522</v>
      </c>
      <c r="Q16" s="82">
        <f t="shared" si="5"/>
        <v>648853739.1222353</v>
      </c>
      <c r="R16" s="82">
        <f t="shared" si="5"/>
        <v>661830813.90468001</v>
      </c>
      <c r="S16" s="82">
        <f t="shared" si="5"/>
        <v>675067430.18277359</v>
      </c>
      <c r="T16" s="82">
        <f t="shared" si="5"/>
        <v>688568778.78642905</v>
      </c>
      <c r="U16" s="82">
        <f t="shared" si="5"/>
        <v>702340154.36215758</v>
      </c>
      <c r="V16" s="82">
        <f t="shared" si="5"/>
        <v>716386957.44940078</v>
      </c>
      <c r="W16" s="82">
        <f t="shared" si="5"/>
        <v>730714696.59838879</v>
      </c>
      <c r="X16" s="82">
        <f t="shared" si="5"/>
        <v>745328990.53035653</v>
      </c>
      <c r="Y16" s="82">
        <f t="shared" si="5"/>
        <v>760235570.3409636</v>
      </c>
      <c r="Z16" s="82">
        <f t="shared" si="5"/>
        <v>775440281.74778283</v>
      </c>
      <c r="AA16" s="82">
        <f t="shared" si="5"/>
        <v>790949087.38273847</v>
      </c>
      <c r="AB16" s="82">
        <f t="shared" si="5"/>
        <v>806768069.13039327</v>
      </c>
      <c r="AC16" s="82">
        <f t="shared" si="5"/>
        <v>822903430.51300108</v>
      </c>
      <c r="AD16" s="82">
        <f t="shared" si="5"/>
        <v>839361499.12326109</v>
      </c>
      <c r="AE16" s="82">
        <f t="shared" si="5"/>
        <v>856148729.10572636</v>
      </c>
      <c r="AF16" s="82">
        <f t="shared" si="5"/>
        <v>873271703.68784094</v>
      </c>
      <c r="AG16" s="335" t="s">
        <v>176</v>
      </c>
      <c r="AH16" s="240" t="s">
        <v>190</v>
      </c>
      <c r="AI16" s="152"/>
    </row>
    <row r="17" spans="1:49" x14ac:dyDescent="0.25">
      <c r="A17" t="s">
        <v>12</v>
      </c>
      <c r="C17" s="146">
        <f t="shared" ref="C17:AF17" si="6">-$B$6</f>
        <v>0</v>
      </c>
      <c r="D17" s="208">
        <f t="shared" si="6"/>
        <v>0</v>
      </c>
      <c r="E17" s="56">
        <f t="shared" si="6"/>
        <v>0</v>
      </c>
      <c r="F17" s="56">
        <f t="shared" si="6"/>
        <v>0</v>
      </c>
      <c r="G17" s="56">
        <f t="shared" si="6"/>
        <v>0</v>
      </c>
      <c r="H17" s="56">
        <f t="shared" si="6"/>
        <v>0</v>
      </c>
      <c r="I17" s="56">
        <f t="shared" si="6"/>
        <v>0</v>
      </c>
      <c r="J17" s="56">
        <f t="shared" si="6"/>
        <v>0</v>
      </c>
      <c r="K17" s="56">
        <f t="shared" si="6"/>
        <v>0</v>
      </c>
      <c r="L17" s="56">
        <f t="shared" si="6"/>
        <v>0</v>
      </c>
      <c r="M17" s="56">
        <f t="shared" si="6"/>
        <v>0</v>
      </c>
      <c r="N17" s="56">
        <f t="shared" si="6"/>
        <v>0</v>
      </c>
      <c r="O17" s="56">
        <f t="shared" si="6"/>
        <v>0</v>
      </c>
      <c r="P17" s="56">
        <f t="shared" si="6"/>
        <v>0</v>
      </c>
      <c r="Q17" s="56">
        <f t="shared" si="6"/>
        <v>0</v>
      </c>
      <c r="R17" s="56">
        <f t="shared" si="6"/>
        <v>0</v>
      </c>
      <c r="S17" s="56">
        <f t="shared" si="6"/>
        <v>0</v>
      </c>
      <c r="T17" s="56">
        <f t="shared" si="6"/>
        <v>0</v>
      </c>
      <c r="U17" s="56">
        <f t="shared" si="6"/>
        <v>0</v>
      </c>
      <c r="V17" s="56">
        <f t="shared" si="6"/>
        <v>0</v>
      </c>
      <c r="W17" s="56">
        <f t="shared" si="6"/>
        <v>0</v>
      </c>
      <c r="X17" s="56">
        <f t="shared" si="6"/>
        <v>0</v>
      </c>
      <c r="Y17" s="56">
        <f t="shared" si="6"/>
        <v>0</v>
      </c>
      <c r="Z17" s="56">
        <f t="shared" si="6"/>
        <v>0</v>
      </c>
      <c r="AA17" s="56">
        <f t="shared" si="6"/>
        <v>0</v>
      </c>
      <c r="AB17" s="56">
        <f t="shared" si="6"/>
        <v>0</v>
      </c>
      <c r="AC17" s="56">
        <f t="shared" si="6"/>
        <v>0</v>
      </c>
      <c r="AD17" s="56">
        <f t="shared" si="6"/>
        <v>0</v>
      </c>
      <c r="AE17" s="56">
        <f t="shared" si="6"/>
        <v>0</v>
      </c>
      <c r="AF17" s="56">
        <f t="shared" si="6"/>
        <v>0</v>
      </c>
      <c r="AG17" s="227" t="s">
        <v>144</v>
      </c>
      <c r="AH17" s="238" t="s">
        <v>144</v>
      </c>
      <c r="AI17" s="152"/>
    </row>
    <row r="18" spans="1:49" x14ac:dyDescent="0.25">
      <c r="A18" s="1" t="s">
        <v>51</v>
      </c>
      <c r="C18" s="96">
        <f>C20/B20</f>
        <v>3864456.6869300911</v>
      </c>
      <c r="D18" s="209">
        <f t="shared" ref="D18:AF18" si="7">SUM(D16:D17)</f>
        <v>49271645.82066869</v>
      </c>
      <c r="E18" s="70">
        <f t="shared" si="7"/>
        <v>104917078.73708206</v>
      </c>
      <c r="F18" s="70">
        <f t="shared" si="7"/>
        <v>138995420.3118237</v>
      </c>
      <c r="G18" s="70">
        <f t="shared" si="7"/>
        <v>173755328.71806017</v>
      </c>
      <c r="H18" s="70">
        <f t="shared" si="7"/>
        <v>209210435.29242137</v>
      </c>
      <c r="I18" s="70">
        <f t="shared" si="7"/>
        <v>334474643.9982698</v>
      </c>
      <c r="J18" s="70">
        <f t="shared" si="7"/>
        <v>405124136.87823522</v>
      </c>
      <c r="K18" s="70">
        <f t="shared" si="7"/>
        <v>477186619.6157999</v>
      </c>
      <c r="L18" s="70">
        <f t="shared" si="7"/>
        <v>545360352.00811589</v>
      </c>
      <c r="M18" s="70">
        <f t="shared" si="7"/>
        <v>599440559.04827821</v>
      </c>
      <c r="N18" s="70">
        <f t="shared" si="7"/>
        <v>611429370.22924376</v>
      </c>
      <c r="O18" s="70">
        <f t="shared" si="7"/>
        <v>623657957.63382864</v>
      </c>
      <c r="P18" s="70">
        <f t="shared" si="7"/>
        <v>636131116.78650522</v>
      </c>
      <c r="Q18" s="70">
        <f t="shared" si="7"/>
        <v>648853739.1222353</v>
      </c>
      <c r="R18" s="70">
        <f t="shared" si="7"/>
        <v>661830813.90468001</v>
      </c>
      <c r="S18" s="70">
        <f t="shared" si="7"/>
        <v>675067430.18277359</v>
      </c>
      <c r="T18" s="70">
        <f t="shared" si="7"/>
        <v>688568778.78642905</v>
      </c>
      <c r="U18" s="70">
        <f t="shared" si="7"/>
        <v>702340154.36215758</v>
      </c>
      <c r="V18" s="70">
        <f t="shared" si="7"/>
        <v>716386957.44940078</v>
      </c>
      <c r="W18" s="70">
        <f t="shared" si="7"/>
        <v>730714696.59838879</v>
      </c>
      <c r="X18" s="70">
        <f t="shared" si="7"/>
        <v>745328990.53035653</v>
      </c>
      <c r="Y18" s="70">
        <f t="shared" si="7"/>
        <v>760235570.3409636</v>
      </c>
      <c r="Z18" s="70">
        <f t="shared" si="7"/>
        <v>775440281.74778283</v>
      </c>
      <c r="AA18" s="70">
        <f t="shared" si="7"/>
        <v>790949087.38273847</v>
      </c>
      <c r="AB18" s="70">
        <f t="shared" si="7"/>
        <v>806768069.13039327</v>
      </c>
      <c r="AC18" s="70">
        <f t="shared" si="7"/>
        <v>822903430.51300108</v>
      </c>
      <c r="AD18" s="70">
        <f t="shared" si="7"/>
        <v>839361499.12326109</v>
      </c>
      <c r="AE18" s="70">
        <f t="shared" si="7"/>
        <v>856148729.10572636</v>
      </c>
      <c r="AF18" s="70">
        <f t="shared" si="7"/>
        <v>873271703.68784094</v>
      </c>
      <c r="AG18" s="227" t="s">
        <v>177</v>
      </c>
      <c r="AH18" s="238" t="s">
        <v>191</v>
      </c>
      <c r="AI18" s="152"/>
    </row>
    <row r="19" spans="1:49" ht="8.1" customHeight="1" x14ac:dyDescent="0.25">
      <c r="C19" s="82"/>
      <c r="D19" s="207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227"/>
      <c r="AH19" s="238"/>
      <c r="AI19" s="152"/>
    </row>
    <row r="20" spans="1:49" x14ac:dyDescent="0.25">
      <c r="A20" t="s">
        <v>42</v>
      </c>
      <c r="B20" s="253">
        <v>0.01</v>
      </c>
      <c r="C20" s="82">
        <f>B20*C16</f>
        <v>38644.566869300914</v>
      </c>
      <c r="D20" s="207">
        <f>D18*B20</f>
        <v>492716.45820668689</v>
      </c>
      <c r="E20" s="68">
        <f>$B$20*E18</f>
        <v>1049170.7873708208</v>
      </c>
      <c r="F20" s="68">
        <f t="shared" ref="F20:AF20" si="8">$B$20*F18</f>
        <v>1389954.203118237</v>
      </c>
      <c r="G20" s="68">
        <f t="shared" si="8"/>
        <v>1737553.2871806016</v>
      </c>
      <c r="H20" s="68">
        <f t="shared" si="8"/>
        <v>2092104.3529242137</v>
      </c>
      <c r="I20" s="68">
        <f t="shared" si="8"/>
        <v>3344746.4399826978</v>
      </c>
      <c r="J20" s="68">
        <f t="shared" si="8"/>
        <v>4051241.3687823522</v>
      </c>
      <c r="K20" s="68">
        <f t="shared" si="8"/>
        <v>4771866.1961579993</v>
      </c>
      <c r="L20" s="68">
        <f t="shared" si="8"/>
        <v>5453603.5200811587</v>
      </c>
      <c r="M20" s="68">
        <f t="shared" si="8"/>
        <v>5994405.5904827826</v>
      </c>
      <c r="N20" s="68">
        <f t="shared" si="8"/>
        <v>6114293.7022924377</v>
      </c>
      <c r="O20" s="68">
        <f t="shared" si="8"/>
        <v>6236579.5763382865</v>
      </c>
      <c r="P20" s="68">
        <f t="shared" si="8"/>
        <v>6361311.1678650528</v>
      </c>
      <c r="Q20" s="68">
        <f t="shared" si="8"/>
        <v>6488537.3912223531</v>
      </c>
      <c r="R20" s="68">
        <f t="shared" si="8"/>
        <v>6618308.1390468003</v>
      </c>
      <c r="S20" s="68">
        <f t="shared" si="8"/>
        <v>6750674.3018277362</v>
      </c>
      <c r="T20" s="68">
        <f t="shared" si="8"/>
        <v>6885687.7878642902</v>
      </c>
      <c r="U20" s="68">
        <f t="shared" si="8"/>
        <v>7023401.5436215764</v>
      </c>
      <c r="V20" s="68">
        <f t="shared" si="8"/>
        <v>7163869.574494008</v>
      </c>
      <c r="W20" s="68">
        <f t="shared" si="8"/>
        <v>7307146.9659838881</v>
      </c>
      <c r="X20" s="68">
        <f t="shared" si="8"/>
        <v>7453289.9053035658</v>
      </c>
      <c r="Y20" s="68">
        <f t="shared" si="8"/>
        <v>7602355.7034096364</v>
      </c>
      <c r="Z20" s="68">
        <f t="shared" si="8"/>
        <v>7754402.8174778288</v>
      </c>
      <c r="AA20" s="68">
        <f t="shared" si="8"/>
        <v>7909490.8738273848</v>
      </c>
      <c r="AB20" s="68">
        <f t="shared" si="8"/>
        <v>8067680.691303933</v>
      </c>
      <c r="AC20" s="68">
        <f t="shared" si="8"/>
        <v>8229034.3051300114</v>
      </c>
      <c r="AD20" s="68">
        <f t="shared" si="8"/>
        <v>8393614.9912326112</v>
      </c>
      <c r="AE20" s="68">
        <f t="shared" si="8"/>
        <v>8561487.2910572644</v>
      </c>
      <c r="AF20" s="68">
        <f t="shared" si="8"/>
        <v>8732717.0368784089</v>
      </c>
      <c r="AG20" s="227" t="s">
        <v>178</v>
      </c>
      <c r="AH20" s="240" t="s">
        <v>192</v>
      </c>
      <c r="AI20" s="152"/>
    </row>
    <row r="21" spans="1:49" x14ac:dyDescent="0.25">
      <c r="A21" t="s">
        <v>41</v>
      </c>
      <c r="B21" s="176">
        <v>0.2</v>
      </c>
      <c r="C21" s="173">
        <f t="shared" ref="C21:L21" si="9">-$B21*C20</f>
        <v>-7728.9133738601831</v>
      </c>
      <c r="D21" s="207">
        <f t="shared" si="9"/>
        <v>-98543.29164133739</v>
      </c>
      <c r="E21" s="69">
        <f t="shared" si="9"/>
        <v>-209834.15747416415</v>
      </c>
      <c r="F21" s="69">
        <f t="shared" si="9"/>
        <v>-277990.84062364738</v>
      </c>
      <c r="G21" s="69">
        <f t="shared" si="9"/>
        <v>-347510.65743612032</v>
      </c>
      <c r="H21" s="69">
        <f t="shared" si="9"/>
        <v>-418420.87058484275</v>
      </c>
      <c r="I21" s="69">
        <f t="shared" si="9"/>
        <v>-668949.28799653961</v>
      </c>
      <c r="J21" s="69">
        <f t="shared" si="9"/>
        <v>-810248.27375647053</v>
      </c>
      <c r="K21" s="69">
        <f t="shared" si="9"/>
        <v>-954373.23923159996</v>
      </c>
      <c r="L21" s="69">
        <f t="shared" si="9"/>
        <v>-1090720.7040162317</v>
      </c>
      <c r="M21" s="69">
        <f>-$B21*M20</f>
        <v>-1198881.1180965565</v>
      </c>
      <c r="N21" s="69">
        <f t="shared" ref="N21:AF21" si="10">-$B21*N20</f>
        <v>-1222858.7404584875</v>
      </c>
      <c r="O21" s="69">
        <f t="shared" si="10"/>
        <v>-1247315.9152676573</v>
      </c>
      <c r="P21" s="69">
        <f t="shared" si="10"/>
        <v>-1272262.2335730107</v>
      </c>
      <c r="Q21" s="69">
        <f t="shared" si="10"/>
        <v>-1297707.4782444707</v>
      </c>
      <c r="R21" s="69">
        <f t="shared" si="10"/>
        <v>-1323661.6278093602</v>
      </c>
      <c r="S21" s="69">
        <f t="shared" si="10"/>
        <v>-1350134.8603655472</v>
      </c>
      <c r="T21" s="69">
        <f t="shared" si="10"/>
        <v>-1377137.5575728582</v>
      </c>
      <c r="U21" s="69">
        <f t="shared" si="10"/>
        <v>-1404680.3087243154</v>
      </c>
      <c r="V21" s="69">
        <f t="shared" si="10"/>
        <v>-1432773.9148988016</v>
      </c>
      <c r="W21" s="69">
        <f t="shared" si="10"/>
        <v>-1461429.3931967777</v>
      </c>
      <c r="X21" s="69">
        <f t="shared" si="10"/>
        <v>-1490657.9810607133</v>
      </c>
      <c r="Y21" s="69">
        <f t="shared" si="10"/>
        <v>-1520471.1406819273</v>
      </c>
      <c r="Z21" s="69">
        <f t="shared" si="10"/>
        <v>-1550880.5634955659</v>
      </c>
      <c r="AA21" s="69">
        <f t="shared" si="10"/>
        <v>-1581898.174765477</v>
      </c>
      <c r="AB21" s="69">
        <f t="shared" si="10"/>
        <v>-1613536.1382607867</v>
      </c>
      <c r="AC21" s="69">
        <f t="shared" si="10"/>
        <v>-1645806.8610260023</v>
      </c>
      <c r="AD21" s="69">
        <f t="shared" si="10"/>
        <v>-1678722.9982465224</v>
      </c>
      <c r="AE21" s="69">
        <f t="shared" si="10"/>
        <v>-1712297.4582114529</v>
      </c>
      <c r="AF21" s="69">
        <f t="shared" si="10"/>
        <v>-1746543.4073756819</v>
      </c>
      <c r="AG21" s="231" t="s">
        <v>179</v>
      </c>
      <c r="AH21" s="241" t="s">
        <v>193</v>
      </c>
      <c r="AI21" s="152"/>
    </row>
    <row r="22" spans="1:49" x14ac:dyDescent="0.25">
      <c r="A22" s="1" t="s">
        <v>69</v>
      </c>
      <c r="B22" s="254"/>
      <c r="C22" s="204">
        <f>SUM(C20:C21)</f>
        <v>30915.653495440733</v>
      </c>
      <c r="D22" s="210">
        <f t="shared" ref="D22:AF22" si="11">SUM(D20:D21)</f>
        <v>394173.1665653495</v>
      </c>
      <c r="E22" s="71">
        <f t="shared" si="11"/>
        <v>839336.62989665661</v>
      </c>
      <c r="F22" s="71">
        <f t="shared" si="11"/>
        <v>1111963.3624945895</v>
      </c>
      <c r="G22" s="71">
        <f t="shared" si="11"/>
        <v>1390042.6297444813</v>
      </c>
      <c r="H22" s="71">
        <f t="shared" si="11"/>
        <v>1673683.482339371</v>
      </c>
      <c r="I22" s="71">
        <f t="shared" si="11"/>
        <v>2675797.1519861585</v>
      </c>
      <c r="J22" s="71">
        <f t="shared" si="11"/>
        <v>3240993.0950258817</v>
      </c>
      <c r="K22" s="71">
        <f t="shared" si="11"/>
        <v>3817492.9569263994</v>
      </c>
      <c r="L22" s="71">
        <f t="shared" si="11"/>
        <v>4362882.8160649268</v>
      </c>
      <c r="M22" s="71">
        <f t="shared" si="11"/>
        <v>4795524.4723862261</v>
      </c>
      <c r="N22" s="71">
        <f t="shared" si="11"/>
        <v>4891434.9618339501</v>
      </c>
      <c r="O22" s="71">
        <f t="shared" si="11"/>
        <v>4989263.661070629</v>
      </c>
      <c r="P22" s="71">
        <f t="shared" si="11"/>
        <v>5089048.9342920426</v>
      </c>
      <c r="Q22" s="71">
        <f t="shared" si="11"/>
        <v>5190829.9129778827</v>
      </c>
      <c r="R22" s="71">
        <f t="shared" si="11"/>
        <v>5294646.5112374406</v>
      </c>
      <c r="S22" s="71">
        <f t="shared" si="11"/>
        <v>5400539.441462189</v>
      </c>
      <c r="T22" s="71">
        <f t="shared" si="11"/>
        <v>5508550.2302914318</v>
      </c>
      <c r="U22" s="71">
        <f t="shared" si="11"/>
        <v>5618721.2348972615</v>
      </c>
      <c r="V22" s="71">
        <f t="shared" si="11"/>
        <v>5731095.6595952064</v>
      </c>
      <c r="W22" s="71">
        <f t="shared" si="11"/>
        <v>5845717.5727871107</v>
      </c>
      <c r="X22" s="71">
        <f t="shared" si="11"/>
        <v>5962631.9242428523</v>
      </c>
      <c r="Y22" s="71">
        <f t="shared" si="11"/>
        <v>6081884.5627277093</v>
      </c>
      <c r="Z22" s="71">
        <f t="shared" si="11"/>
        <v>6203522.2539822627</v>
      </c>
      <c r="AA22" s="71">
        <f t="shared" si="11"/>
        <v>6327592.6990619078</v>
      </c>
      <c r="AB22" s="71">
        <f t="shared" si="11"/>
        <v>6454144.5530431466</v>
      </c>
      <c r="AC22" s="71">
        <f t="shared" si="11"/>
        <v>6583227.4441040093</v>
      </c>
      <c r="AD22" s="71">
        <f>SUM(AD20:AD21)</f>
        <v>6714891.9929860886</v>
      </c>
      <c r="AE22" s="71">
        <f t="shared" si="11"/>
        <v>6849189.8328458117</v>
      </c>
      <c r="AF22" s="71">
        <f t="shared" si="11"/>
        <v>6986173.6295027267</v>
      </c>
      <c r="AG22" s="227" t="s">
        <v>180</v>
      </c>
      <c r="AH22" s="238" t="s">
        <v>150</v>
      </c>
      <c r="AI22" s="152"/>
    </row>
    <row r="23" spans="1:49" ht="8.1" customHeight="1" x14ac:dyDescent="0.25">
      <c r="A23" s="1"/>
      <c r="B23" s="254"/>
      <c r="C23" s="82"/>
      <c r="D23" s="207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227"/>
      <c r="AH23" s="238"/>
      <c r="AI23" s="152"/>
    </row>
    <row r="24" spans="1:49" ht="15" customHeight="1" x14ac:dyDescent="0.25">
      <c r="A24" s="1" t="s">
        <v>222</v>
      </c>
      <c r="B24" s="254"/>
      <c r="C24" s="82"/>
      <c r="D24" s="207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227"/>
      <c r="AH24" s="238"/>
      <c r="AI24" s="238"/>
      <c r="AJ24" s="124"/>
      <c r="AK24" s="326"/>
      <c r="AL24" s="326"/>
      <c r="AM24" s="445"/>
    </row>
    <row r="25" spans="1:49" ht="15" customHeight="1" x14ac:dyDescent="0.25">
      <c r="A25" s="19" t="s">
        <v>220</v>
      </c>
      <c r="B25" s="255">
        <f>25%*54%</f>
        <v>0.13500000000000001</v>
      </c>
      <c r="C25" s="82">
        <v>0</v>
      </c>
      <c r="D25" s="207">
        <f>-$B$25*D22</f>
        <v>-53213.377486322184</v>
      </c>
      <c r="E25" s="68">
        <f>-$B$25*E22</f>
        <v>-113310.44503604865</v>
      </c>
      <c r="F25" s="68">
        <f t="shared" ref="F25:AF25" si="12">-$B$25*F22</f>
        <v>-150115.0539367696</v>
      </c>
      <c r="G25" s="68">
        <f t="shared" si="12"/>
        <v>-187655.75501550498</v>
      </c>
      <c r="H25" s="68">
        <f t="shared" si="12"/>
        <v>-225947.2701158151</v>
      </c>
      <c r="I25" s="68">
        <f t="shared" si="12"/>
        <v>-361232.61551813141</v>
      </c>
      <c r="J25" s="68">
        <f t="shared" si="12"/>
        <v>-437534.06782849407</v>
      </c>
      <c r="K25" s="68">
        <f t="shared" si="12"/>
        <v>-515361.54918506392</v>
      </c>
      <c r="L25" s="68">
        <f t="shared" si="12"/>
        <v>-588989.18016876513</v>
      </c>
      <c r="M25" s="68">
        <f t="shared" si="12"/>
        <v>-647395.80377214053</v>
      </c>
      <c r="N25" s="68">
        <f t="shared" si="12"/>
        <v>-660343.71984758333</v>
      </c>
      <c r="O25" s="68">
        <f t="shared" si="12"/>
        <v>-673550.59424453496</v>
      </c>
      <c r="P25" s="68">
        <f t="shared" si="12"/>
        <v>-687021.60612942581</v>
      </c>
      <c r="Q25" s="68">
        <f t="shared" si="12"/>
        <v>-700762.0382520142</v>
      </c>
      <c r="R25" s="68">
        <f t="shared" si="12"/>
        <v>-714777.27901705448</v>
      </c>
      <c r="S25" s="68">
        <f t="shared" si="12"/>
        <v>-729072.82459739561</v>
      </c>
      <c r="T25" s="68">
        <f t="shared" si="12"/>
        <v>-743654.28108934336</v>
      </c>
      <c r="U25" s="68">
        <f t="shared" si="12"/>
        <v>-758527.36671113037</v>
      </c>
      <c r="V25" s="68">
        <f t="shared" si="12"/>
        <v>-773697.91404535295</v>
      </c>
      <c r="W25" s="68">
        <f t="shared" si="12"/>
        <v>-789171.87232625997</v>
      </c>
      <c r="X25" s="68">
        <f t="shared" si="12"/>
        <v>-804955.30977278505</v>
      </c>
      <c r="Y25" s="68">
        <f t="shared" si="12"/>
        <v>-821054.41596824082</v>
      </c>
      <c r="Z25" s="68">
        <f t="shared" si="12"/>
        <v>-837475.50428760552</v>
      </c>
      <c r="AA25" s="68">
        <f t="shared" si="12"/>
        <v>-854225.01437335764</v>
      </c>
      <c r="AB25" s="68">
        <f t="shared" si="12"/>
        <v>-871309.51466082491</v>
      </c>
      <c r="AC25" s="68">
        <f t="shared" si="12"/>
        <v>-888735.70495404128</v>
      </c>
      <c r="AD25" s="68">
        <f t="shared" si="12"/>
        <v>-906510.41905312205</v>
      </c>
      <c r="AE25" s="68">
        <f t="shared" si="12"/>
        <v>-924640.62743418466</v>
      </c>
      <c r="AF25" s="68">
        <f t="shared" si="12"/>
        <v>-943133.43998286815</v>
      </c>
      <c r="AG25" s="227" t="s">
        <v>224</v>
      </c>
      <c r="AH25" s="238"/>
      <c r="AI25" s="238"/>
      <c r="AJ25" s="124"/>
      <c r="AM25" s="445"/>
    </row>
    <row r="26" spans="1:49" x14ac:dyDescent="0.25">
      <c r="A26" s="317" t="s">
        <v>221</v>
      </c>
      <c r="B26" s="255">
        <f>54%*21%</f>
        <v>0.1134</v>
      </c>
      <c r="C26" s="82">
        <v>0</v>
      </c>
      <c r="D26" s="207">
        <f>-$B$26*D22</f>
        <v>-44699.237088510636</v>
      </c>
      <c r="E26" s="82">
        <f>-$B$26*E22</f>
        <v>-95180.773830280858</v>
      </c>
      <c r="F26" s="82">
        <f t="shared" ref="F26:AF26" si="13">-$B$26*F22</f>
        <v>-126096.64530688645</v>
      </c>
      <c r="G26" s="82">
        <f t="shared" si="13"/>
        <v>-157630.83421302418</v>
      </c>
      <c r="H26" s="82">
        <f t="shared" si="13"/>
        <v>-189795.70689728466</v>
      </c>
      <c r="I26" s="82">
        <f t="shared" si="13"/>
        <v>-303435.39703523036</v>
      </c>
      <c r="J26" s="82">
        <f t="shared" si="13"/>
        <v>-367528.616975935</v>
      </c>
      <c r="K26" s="82">
        <f t="shared" si="13"/>
        <v>-432903.70131545368</v>
      </c>
      <c r="L26" s="82">
        <f t="shared" si="13"/>
        <v>-494750.91134176269</v>
      </c>
      <c r="M26" s="82">
        <f t="shared" si="13"/>
        <v>-543812.475168598</v>
      </c>
      <c r="N26" s="82">
        <f t="shared" si="13"/>
        <v>-554688.72467197001</v>
      </c>
      <c r="O26" s="82">
        <f t="shared" si="13"/>
        <v>-565782.49916540936</v>
      </c>
      <c r="P26" s="82">
        <f t="shared" si="13"/>
        <v>-577098.14914871764</v>
      </c>
      <c r="Q26" s="82">
        <f t="shared" si="13"/>
        <v>-588640.11213169189</v>
      </c>
      <c r="R26" s="82">
        <f t="shared" si="13"/>
        <v>-600412.91437432577</v>
      </c>
      <c r="S26" s="82">
        <f t="shared" si="13"/>
        <v>-612421.17266181228</v>
      </c>
      <c r="T26" s="82">
        <f t="shared" si="13"/>
        <v>-624669.59611504839</v>
      </c>
      <c r="U26" s="82">
        <f t="shared" si="13"/>
        <v>-637162.98803734942</v>
      </c>
      <c r="V26" s="82">
        <f t="shared" si="13"/>
        <v>-649906.24779809639</v>
      </c>
      <c r="W26" s="82">
        <f t="shared" si="13"/>
        <v>-662904.37275405833</v>
      </c>
      <c r="X26" s="82">
        <f t="shared" si="13"/>
        <v>-676162.46020913951</v>
      </c>
      <c r="Y26" s="82">
        <f t="shared" si="13"/>
        <v>-689685.70941332227</v>
      </c>
      <c r="Z26" s="82">
        <f t="shared" si="13"/>
        <v>-703479.42360158858</v>
      </c>
      <c r="AA26" s="82">
        <f t="shared" si="13"/>
        <v>-717549.01207362034</v>
      </c>
      <c r="AB26" s="82">
        <f t="shared" si="13"/>
        <v>-731899.99231509282</v>
      </c>
      <c r="AC26" s="82">
        <f t="shared" si="13"/>
        <v>-746537.99216139468</v>
      </c>
      <c r="AD26" s="82">
        <f t="shared" si="13"/>
        <v>-761468.75200462248</v>
      </c>
      <c r="AE26" s="82">
        <f t="shared" si="13"/>
        <v>-776698.1270447151</v>
      </c>
      <c r="AF26" s="82">
        <f t="shared" si="13"/>
        <v>-792232.08958560927</v>
      </c>
      <c r="AG26" s="227" t="s">
        <v>225</v>
      </c>
      <c r="AH26" s="240"/>
      <c r="AI26" s="240"/>
      <c r="AJ26" s="124"/>
      <c r="AK26" s="348"/>
      <c r="AL26" s="348"/>
      <c r="AM26" s="288"/>
      <c r="AN26" s="288"/>
      <c r="AO26" s="3"/>
      <c r="AP26" s="3"/>
      <c r="AQ26" s="3"/>
      <c r="AR26" s="3"/>
      <c r="AS26" s="3"/>
      <c r="AT26" s="3"/>
      <c r="AU26" s="3"/>
      <c r="AV26" s="3"/>
      <c r="AW26" s="288"/>
    </row>
    <row r="27" spans="1:49" x14ac:dyDescent="0.25">
      <c r="A27" s="322" t="s">
        <v>310</v>
      </c>
      <c r="B27" s="323"/>
      <c r="C27" s="82">
        <v>0</v>
      </c>
      <c r="D27" s="207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f>M22-$L$22</f>
        <v>432641.65632129926</v>
      </c>
      <c r="N27" s="82">
        <f t="shared" ref="N27:AF27" si="14">N22-$L$22</f>
        <v>528552.14576902334</v>
      </c>
      <c r="O27" s="82">
        <f t="shared" si="14"/>
        <v>626380.84500570223</v>
      </c>
      <c r="P27" s="82">
        <f t="shared" si="14"/>
        <v>726166.11822711583</v>
      </c>
      <c r="Q27" s="82">
        <f t="shared" si="14"/>
        <v>827947.09691295587</v>
      </c>
      <c r="R27" s="82">
        <f t="shared" si="14"/>
        <v>931763.69517251384</v>
      </c>
      <c r="S27" s="82">
        <f t="shared" si="14"/>
        <v>1037656.6253972622</v>
      </c>
      <c r="T27" s="82">
        <f t="shared" si="14"/>
        <v>1145667.414226505</v>
      </c>
      <c r="U27" s="82">
        <f t="shared" si="14"/>
        <v>1255838.4188323347</v>
      </c>
      <c r="V27" s="82">
        <f t="shared" si="14"/>
        <v>1368212.8435302796</v>
      </c>
      <c r="W27" s="82">
        <f t="shared" si="14"/>
        <v>1482834.7567221839</v>
      </c>
      <c r="X27" s="82">
        <f t="shared" si="14"/>
        <v>1599749.1081779255</v>
      </c>
      <c r="Y27" s="82">
        <f t="shared" si="14"/>
        <v>1719001.7466627825</v>
      </c>
      <c r="Z27" s="82">
        <f t="shared" si="14"/>
        <v>1840639.4379173359</v>
      </c>
      <c r="AA27" s="82">
        <f t="shared" si="14"/>
        <v>1964709.882996981</v>
      </c>
      <c r="AB27" s="82">
        <f t="shared" si="14"/>
        <v>2091261.7369782198</v>
      </c>
      <c r="AC27" s="82">
        <f t="shared" si="14"/>
        <v>2220344.6280390825</v>
      </c>
      <c r="AD27" s="82">
        <f t="shared" si="14"/>
        <v>2352009.1769211618</v>
      </c>
      <c r="AE27" s="82">
        <f t="shared" si="14"/>
        <v>2486307.0167808849</v>
      </c>
      <c r="AF27" s="82">
        <f t="shared" si="14"/>
        <v>2623290.8134377999</v>
      </c>
      <c r="AG27" s="227"/>
      <c r="AH27" s="246"/>
      <c r="AI27" s="246"/>
      <c r="AJ27" s="124"/>
      <c r="AK27" s="348"/>
      <c r="AL27" s="348"/>
      <c r="AM27" s="288"/>
      <c r="AN27" s="288"/>
      <c r="AO27" s="3"/>
      <c r="AP27" s="3"/>
      <c r="AQ27" s="3"/>
      <c r="AR27" s="3"/>
      <c r="AS27" s="3"/>
      <c r="AT27" s="3"/>
      <c r="AU27" s="3"/>
      <c r="AV27" s="3"/>
      <c r="AW27" s="288"/>
    </row>
    <row r="28" spans="1:49" x14ac:dyDescent="0.25">
      <c r="A28" s="317" t="s">
        <v>282</v>
      </c>
      <c r="B28" s="256">
        <f>14%*54%</f>
        <v>7.5600000000000014E-2</v>
      </c>
      <c r="C28" s="82">
        <v>0</v>
      </c>
      <c r="D28" s="207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f>-$B$28*M27</f>
        <v>-32707.709217890231</v>
      </c>
      <c r="N28" s="82">
        <f t="shared" ref="N28:AF28" si="15">-$B$28*N27</f>
        <v>-39958.542220138173</v>
      </c>
      <c r="O28" s="82">
        <f t="shared" si="15"/>
        <v>-47354.391882431097</v>
      </c>
      <c r="P28" s="82">
        <f t="shared" si="15"/>
        <v>-54898.158537969968</v>
      </c>
      <c r="Q28" s="82">
        <f t="shared" si="15"/>
        <v>-62592.800526619474</v>
      </c>
      <c r="R28" s="82">
        <f t="shared" si="15"/>
        <v>-70441.335355042058</v>
      </c>
      <c r="S28" s="82">
        <f t="shared" si="15"/>
        <v>-78446.840880033036</v>
      </c>
      <c r="T28" s="82">
        <f t="shared" si="15"/>
        <v>-86612.456515523794</v>
      </c>
      <c r="U28" s="82">
        <f t="shared" si="15"/>
        <v>-94941.38446372452</v>
      </c>
      <c r="V28" s="82">
        <f t="shared" si="15"/>
        <v>-103436.89097088916</v>
      </c>
      <c r="W28" s="82">
        <f t="shared" si="15"/>
        <v>-112102.30760819712</v>
      </c>
      <c r="X28" s="82">
        <f t="shared" si="15"/>
        <v>-120941.03257825119</v>
      </c>
      <c r="Y28" s="82">
        <f t="shared" si="15"/>
        <v>-129956.53204770638</v>
      </c>
      <c r="Z28" s="82">
        <f t="shared" si="15"/>
        <v>-139152.34150655061</v>
      </c>
      <c r="AA28" s="82">
        <f t="shared" si="15"/>
        <v>-148532.06715457179</v>
      </c>
      <c r="AB28" s="82">
        <f t="shared" si="15"/>
        <v>-158099.38731555344</v>
      </c>
      <c r="AC28" s="82">
        <f t="shared" si="15"/>
        <v>-167858.05387975468</v>
      </c>
      <c r="AD28" s="82">
        <f t="shared" si="15"/>
        <v>-177811.89377523988</v>
      </c>
      <c r="AE28" s="82">
        <f t="shared" si="15"/>
        <v>-187964.81046863494</v>
      </c>
      <c r="AF28" s="82">
        <f t="shared" si="15"/>
        <v>-198320.78549589773</v>
      </c>
      <c r="AG28" s="227" t="s">
        <v>225</v>
      </c>
      <c r="AH28" s="240"/>
      <c r="AI28" s="240"/>
      <c r="AJ28" s="124"/>
      <c r="AK28" s="348"/>
      <c r="AL28" s="348"/>
      <c r="AM28" s="288"/>
      <c r="AN28" s="288"/>
      <c r="AO28" s="3"/>
      <c r="AP28" s="3"/>
      <c r="AQ28" s="3"/>
      <c r="AR28" s="3"/>
      <c r="AS28" s="3"/>
      <c r="AT28" s="3"/>
      <c r="AU28" s="3"/>
      <c r="AV28" s="3"/>
      <c r="AW28" s="288"/>
    </row>
    <row r="29" spans="1:49" x14ac:dyDescent="0.25">
      <c r="A29" s="1" t="s">
        <v>223</v>
      </c>
      <c r="B29" s="152"/>
      <c r="C29" s="112">
        <f>C22+SUM(C25:C26)+C28</f>
        <v>30915.653495440733</v>
      </c>
      <c r="D29" s="210">
        <f>D22+SUM(D25:D26)+D28</f>
        <v>296260.55199051672</v>
      </c>
      <c r="E29" s="71">
        <f>E22+SUM(E25:E26)+E28</f>
        <v>630845.41103032709</v>
      </c>
      <c r="F29" s="71">
        <f t="shared" ref="F29:AF29" si="16">F22+SUM(F25:F26)+F28</f>
        <v>835751.6632509334</v>
      </c>
      <c r="G29" s="71">
        <f>G22+SUM(G25:G26)+G28</f>
        <v>1044756.0405159522</v>
      </c>
      <c r="H29" s="71">
        <f t="shared" si="16"/>
        <v>1257940.5053262713</v>
      </c>
      <c r="I29" s="71">
        <f t="shared" si="16"/>
        <v>2011129.1394327967</v>
      </c>
      <c r="J29" s="71">
        <f t="shared" si="16"/>
        <v>2435930.4102214528</v>
      </c>
      <c r="K29" s="71">
        <f t="shared" si="16"/>
        <v>2869227.7064258819</v>
      </c>
      <c r="L29" s="71">
        <f t="shared" si="16"/>
        <v>3279142.724554399</v>
      </c>
      <c r="M29" s="71">
        <f>M22+SUM(M25:M26)+M28</f>
        <v>3571608.4842275972</v>
      </c>
      <c r="N29" s="71">
        <f t="shared" si="16"/>
        <v>3636443.9750942588</v>
      </c>
      <c r="O29" s="71">
        <f t="shared" si="16"/>
        <v>3702576.1757782535</v>
      </c>
      <c r="P29" s="71">
        <f t="shared" si="16"/>
        <v>3770031.0204759291</v>
      </c>
      <c r="Q29" s="71">
        <f t="shared" si="16"/>
        <v>3838834.962067557</v>
      </c>
      <c r="R29" s="71">
        <f t="shared" si="16"/>
        <v>3909014.9824910183</v>
      </c>
      <c r="S29" s="71">
        <f t="shared" si="16"/>
        <v>3980598.6033229479</v>
      </c>
      <c r="T29" s="71">
        <f t="shared" si="16"/>
        <v>4053613.8965715165</v>
      </c>
      <c r="U29" s="71">
        <f t="shared" si="16"/>
        <v>4128089.4956850568</v>
      </c>
      <c r="V29" s="71">
        <f t="shared" si="16"/>
        <v>4204054.606780868</v>
      </c>
      <c r="W29" s="71">
        <f t="shared" si="16"/>
        <v>4281539.0200985949</v>
      </c>
      <c r="X29" s="71">
        <f t="shared" si="16"/>
        <v>4360573.1216826765</v>
      </c>
      <c r="Y29" s="71">
        <f t="shared" si="16"/>
        <v>4441187.9052984398</v>
      </c>
      <c r="Z29" s="71">
        <f t="shared" si="16"/>
        <v>4523414.9845865173</v>
      </c>
      <c r="AA29" s="71">
        <f t="shared" si="16"/>
        <v>4607286.6054603588</v>
      </c>
      <c r="AB29" s="71">
        <f t="shared" si="16"/>
        <v>4692835.6587516749</v>
      </c>
      <c r="AC29" s="71">
        <f t="shared" si="16"/>
        <v>4780095.6931088185</v>
      </c>
      <c r="AD29" s="71">
        <f t="shared" si="16"/>
        <v>4869100.9281531051</v>
      </c>
      <c r="AE29" s="71">
        <f t="shared" si="16"/>
        <v>4959886.2678982774</v>
      </c>
      <c r="AF29" s="71">
        <f t="shared" si="16"/>
        <v>5052487.3144383514</v>
      </c>
      <c r="AG29" s="227" t="s">
        <v>182</v>
      </c>
      <c r="AH29" s="240" t="s">
        <v>311</v>
      </c>
      <c r="AI29" s="240"/>
      <c r="AJ29" s="124"/>
      <c r="AK29" s="348"/>
      <c r="AL29" s="348"/>
      <c r="AM29" s="288"/>
      <c r="AN29" s="288"/>
      <c r="AO29" s="3"/>
      <c r="AP29" s="3"/>
      <c r="AQ29" s="3"/>
      <c r="AR29" s="3"/>
      <c r="AS29" s="3"/>
      <c r="AT29" s="3"/>
      <c r="AU29" s="3"/>
      <c r="AV29" s="3"/>
      <c r="AW29" s="288"/>
    </row>
    <row r="30" spans="1:49" ht="8.1" customHeight="1" x14ac:dyDescent="0.25">
      <c r="A30" s="1"/>
      <c r="B30" s="152"/>
      <c r="C30" s="114"/>
      <c r="D30" s="2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227"/>
      <c r="AH30" s="238"/>
      <c r="AI30" s="152"/>
    </row>
    <row r="31" spans="1:49" x14ac:dyDescent="0.25">
      <c r="A31" s="193" t="s">
        <v>167</v>
      </c>
      <c r="B31" s="194"/>
      <c r="C31" s="195"/>
      <c r="D31" s="212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227"/>
      <c r="AH31" s="238"/>
      <c r="AI31" s="152"/>
    </row>
    <row r="32" spans="1:49" ht="15" customHeight="1" x14ac:dyDescent="0.25">
      <c r="A32" s="179" t="s">
        <v>157</v>
      </c>
      <c r="B32" s="180">
        <v>0.25</v>
      </c>
      <c r="C32" s="181">
        <f t="shared" ref="C32:M32" si="17">$B$32*C$29</f>
        <v>7728.9133738601831</v>
      </c>
      <c r="D32" s="213">
        <f t="shared" si="17"/>
        <v>74065.137997629179</v>
      </c>
      <c r="E32" s="181">
        <f t="shared" si="17"/>
        <v>157711.35275758177</v>
      </c>
      <c r="F32" s="181">
        <f t="shared" si="17"/>
        <v>208937.91581273335</v>
      </c>
      <c r="G32" s="181">
        <f t="shared" si="17"/>
        <v>261189.01012898804</v>
      </c>
      <c r="H32" s="181">
        <f t="shared" si="17"/>
        <v>314485.12633156782</v>
      </c>
      <c r="I32" s="181">
        <f t="shared" si="17"/>
        <v>502782.28485819919</v>
      </c>
      <c r="J32" s="181">
        <f t="shared" si="17"/>
        <v>608982.60255536321</v>
      </c>
      <c r="K32" s="181">
        <f t="shared" si="17"/>
        <v>717306.92660647049</v>
      </c>
      <c r="L32" s="181">
        <f t="shared" si="17"/>
        <v>819785.68113859976</v>
      </c>
      <c r="M32" s="181">
        <f t="shared" si="17"/>
        <v>892902.12105689931</v>
      </c>
      <c r="N32" s="181">
        <f t="shared" ref="N32:AF32" si="18">$B$32*N$29</f>
        <v>909110.9937735647</v>
      </c>
      <c r="O32" s="181">
        <f t="shared" si="18"/>
        <v>925644.04394456337</v>
      </c>
      <c r="P32" s="181">
        <f t="shared" si="18"/>
        <v>942507.75511898228</v>
      </c>
      <c r="Q32" s="181">
        <f t="shared" si="18"/>
        <v>959708.74051688926</v>
      </c>
      <c r="R32" s="181">
        <f t="shared" si="18"/>
        <v>977253.74562275456</v>
      </c>
      <c r="S32" s="181">
        <f t="shared" si="18"/>
        <v>995149.65083073697</v>
      </c>
      <c r="T32" s="181">
        <f t="shared" si="18"/>
        <v>1013403.4741428791</v>
      </c>
      <c r="U32" s="181">
        <f t="shared" si="18"/>
        <v>1032022.3739212642</v>
      </c>
      <c r="V32" s="181">
        <f t="shared" si="18"/>
        <v>1051013.651695217</v>
      </c>
      <c r="W32" s="181">
        <f t="shared" si="18"/>
        <v>1070384.7550246487</v>
      </c>
      <c r="X32" s="181">
        <f t="shared" si="18"/>
        <v>1090143.2804206691</v>
      </c>
      <c r="Y32" s="181">
        <f t="shared" si="18"/>
        <v>1110296.9763246099</v>
      </c>
      <c r="Z32" s="181">
        <f t="shared" si="18"/>
        <v>1130853.7461466293</v>
      </c>
      <c r="AA32" s="181">
        <f t="shared" si="18"/>
        <v>1151821.6513650897</v>
      </c>
      <c r="AB32" s="181">
        <f t="shared" si="18"/>
        <v>1173208.9146879187</v>
      </c>
      <c r="AC32" s="181">
        <f t="shared" si="18"/>
        <v>1195023.9232772046</v>
      </c>
      <c r="AD32" s="181">
        <f t="shared" si="18"/>
        <v>1217275.2320382763</v>
      </c>
      <c r="AE32" s="181">
        <f t="shared" si="18"/>
        <v>1239971.5669745693</v>
      </c>
      <c r="AF32" s="181">
        <f t="shared" si="18"/>
        <v>1263121.8286095879</v>
      </c>
      <c r="AG32" s="232"/>
      <c r="AH32" s="242" t="s">
        <v>169</v>
      </c>
      <c r="AI32" s="124"/>
    </row>
    <row r="33" spans="1:35" ht="15" customHeight="1" x14ac:dyDescent="0.25">
      <c r="A33" s="179" t="s">
        <v>156</v>
      </c>
      <c r="B33" s="182">
        <v>0.05</v>
      </c>
      <c r="C33" s="181">
        <f>B33*C$29</f>
        <v>1545.7826747720367</v>
      </c>
      <c r="D33" s="213">
        <f>B33*D$29</f>
        <v>14813.027599525836</v>
      </c>
      <c r="E33" s="181">
        <f t="shared" ref="E33:M33" si="19">$B$33*E29</f>
        <v>31542.270551516354</v>
      </c>
      <c r="F33" s="181">
        <f t="shared" si="19"/>
        <v>41787.583162546674</v>
      </c>
      <c r="G33" s="181">
        <f t="shared" si="19"/>
        <v>52237.80202579761</v>
      </c>
      <c r="H33" s="181">
        <f t="shared" si="19"/>
        <v>62897.025266313569</v>
      </c>
      <c r="I33" s="181">
        <f t="shared" si="19"/>
        <v>100556.45697163984</v>
      </c>
      <c r="J33" s="181">
        <f t="shared" si="19"/>
        <v>121796.52051107265</v>
      </c>
      <c r="K33" s="181">
        <f t="shared" si="19"/>
        <v>143461.3853212941</v>
      </c>
      <c r="L33" s="181">
        <f t="shared" si="19"/>
        <v>163957.13622771995</v>
      </c>
      <c r="M33" s="181">
        <f t="shared" si="19"/>
        <v>178580.42421137987</v>
      </c>
      <c r="N33" s="181">
        <f t="shared" ref="N33:AF33" si="20">$B$33*N29</f>
        <v>181822.19875471294</v>
      </c>
      <c r="O33" s="181">
        <f t="shared" si="20"/>
        <v>185128.80878891269</v>
      </c>
      <c r="P33" s="181">
        <f t="shared" si="20"/>
        <v>188501.55102379646</v>
      </c>
      <c r="Q33" s="181">
        <f t="shared" si="20"/>
        <v>191941.74810337787</v>
      </c>
      <c r="R33" s="181">
        <f t="shared" si="20"/>
        <v>195450.74912455093</v>
      </c>
      <c r="S33" s="181">
        <f t="shared" si="20"/>
        <v>199029.93016614742</v>
      </c>
      <c r="T33" s="181">
        <f t="shared" si="20"/>
        <v>202680.69482857583</v>
      </c>
      <c r="U33" s="181">
        <f t="shared" si="20"/>
        <v>206404.47478425284</v>
      </c>
      <c r="V33" s="181">
        <f t="shared" si="20"/>
        <v>210202.73033904342</v>
      </c>
      <c r="W33" s="181">
        <f t="shared" si="20"/>
        <v>214076.95100492975</v>
      </c>
      <c r="X33" s="181">
        <f t="shared" si="20"/>
        <v>218028.65608413384</v>
      </c>
      <c r="Y33" s="181">
        <f t="shared" si="20"/>
        <v>222059.395264922</v>
      </c>
      <c r="Z33" s="181">
        <f t="shared" si="20"/>
        <v>226170.74922932588</v>
      </c>
      <c r="AA33" s="181">
        <f t="shared" si="20"/>
        <v>230364.33027301796</v>
      </c>
      <c r="AB33" s="181">
        <f t="shared" si="20"/>
        <v>234641.78293758375</v>
      </c>
      <c r="AC33" s="181">
        <f t="shared" si="20"/>
        <v>239004.78465544095</v>
      </c>
      <c r="AD33" s="181">
        <f t="shared" si="20"/>
        <v>243455.04640765526</v>
      </c>
      <c r="AE33" s="181">
        <f t="shared" si="20"/>
        <v>247994.31339491389</v>
      </c>
      <c r="AF33" s="181">
        <f t="shared" si="20"/>
        <v>252624.36572191759</v>
      </c>
      <c r="AG33" s="233"/>
      <c r="AH33" s="243" t="s">
        <v>170</v>
      </c>
      <c r="AI33" s="152"/>
    </row>
    <row r="34" spans="1:35" ht="15" customHeight="1" x14ac:dyDescent="0.25">
      <c r="A34" s="179" t="s">
        <v>58</v>
      </c>
      <c r="B34" s="182">
        <v>0.35</v>
      </c>
      <c r="C34" s="181">
        <f>B34*C$29</f>
        <v>10820.478723404256</v>
      </c>
      <c r="D34" s="213">
        <f>B34*(D$29)</f>
        <v>103691.19319668085</v>
      </c>
      <c r="E34" s="181">
        <f t="shared" ref="E34:M34" si="21">$B$34*(E29)</f>
        <v>220795.89386061448</v>
      </c>
      <c r="F34" s="181">
        <f t="shared" si="21"/>
        <v>292513.08213782666</v>
      </c>
      <c r="G34" s="181">
        <f t="shared" si="21"/>
        <v>365664.61418058322</v>
      </c>
      <c r="H34" s="181">
        <f t="shared" si="21"/>
        <v>440279.17686419492</v>
      </c>
      <c r="I34" s="181">
        <f t="shared" si="21"/>
        <v>703895.19880147884</v>
      </c>
      <c r="J34" s="181">
        <f t="shared" si="21"/>
        <v>852575.6435775084</v>
      </c>
      <c r="K34" s="181">
        <f t="shared" si="21"/>
        <v>1004229.6972490586</v>
      </c>
      <c r="L34" s="181">
        <f t="shared" si="21"/>
        <v>1147699.9535940397</v>
      </c>
      <c r="M34" s="181">
        <f t="shared" si="21"/>
        <v>1250062.9694796589</v>
      </c>
      <c r="N34" s="181">
        <f t="shared" ref="N34:AF34" si="22">$B$34*(N29)</f>
        <v>1272755.3912829906</v>
      </c>
      <c r="O34" s="181">
        <f t="shared" si="22"/>
        <v>1295901.6615223887</v>
      </c>
      <c r="P34" s="181">
        <f t="shared" si="22"/>
        <v>1319510.857166575</v>
      </c>
      <c r="Q34" s="181">
        <f t="shared" si="22"/>
        <v>1343592.2367236449</v>
      </c>
      <c r="R34" s="181">
        <f t="shared" si="22"/>
        <v>1368155.2438718562</v>
      </c>
      <c r="S34" s="181">
        <f t="shared" si="22"/>
        <v>1393209.5111630317</v>
      </c>
      <c r="T34" s="181">
        <f t="shared" si="22"/>
        <v>1418764.8638000307</v>
      </c>
      <c r="U34" s="181">
        <f t="shared" si="22"/>
        <v>1444831.3234897698</v>
      </c>
      <c r="V34" s="181">
        <f t="shared" si="22"/>
        <v>1471419.1123733036</v>
      </c>
      <c r="W34" s="181">
        <f t="shared" si="22"/>
        <v>1498538.6570345082</v>
      </c>
      <c r="X34" s="181">
        <f t="shared" si="22"/>
        <v>1526200.5925889367</v>
      </c>
      <c r="Y34" s="181">
        <f t="shared" si="22"/>
        <v>1554415.7668544538</v>
      </c>
      <c r="Z34" s="181">
        <f t="shared" si="22"/>
        <v>1583195.2446052809</v>
      </c>
      <c r="AA34" s="181">
        <f t="shared" si="22"/>
        <v>1612550.3119111254</v>
      </c>
      <c r="AB34" s="181">
        <f t="shared" si="22"/>
        <v>1642492.4805630862</v>
      </c>
      <c r="AC34" s="181">
        <f t="shared" si="22"/>
        <v>1673033.4925880863</v>
      </c>
      <c r="AD34" s="181">
        <f t="shared" si="22"/>
        <v>1704185.3248535867</v>
      </c>
      <c r="AE34" s="181">
        <f t="shared" si="22"/>
        <v>1735960.1937643969</v>
      </c>
      <c r="AF34" s="181">
        <f t="shared" si="22"/>
        <v>1768370.5600534228</v>
      </c>
      <c r="AG34" s="335"/>
      <c r="AH34" s="240" t="s">
        <v>171</v>
      </c>
      <c r="AI34" s="152"/>
    </row>
    <row r="35" spans="1:35" x14ac:dyDescent="0.25">
      <c r="A35" s="179" t="s">
        <v>165</v>
      </c>
      <c r="B35" s="183">
        <v>0.35</v>
      </c>
      <c r="C35" s="181">
        <f>B35*C29</f>
        <v>10820.478723404256</v>
      </c>
      <c r="D35" s="213">
        <f>B35*D29</f>
        <v>103691.19319668085</v>
      </c>
      <c r="E35" s="181">
        <f t="shared" ref="E35:M35" si="23">$B$35*E29</f>
        <v>220795.89386061448</v>
      </c>
      <c r="F35" s="181">
        <f t="shared" si="23"/>
        <v>292513.08213782666</v>
      </c>
      <c r="G35" s="181">
        <f t="shared" si="23"/>
        <v>365664.61418058322</v>
      </c>
      <c r="H35" s="181">
        <f t="shared" si="23"/>
        <v>440279.17686419492</v>
      </c>
      <c r="I35" s="181">
        <f t="shared" si="23"/>
        <v>703895.19880147884</v>
      </c>
      <c r="J35" s="181">
        <f t="shared" si="23"/>
        <v>852575.6435775084</v>
      </c>
      <c r="K35" s="181">
        <f t="shared" si="23"/>
        <v>1004229.6972490586</v>
      </c>
      <c r="L35" s="181">
        <f t="shared" si="23"/>
        <v>1147699.9535940397</v>
      </c>
      <c r="M35" s="181">
        <f t="shared" si="23"/>
        <v>1250062.9694796589</v>
      </c>
      <c r="N35" s="181">
        <f t="shared" ref="N35:AF35" si="24">$B$35*N29</f>
        <v>1272755.3912829906</v>
      </c>
      <c r="O35" s="181">
        <f t="shared" si="24"/>
        <v>1295901.6615223887</v>
      </c>
      <c r="P35" s="181">
        <f t="shared" si="24"/>
        <v>1319510.857166575</v>
      </c>
      <c r="Q35" s="181">
        <f t="shared" si="24"/>
        <v>1343592.2367236449</v>
      </c>
      <c r="R35" s="181">
        <f t="shared" si="24"/>
        <v>1368155.2438718562</v>
      </c>
      <c r="S35" s="181">
        <f t="shared" si="24"/>
        <v>1393209.5111630317</v>
      </c>
      <c r="T35" s="181">
        <f t="shared" si="24"/>
        <v>1418764.8638000307</v>
      </c>
      <c r="U35" s="181">
        <f t="shared" si="24"/>
        <v>1444831.3234897698</v>
      </c>
      <c r="V35" s="181">
        <f t="shared" si="24"/>
        <v>1471419.1123733036</v>
      </c>
      <c r="W35" s="181">
        <f t="shared" si="24"/>
        <v>1498538.6570345082</v>
      </c>
      <c r="X35" s="181">
        <f t="shared" si="24"/>
        <v>1526200.5925889367</v>
      </c>
      <c r="Y35" s="181">
        <f t="shared" si="24"/>
        <v>1554415.7668544538</v>
      </c>
      <c r="Z35" s="181">
        <f t="shared" si="24"/>
        <v>1583195.2446052809</v>
      </c>
      <c r="AA35" s="181">
        <f t="shared" si="24"/>
        <v>1612550.3119111254</v>
      </c>
      <c r="AB35" s="181">
        <f t="shared" si="24"/>
        <v>1642492.4805630862</v>
      </c>
      <c r="AC35" s="181">
        <f t="shared" si="24"/>
        <v>1673033.4925880863</v>
      </c>
      <c r="AD35" s="181">
        <f t="shared" si="24"/>
        <v>1704185.3248535867</v>
      </c>
      <c r="AE35" s="181">
        <f t="shared" si="24"/>
        <v>1735960.1937643969</v>
      </c>
      <c r="AF35" s="181">
        <f t="shared" si="24"/>
        <v>1768370.5600534228</v>
      </c>
      <c r="AG35" s="335" t="s">
        <v>164</v>
      </c>
      <c r="AH35" s="240" t="s">
        <v>194</v>
      </c>
      <c r="AI35" s="152"/>
    </row>
    <row r="36" spans="1:35" x14ac:dyDescent="0.25">
      <c r="A36" s="197" t="s">
        <v>158</v>
      </c>
      <c r="B36" s="196">
        <f>SUM(B32:B35)</f>
        <v>0.99999999999999989</v>
      </c>
      <c r="C36" s="191">
        <f>SUM(C32:C35)</f>
        <v>30915.653495440733</v>
      </c>
      <c r="D36" s="214">
        <f t="shared" ref="D36:AF36" si="25">SUM(D32:D35)</f>
        <v>296260.55199051672</v>
      </c>
      <c r="E36" s="191">
        <f t="shared" si="25"/>
        <v>630845.41103032709</v>
      </c>
      <c r="F36" s="191">
        <f t="shared" si="25"/>
        <v>835751.6632509334</v>
      </c>
      <c r="G36" s="191">
        <f t="shared" si="25"/>
        <v>1044756.040515952</v>
      </c>
      <c r="H36" s="191">
        <f t="shared" si="25"/>
        <v>1257940.5053262713</v>
      </c>
      <c r="I36" s="191">
        <f t="shared" si="25"/>
        <v>2011129.1394327967</v>
      </c>
      <c r="J36" s="191">
        <f t="shared" si="25"/>
        <v>2435930.4102214528</v>
      </c>
      <c r="K36" s="191">
        <f t="shared" si="25"/>
        <v>2869227.7064258819</v>
      </c>
      <c r="L36" s="191">
        <f t="shared" si="25"/>
        <v>3279142.724554399</v>
      </c>
      <c r="M36" s="191">
        <f t="shared" si="25"/>
        <v>3571608.4842275968</v>
      </c>
      <c r="N36" s="191">
        <f t="shared" si="25"/>
        <v>3636443.9750942588</v>
      </c>
      <c r="O36" s="191">
        <f t="shared" si="25"/>
        <v>3702576.175778253</v>
      </c>
      <c r="P36" s="191">
        <f t="shared" si="25"/>
        <v>3770031.0204759287</v>
      </c>
      <c r="Q36" s="191">
        <f t="shared" si="25"/>
        <v>3838834.9620675566</v>
      </c>
      <c r="R36" s="191">
        <f t="shared" si="25"/>
        <v>3909014.9824910183</v>
      </c>
      <c r="S36" s="191">
        <f t="shared" si="25"/>
        <v>3980598.6033229479</v>
      </c>
      <c r="T36" s="191">
        <f t="shared" si="25"/>
        <v>4053613.8965715165</v>
      </c>
      <c r="U36" s="191">
        <f t="shared" si="25"/>
        <v>4128089.4956850568</v>
      </c>
      <c r="V36" s="191">
        <f t="shared" si="25"/>
        <v>4204054.606780868</v>
      </c>
      <c r="W36" s="191">
        <f t="shared" si="25"/>
        <v>4281539.0200985949</v>
      </c>
      <c r="X36" s="191">
        <f t="shared" si="25"/>
        <v>4360573.1216826765</v>
      </c>
      <c r="Y36" s="191">
        <f t="shared" si="25"/>
        <v>4441187.9052984398</v>
      </c>
      <c r="Z36" s="191">
        <f t="shared" si="25"/>
        <v>4523414.9845865164</v>
      </c>
      <c r="AA36" s="191">
        <f t="shared" si="25"/>
        <v>4607286.6054603588</v>
      </c>
      <c r="AB36" s="191">
        <f t="shared" si="25"/>
        <v>4692835.6587516749</v>
      </c>
      <c r="AC36" s="191">
        <f t="shared" si="25"/>
        <v>4780095.6931088176</v>
      </c>
      <c r="AD36" s="191">
        <f t="shared" si="25"/>
        <v>4869100.9281531051</v>
      </c>
      <c r="AE36" s="191">
        <f t="shared" si="25"/>
        <v>4959886.2678982774</v>
      </c>
      <c r="AF36" s="191">
        <f t="shared" si="25"/>
        <v>5052487.3144383514</v>
      </c>
      <c r="AG36" s="227"/>
      <c r="AH36" s="238"/>
      <c r="AI36" s="152"/>
    </row>
    <row r="37" spans="1:35" ht="8.1" customHeight="1" x14ac:dyDescent="0.25">
      <c r="A37" s="141"/>
      <c r="B37" s="174"/>
      <c r="C37" s="136"/>
      <c r="D37" s="205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227"/>
      <c r="AH37" s="238"/>
      <c r="AI37" s="152"/>
    </row>
    <row r="38" spans="1:35" x14ac:dyDescent="0.25">
      <c r="A38" s="184" t="s">
        <v>159</v>
      </c>
      <c r="B38" s="439" t="s">
        <v>200</v>
      </c>
      <c r="C38" s="185"/>
      <c r="D38" s="21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227"/>
      <c r="AH38" s="238"/>
      <c r="AI38" s="152"/>
    </row>
    <row r="39" spans="1:35" x14ac:dyDescent="0.25">
      <c r="A39" s="186" t="s">
        <v>165</v>
      </c>
      <c r="B39" s="439"/>
      <c r="C39" s="185">
        <f>C35</f>
        <v>10820.478723404256</v>
      </c>
      <c r="D39" s="215">
        <f t="shared" ref="D39:L39" si="26">D35</f>
        <v>103691.19319668085</v>
      </c>
      <c r="E39" s="185">
        <f t="shared" si="26"/>
        <v>220795.89386061448</v>
      </c>
      <c r="F39" s="185">
        <f t="shared" si="26"/>
        <v>292513.08213782666</v>
      </c>
      <c r="G39" s="185">
        <f t="shared" si="26"/>
        <v>365664.61418058322</v>
      </c>
      <c r="H39" s="185">
        <f t="shared" si="26"/>
        <v>440279.17686419492</v>
      </c>
      <c r="I39" s="185">
        <f t="shared" si="26"/>
        <v>703895.19880147884</v>
      </c>
      <c r="J39" s="185">
        <f t="shared" si="26"/>
        <v>852575.6435775084</v>
      </c>
      <c r="K39" s="185">
        <f t="shared" si="26"/>
        <v>1004229.6972490586</v>
      </c>
      <c r="L39" s="185">
        <f t="shared" si="26"/>
        <v>1147699.9535940397</v>
      </c>
      <c r="M39" s="185">
        <f>M35</f>
        <v>1250062.9694796589</v>
      </c>
      <c r="N39" s="185">
        <f t="shared" ref="N39:AF39" si="27">N35</f>
        <v>1272755.3912829906</v>
      </c>
      <c r="O39" s="185">
        <f t="shared" si="27"/>
        <v>1295901.6615223887</v>
      </c>
      <c r="P39" s="185">
        <f t="shared" si="27"/>
        <v>1319510.857166575</v>
      </c>
      <c r="Q39" s="185">
        <f t="shared" si="27"/>
        <v>1343592.2367236449</v>
      </c>
      <c r="R39" s="185">
        <f t="shared" si="27"/>
        <v>1368155.2438718562</v>
      </c>
      <c r="S39" s="185">
        <f t="shared" si="27"/>
        <v>1393209.5111630317</v>
      </c>
      <c r="T39" s="185">
        <f t="shared" si="27"/>
        <v>1418764.8638000307</v>
      </c>
      <c r="U39" s="185">
        <f t="shared" si="27"/>
        <v>1444831.3234897698</v>
      </c>
      <c r="V39" s="185">
        <f t="shared" si="27"/>
        <v>1471419.1123733036</v>
      </c>
      <c r="W39" s="185">
        <f t="shared" si="27"/>
        <v>1498538.6570345082</v>
      </c>
      <c r="X39" s="185">
        <f t="shared" si="27"/>
        <v>1526200.5925889367</v>
      </c>
      <c r="Y39" s="185">
        <f t="shared" si="27"/>
        <v>1554415.7668544538</v>
      </c>
      <c r="Z39" s="185">
        <f t="shared" si="27"/>
        <v>1583195.2446052809</v>
      </c>
      <c r="AA39" s="185">
        <f t="shared" si="27"/>
        <v>1612550.3119111254</v>
      </c>
      <c r="AB39" s="185">
        <f t="shared" si="27"/>
        <v>1642492.4805630862</v>
      </c>
      <c r="AC39" s="185">
        <f t="shared" si="27"/>
        <v>1673033.4925880863</v>
      </c>
      <c r="AD39" s="185">
        <f t="shared" si="27"/>
        <v>1704185.3248535867</v>
      </c>
      <c r="AE39" s="185">
        <f t="shared" si="27"/>
        <v>1735960.1937643969</v>
      </c>
      <c r="AF39" s="185">
        <f t="shared" si="27"/>
        <v>1768370.5600534228</v>
      </c>
      <c r="AG39" s="227" t="s">
        <v>164</v>
      </c>
      <c r="AH39" s="238" t="s">
        <v>164</v>
      </c>
      <c r="AI39" s="152"/>
    </row>
    <row r="40" spans="1:35" x14ac:dyDescent="0.25">
      <c r="A40" s="186" t="str">
        <f>CONCATENATE("Less: 10% of Incremental FORA Share after 7/1/2012 (goes to ",A4,")")</f>
        <v>Less: 10% of Incremental FORA Share after 7/1/2012 (goes to Del Rey Oaks)</v>
      </c>
      <c r="B40" s="263">
        <v>0</v>
      </c>
      <c r="C40" s="185">
        <f t="shared" ref="C40:L40" si="28">IF(C39&gt;0,-(0.1*(C39-$B$40)),0)</f>
        <v>-1082.0478723404256</v>
      </c>
      <c r="D40" s="215">
        <f t="shared" si="28"/>
        <v>-10369.119319668085</v>
      </c>
      <c r="E40" s="185">
        <f t="shared" si="28"/>
        <v>-22079.589386061449</v>
      </c>
      <c r="F40" s="185">
        <f t="shared" si="28"/>
        <v>-29251.308213782668</v>
      </c>
      <c r="G40" s="185">
        <f t="shared" si="28"/>
        <v>-36566.461418058323</v>
      </c>
      <c r="H40" s="185">
        <f t="shared" si="28"/>
        <v>-44027.917686419496</v>
      </c>
      <c r="I40" s="185">
        <f t="shared" si="28"/>
        <v>-70389.519880147884</v>
      </c>
      <c r="J40" s="185">
        <f t="shared" si="28"/>
        <v>-85257.564357750845</v>
      </c>
      <c r="K40" s="185">
        <f t="shared" si="28"/>
        <v>-100422.96972490587</v>
      </c>
      <c r="L40" s="185">
        <f t="shared" si="28"/>
        <v>-114769.99535940397</v>
      </c>
      <c r="M40" s="185">
        <f>IF(M39&gt;0,-(0.1*(M39-$B$40)),0)</f>
        <v>-125006.29694796589</v>
      </c>
      <c r="N40" s="185">
        <f t="shared" ref="N40:AF40" si="29">IF(N39&gt;0,-(0.1*(N39-$B$40)),0)</f>
        <v>-127275.53912829906</v>
      </c>
      <c r="O40" s="185">
        <f t="shared" si="29"/>
        <v>-129590.16615223887</v>
      </c>
      <c r="P40" s="185">
        <f t="shared" si="29"/>
        <v>-131951.08571665752</v>
      </c>
      <c r="Q40" s="185">
        <f t="shared" si="29"/>
        <v>-134359.22367236449</v>
      </c>
      <c r="R40" s="185">
        <f t="shared" si="29"/>
        <v>-136815.52438718564</v>
      </c>
      <c r="S40" s="185">
        <f t="shared" si="29"/>
        <v>-139320.95111630319</v>
      </c>
      <c r="T40" s="185">
        <f t="shared" si="29"/>
        <v>-141876.48638000307</v>
      </c>
      <c r="U40" s="185">
        <f t="shared" si="29"/>
        <v>-144483.132348977</v>
      </c>
      <c r="V40" s="185">
        <f t="shared" si="29"/>
        <v>-147141.91123733038</v>
      </c>
      <c r="W40" s="185">
        <f t="shared" si="29"/>
        <v>-149853.86570345084</v>
      </c>
      <c r="X40" s="185">
        <f t="shared" si="29"/>
        <v>-152620.05925889369</v>
      </c>
      <c r="Y40" s="185">
        <f t="shared" si="29"/>
        <v>-155441.57668544538</v>
      </c>
      <c r="Z40" s="185">
        <f t="shared" si="29"/>
        <v>-158319.5244605281</v>
      </c>
      <c r="AA40" s="185">
        <f t="shared" si="29"/>
        <v>-161255.03119111256</v>
      </c>
      <c r="AB40" s="185">
        <f t="shared" si="29"/>
        <v>-164249.24805630863</v>
      </c>
      <c r="AC40" s="185">
        <f t="shared" si="29"/>
        <v>-167303.34925880865</v>
      </c>
      <c r="AD40" s="185">
        <f t="shared" si="29"/>
        <v>-170418.53248535868</v>
      </c>
      <c r="AE40" s="185">
        <f t="shared" si="29"/>
        <v>-173596.01937643971</v>
      </c>
      <c r="AF40" s="185">
        <f t="shared" si="29"/>
        <v>-176837.05600534228</v>
      </c>
      <c r="AG40" s="227" t="s">
        <v>148</v>
      </c>
      <c r="AH40" s="238"/>
      <c r="AI40" s="152"/>
    </row>
    <row r="41" spans="1:35" ht="15" customHeight="1" x14ac:dyDescent="0.25">
      <c r="A41" s="186" t="s">
        <v>80</v>
      </c>
      <c r="B41" s="188"/>
      <c r="C41" s="189">
        <f t="shared" ref="C41:AF41" si="30">C35+C40</f>
        <v>9738.4308510638311</v>
      </c>
      <c r="D41" s="216">
        <f t="shared" si="30"/>
        <v>93322.073877012765</v>
      </c>
      <c r="E41" s="189">
        <f t="shared" si="30"/>
        <v>198716.30447455304</v>
      </c>
      <c r="F41" s="189">
        <f t="shared" si="30"/>
        <v>263261.77392404398</v>
      </c>
      <c r="G41" s="189">
        <f t="shared" si="30"/>
        <v>329098.1527625249</v>
      </c>
      <c r="H41" s="189">
        <f t="shared" si="30"/>
        <v>396251.25917777541</v>
      </c>
      <c r="I41" s="189">
        <f t="shared" si="30"/>
        <v>633505.67892133095</v>
      </c>
      <c r="J41" s="189">
        <f t="shared" si="30"/>
        <v>767318.07921975758</v>
      </c>
      <c r="K41" s="189">
        <f t="shared" si="30"/>
        <v>903806.72752415272</v>
      </c>
      <c r="L41" s="189">
        <f t="shared" si="30"/>
        <v>1032929.9582346356</v>
      </c>
      <c r="M41" s="189">
        <f t="shared" si="30"/>
        <v>1125056.672531693</v>
      </c>
      <c r="N41" s="189">
        <f t="shared" si="30"/>
        <v>1145479.8521546915</v>
      </c>
      <c r="O41" s="189">
        <f t="shared" si="30"/>
        <v>1166311.4953701498</v>
      </c>
      <c r="P41" s="189">
        <f t="shared" si="30"/>
        <v>1187559.7714499175</v>
      </c>
      <c r="Q41" s="189">
        <f t="shared" si="30"/>
        <v>1209233.0130512803</v>
      </c>
      <c r="R41" s="189">
        <f t="shared" si="30"/>
        <v>1231339.7194846706</v>
      </c>
      <c r="S41" s="189">
        <f t="shared" si="30"/>
        <v>1253888.5600467285</v>
      </c>
      <c r="T41" s="189">
        <f t="shared" si="30"/>
        <v>1276888.3774200275</v>
      </c>
      <c r="U41" s="189">
        <f t="shared" si="30"/>
        <v>1300348.1911407928</v>
      </c>
      <c r="V41" s="189">
        <f t="shared" si="30"/>
        <v>1324277.2011359732</v>
      </c>
      <c r="W41" s="189">
        <f t="shared" si="30"/>
        <v>1348684.7913310574</v>
      </c>
      <c r="X41" s="189">
        <f t="shared" si="30"/>
        <v>1373580.5333300431</v>
      </c>
      <c r="Y41" s="189">
        <f t="shared" si="30"/>
        <v>1398974.1901690084</v>
      </c>
      <c r="Z41" s="189">
        <f t="shared" si="30"/>
        <v>1424875.7201447529</v>
      </c>
      <c r="AA41" s="189">
        <f t="shared" si="30"/>
        <v>1451295.280720013</v>
      </c>
      <c r="AB41" s="189">
        <f t="shared" si="30"/>
        <v>1478243.2325067776</v>
      </c>
      <c r="AC41" s="189">
        <f t="shared" si="30"/>
        <v>1505730.1433292776</v>
      </c>
      <c r="AD41" s="189">
        <f t="shared" si="30"/>
        <v>1533766.7923682281</v>
      </c>
      <c r="AE41" s="189">
        <f t="shared" si="30"/>
        <v>1562364.1743879572</v>
      </c>
      <c r="AF41" s="189">
        <f t="shared" si="30"/>
        <v>1591533.5040480806</v>
      </c>
      <c r="AG41" s="227" t="s">
        <v>183</v>
      </c>
      <c r="AH41" s="240" t="s">
        <v>195</v>
      </c>
      <c r="AI41" s="152"/>
    </row>
    <row r="42" spans="1:35" ht="15" customHeight="1" x14ac:dyDescent="0.25">
      <c r="A42" s="186" t="str">
        <f>CONCATENATE("Less: ",$A$4," Portion of FORA Remediation Bonds Debt Service")</f>
        <v>Less: Del Rey Oaks Portion of FORA Remediation Bonds Debt Service</v>
      </c>
      <c r="B42" s="186"/>
      <c r="C42" s="185">
        <v>0</v>
      </c>
      <c r="D42" s="215">
        <v>0</v>
      </c>
      <c r="E42" s="185">
        <v>0</v>
      </c>
      <c r="F42" s="185">
        <v>0</v>
      </c>
      <c r="G42" s="185">
        <v>0</v>
      </c>
      <c r="H42" s="185">
        <v>0</v>
      </c>
      <c r="I42" s="185">
        <v>0</v>
      </c>
      <c r="J42" s="185">
        <v>0</v>
      </c>
      <c r="K42" s="185">
        <v>0</v>
      </c>
      <c r="L42" s="185">
        <v>0</v>
      </c>
      <c r="M42" s="185">
        <v>0</v>
      </c>
      <c r="N42" s="185">
        <v>0</v>
      </c>
      <c r="O42" s="185">
        <v>0</v>
      </c>
      <c r="P42" s="185">
        <v>0</v>
      </c>
      <c r="Q42" s="185">
        <v>0</v>
      </c>
      <c r="R42" s="185">
        <v>0</v>
      </c>
      <c r="S42" s="185">
        <v>0</v>
      </c>
      <c r="T42" s="185">
        <v>0</v>
      </c>
      <c r="U42" s="185">
        <v>0</v>
      </c>
      <c r="V42" s="185">
        <v>0</v>
      </c>
      <c r="W42" s="185">
        <v>0</v>
      </c>
      <c r="X42" s="185">
        <v>0</v>
      </c>
      <c r="Y42" s="185">
        <v>0</v>
      </c>
      <c r="Z42" s="185">
        <v>0</v>
      </c>
      <c r="AA42" s="185">
        <v>0</v>
      </c>
      <c r="AB42" s="185">
        <v>0</v>
      </c>
      <c r="AC42" s="185">
        <v>0</v>
      </c>
      <c r="AD42" s="185">
        <v>0</v>
      </c>
      <c r="AE42" s="185">
        <v>0</v>
      </c>
      <c r="AF42" s="185">
        <v>0</v>
      </c>
      <c r="AG42" s="227" t="s">
        <v>147</v>
      </c>
      <c r="AH42" s="238" t="s">
        <v>147</v>
      </c>
      <c r="AI42" s="152"/>
    </row>
    <row r="43" spans="1:35" ht="15" customHeight="1" x14ac:dyDescent="0.25">
      <c r="A43" s="192" t="s">
        <v>166</v>
      </c>
      <c r="B43" s="187"/>
      <c r="C43" s="190">
        <f>SUM(C41:C42)</f>
        <v>9738.4308510638311</v>
      </c>
      <c r="D43" s="217">
        <f t="shared" ref="D43:AF43" si="31">SUM(D41:D42)</f>
        <v>93322.073877012765</v>
      </c>
      <c r="E43" s="190">
        <f t="shared" si="31"/>
        <v>198716.30447455304</v>
      </c>
      <c r="F43" s="190">
        <f t="shared" si="31"/>
        <v>263261.77392404398</v>
      </c>
      <c r="G43" s="190">
        <f t="shared" si="31"/>
        <v>329098.1527625249</v>
      </c>
      <c r="H43" s="190">
        <f t="shared" si="31"/>
        <v>396251.25917777541</v>
      </c>
      <c r="I43" s="190">
        <f t="shared" si="31"/>
        <v>633505.67892133095</v>
      </c>
      <c r="J43" s="190">
        <f t="shared" si="31"/>
        <v>767318.07921975758</v>
      </c>
      <c r="K43" s="190">
        <f t="shared" si="31"/>
        <v>903806.72752415272</v>
      </c>
      <c r="L43" s="190">
        <f t="shared" si="31"/>
        <v>1032929.9582346356</v>
      </c>
      <c r="M43" s="190">
        <f t="shared" si="31"/>
        <v>1125056.672531693</v>
      </c>
      <c r="N43" s="190">
        <f t="shared" si="31"/>
        <v>1145479.8521546915</v>
      </c>
      <c r="O43" s="190">
        <f t="shared" si="31"/>
        <v>1166311.4953701498</v>
      </c>
      <c r="P43" s="190">
        <f t="shared" si="31"/>
        <v>1187559.7714499175</v>
      </c>
      <c r="Q43" s="190">
        <f t="shared" si="31"/>
        <v>1209233.0130512803</v>
      </c>
      <c r="R43" s="190">
        <f t="shared" si="31"/>
        <v>1231339.7194846706</v>
      </c>
      <c r="S43" s="190">
        <f t="shared" si="31"/>
        <v>1253888.5600467285</v>
      </c>
      <c r="T43" s="190">
        <f t="shared" si="31"/>
        <v>1276888.3774200275</v>
      </c>
      <c r="U43" s="190">
        <f t="shared" si="31"/>
        <v>1300348.1911407928</v>
      </c>
      <c r="V43" s="190">
        <f t="shared" si="31"/>
        <v>1324277.2011359732</v>
      </c>
      <c r="W43" s="190">
        <f t="shared" si="31"/>
        <v>1348684.7913310574</v>
      </c>
      <c r="X43" s="190">
        <f t="shared" si="31"/>
        <v>1373580.5333300431</v>
      </c>
      <c r="Y43" s="190">
        <f t="shared" si="31"/>
        <v>1398974.1901690084</v>
      </c>
      <c r="Z43" s="190">
        <f t="shared" si="31"/>
        <v>1424875.7201447529</v>
      </c>
      <c r="AA43" s="190">
        <f t="shared" si="31"/>
        <v>1451295.280720013</v>
      </c>
      <c r="AB43" s="190">
        <f t="shared" si="31"/>
        <v>1478243.2325067776</v>
      </c>
      <c r="AC43" s="190">
        <f t="shared" si="31"/>
        <v>1505730.1433292776</v>
      </c>
      <c r="AD43" s="190">
        <f t="shared" si="31"/>
        <v>1533766.7923682281</v>
      </c>
      <c r="AE43" s="190">
        <f t="shared" si="31"/>
        <v>1562364.1743879572</v>
      </c>
      <c r="AF43" s="190">
        <f t="shared" si="31"/>
        <v>1591533.5040480806</v>
      </c>
      <c r="AG43" s="227" t="s">
        <v>184</v>
      </c>
      <c r="AH43" s="240" t="s">
        <v>196</v>
      </c>
      <c r="AI43" s="152"/>
    </row>
    <row r="44" spans="1:35" ht="8.1" customHeight="1" x14ac:dyDescent="0.25">
      <c r="A44" s="171"/>
      <c r="B44" s="172"/>
      <c r="C44" s="136"/>
      <c r="D44" s="205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227"/>
      <c r="AH44" s="238"/>
      <c r="AI44" s="152"/>
    </row>
    <row r="45" spans="1:35" ht="15" customHeight="1" x14ac:dyDescent="0.25">
      <c r="A45" s="198" t="s">
        <v>168</v>
      </c>
      <c r="B45" s="199"/>
      <c r="C45" s="135"/>
      <c r="D45" s="218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227"/>
      <c r="AH45" s="238"/>
      <c r="AI45" s="152"/>
    </row>
    <row r="46" spans="1:35" ht="15" customHeight="1" x14ac:dyDescent="0.25">
      <c r="A46" s="200" t="s">
        <v>161</v>
      </c>
      <c r="B46" s="201">
        <v>0.38</v>
      </c>
      <c r="C46" s="135">
        <v>0</v>
      </c>
      <c r="D46" s="218">
        <v>0</v>
      </c>
      <c r="E46" s="135">
        <f t="shared" ref="E46:AF46" si="32">E43*$B$46</f>
        <v>75512.19570033015</v>
      </c>
      <c r="F46" s="135">
        <f t="shared" si="32"/>
        <v>100039.47409113671</v>
      </c>
      <c r="G46" s="135">
        <f t="shared" si="32"/>
        <v>125057.29804975947</v>
      </c>
      <c r="H46" s="135">
        <f t="shared" si="32"/>
        <v>150575.47848755465</v>
      </c>
      <c r="I46" s="135">
        <f t="shared" si="32"/>
        <v>240732.15799010577</v>
      </c>
      <c r="J46" s="135">
        <f t="shared" si="32"/>
        <v>291580.87010350788</v>
      </c>
      <c r="K46" s="135">
        <f t="shared" si="32"/>
        <v>343446.55645917804</v>
      </c>
      <c r="L46" s="135">
        <f t="shared" si="32"/>
        <v>392513.38412916154</v>
      </c>
      <c r="M46" s="135">
        <f t="shared" si="32"/>
        <v>427521.53556204337</v>
      </c>
      <c r="N46" s="135">
        <f t="shared" si="32"/>
        <v>435282.34381878277</v>
      </c>
      <c r="O46" s="135">
        <f t="shared" si="32"/>
        <v>443198.36824065697</v>
      </c>
      <c r="P46" s="135">
        <f t="shared" si="32"/>
        <v>451272.71315096866</v>
      </c>
      <c r="Q46" s="135">
        <f t="shared" si="32"/>
        <v>459508.54495948652</v>
      </c>
      <c r="R46" s="135">
        <f t="shared" si="32"/>
        <v>467909.09340417484</v>
      </c>
      <c r="S46" s="135">
        <f t="shared" si="32"/>
        <v>476477.65281775681</v>
      </c>
      <c r="T46" s="135">
        <f t="shared" si="32"/>
        <v>485217.58341961046</v>
      </c>
      <c r="U46" s="135">
        <f t="shared" si="32"/>
        <v>494132.31263350125</v>
      </c>
      <c r="V46" s="135">
        <f t="shared" si="32"/>
        <v>503225.33643166983</v>
      </c>
      <c r="W46" s="135">
        <f t="shared" si="32"/>
        <v>512500.22070580185</v>
      </c>
      <c r="X46" s="135">
        <f t="shared" si="32"/>
        <v>521960.60266541637</v>
      </c>
      <c r="Y46" s="135">
        <f t="shared" si="32"/>
        <v>531610.19226422324</v>
      </c>
      <c r="Z46" s="135">
        <f t="shared" si="32"/>
        <v>541452.77365500608</v>
      </c>
      <c r="AA46" s="135">
        <f t="shared" si="32"/>
        <v>551492.2066736049</v>
      </c>
      <c r="AB46" s="135">
        <f t="shared" si="32"/>
        <v>561732.42835257552</v>
      </c>
      <c r="AC46" s="135">
        <f t="shared" si="32"/>
        <v>572177.45446512545</v>
      </c>
      <c r="AD46" s="135">
        <f t="shared" si="32"/>
        <v>582831.38109992666</v>
      </c>
      <c r="AE46" s="135">
        <f t="shared" si="32"/>
        <v>593698.38626742375</v>
      </c>
      <c r="AF46" s="135">
        <f t="shared" si="32"/>
        <v>604782.7315382706</v>
      </c>
      <c r="AG46" s="234"/>
      <c r="AH46" s="244" t="s">
        <v>172</v>
      </c>
      <c r="AI46" s="124"/>
    </row>
    <row r="47" spans="1:35" ht="15" customHeight="1" x14ac:dyDescent="0.25">
      <c r="A47" s="200" t="s">
        <v>162</v>
      </c>
      <c r="B47" s="202">
        <v>0.08</v>
      </c>
      <c r="C47" s="135">
        <v>0</v>
      </c>
      <c r="D47" s="218">
        <v>0</v>
      </c>
      <c r="E47" s="135">
        <f t="shared" ref="E47:AF47" si="33">E43*$B$47</f>
        <v>15897.304357964244</v>
      </c>
      <c r="F47" s="135">
        <f t="shared" si="33"/>
        <v>21060.941913923518</v>
      </c>
      <c r="G47" s="135">
        <f t="shared" si="33"/>
        <v>26327.852221001991</v>
      </c>
      <c r="H47" s="135">
        <f t="shared" si="33"/>
        <v>31700.100734222033</v>
      </c>
      <c r="I47" s="135">
        <f t="shared" si="33"/>
        <v>50680.454313706476</v>
      </c>
      <c r="J47" s="135">
        <f t="shared" si="33"/>
        <v>61385.446337580608</v>
      </c>
      <c r="K47" s="135">
        <f t="shared" si="33"/>
        <v>72304.538201932213</v>
      </c>
      <c r="L47" s="135">
        <f t="shared" si="33"/>
        <v>82634.396658770856</v>
      </c>
      <c r="M47" s="135">
        <f t="shared" si="33"/>
        <v>90004.533802535443</v>
      </c>
      <c r="N47" s="135">
        <f t="shared" si="33"/>
        <v>91638.388172375315</v>
      </c>
      <c r="O47" s="135">
        <f t="shared" si="33"/>
        <v>93304.919629611992</v>
      </c>
      <c r="P47" s="135">
        <f t="shared" si="33"/>
        <v>95004.781715993406</v>
      </c>
      <c r="Q47" s="135">
        <f t="shared" si="33"/>
        <v>96738.64104410242</v>
      </c>
      <c r="R47" s="135">
        <f t="shared" si="33"/>
        <v>98507.177558773648</v>
      </c>
      <c r="S47" s="135">
        <f t="shared" si="33"/>
        <v>100311.08480373828</v>
      </c>
      <c r="T47" s="135">
        <f t="shared" si="33"/>
        <v>102151.07019360221</v>
      </c>
      <c r="U47" s="135">
        <f t="shared" si="33"/>
        <v>104027.85529126343</v>
      </c>
      <c r="V47" s="135">
        <f t="shared" si="33"/>
        <v>105942.17609087785</v>
      </c>
      <c r="W47" s="135">
        <f t="shared" si="33"/>
        <v>107894.78330648459</v>
      </c>
      <c r="X47" s="135">
        <f t="shared" si="33"/>
        <v>109886.44266640345</v>
      </c>
      <c r="Y47" s="135">
        <f t="shared" si="33"/>
        <v>111917.93521352067</v>
      </c>
      <c r="Z47" s="135">
        <f t="shared" si="33"/>
        <v>113990.05761158024</v>
      </c>
      <c r="AA47" s="135">
        <f t="shared" si="33"/>
        <v>116103.62245760104</v>
      </c>
      <c r="AB47" s="135">
        <f t="shared" si="33"/>
        <v>118259.45860054222</v>
      </c>
      <c r="AC47" s="135">
        <f t="shared" si="33"/>
        <v>120458.41146634221</v>
      </c>
      <c r="AD47" s="135">
        <f t="shared" si="33"/>
        <v>122701.34338945826</v>
      </c>
      <c r="AE47" s="135">
        <f t="shared" si="33"/>
        <v>124989.13395103658</v>
      </c>
      <c r="AF47" s="135">
        <f t="shared" si="33"/>
        <v>127322.68032384645</v>
      </c>
      <c r="AG47" s="233"/>
      <c r="AH47" s="243" t="s">
        <v>173</v>
      </c>
      <c r="AI47" s="152"/>
    </row>
    <row r="48" spans="1:35" ht="15" customHeight="1" x14ac:dyDescent="0.25">
      <c r="A48" s="200" t="s">
        <v>163</v>
      </c>
      <c r="B48" s="203">
        <v>0.54</v>
      </c>
      <c r="C48" s="135">
        <v>0</v>
      </c>
      <c r="D48" s="218">
        <v>0</v>
      </c>
      <c r="E48" s="135">
        <f>$B$48*E43</f>
        <v>107306.80441625864</v>
      </c>
      <c r="F48" s="135">
        <f t="shared" ref="F48:AF48" si="34">$B$48*F43</f>
        <v>142161.35791898376</v>
      </c>
      <c r="G48" s="135">
        <f t="shared" si="34"/>
        <v>177713.00249176344</v>
      </c>
      <c r="H48" s="135">
        <f t="shared" si="34"/>
        <v>213975.67995599873</v>
      </c>
      <c r="I48" s="135">
        <f t="shared" si="34"/>
        <v>342093.06661751872</v>
      </c>
      <c r="J48" s="135">
        <f t="shared" si="34"/>
        <v>414351.76277866913</v>
      </c>
      <c r="K48" s="135">
        <f t="shared" si="34"/>
        <v>488055.63286304253</v>
      </c>
      <c r="L48" s="135">
        <f t="shared" si="34"/>
        <v>557782.17744670331</v>
      </c>
      <c r="M48" s="135">
        <f t="shared" si="34"/>
        <v>607530.60316711431</v>
      </c>
      <c r="N48" s="135">
        <f t="shared" si="34"/>
        <v>618559.12016353349</v>
      </c>
      <c r="O48" s="135">
        <f t="shared" si="34"/>
        <v>629808.20749988093</v>
      </c>
      <c r="P48" s="135">
        <f t="shared" si="34"/>
        <v>641282.2765829555</v>
      </c>
      <c r="Q48" s="135">
        <f t="shared" si="34"/>
        <v>652985.82704769145</v>
      </c>
      <c r="R48" s="135">
        <f t="shared" si="34"/>
        <v>664923.44852172211</v>
      </c>
      <c r="S48" s="135">
        <f t="shared" si="34"/>
        <v>677099.82242523343</v>
      </c>
      <c r="T48" s="135">
        <f t="shared" si="34"/>
        <v>689519.72380681487</v>
      </c>
      <c r="U48" s="135">
        <f t="shared" si="34"/>
        <v>702188.02321602812</v>
      </c>
      <c r="V48" s="135">
        <f t="shared" si="34"/>
        <v>715109.68861342559</v>
      </c>
      <c r="W48" s="135">
        <f t="shared" si="34"/>
        <v>728289.78731877101</v>
      </c>
      <c r="X48" s="135">
        <f t="shared" si="34"/>
        <v>741733.48799822328</v>
      </c>
      <c r="Y48" s="135">
        <f t="shared" si="34"/>
        <v>755446.06269126467</v>
      </c>
      <c r="Z48" s="135">
        <f t="shared" si="34"/>
        <v>769432.88887816656</v>
      </c>
      <c r="AA48" s="135">
        <f t="shared" si="34"/>
        <v>783699.45158880705</v>
      </c>
      <c r="AB48" s="135">
        <f t="shared" si="34"/>
        <v>798251.34555365995</v>
      </c>
      <c r="AC48" s="135">
        <f t="shared" si="34"/>
        <v>813094.27739781002</v>
      </c>
      <c r="AD48" s="135">
        <f t="shared" si="34"/>
        <v>828234.06787884317</v>
      </c>
      <c r="AE48" s="135">
        <f t="shared" si="34"/>
        <v>843676.65416949696</v>
      </c>
      <c r="AF48" s="135">
        <f t="shared" si="34"/>
        <v>859428.09218596364</v>
      </c>
      <c r="AG48" s="227" t="s">
        <v>185</v>
      </c>
      <c r="AH48" s="240" t="s">
        <v>188</v>
      </c>
      <c r="AI48" s="152"/>
    </row>
    <row r="49" spans="1:35" ht="15" customHeight="1" x14ac:dyDescent="0.25">
      <c r="A49" s="220" t="s">
        <v>160</v>
      </c>
      <c r="B49" s="221">
        <f>SUM(B46:B48)</f>
        <v>1</v>
      </c>
      <c r="C49" s="222">
        <f>SUM(C46:C48)</f>
        <v>0</v>
      </c>
      <c r="D49" s="223">
        <f t="shared" ref="D49:AF49" si="35">SUM(D46:D48)</f>
        <v>0</v>
      </c>
      <c r="E49" s="222">
        <f t="shared" si="35"/>
        <v>198716.30447455304</v>
      </c>
      <c r="F49" s="222">
        <f t="shared" si="35"/>
        <v>263261.77392404398</v>
      </c>
      <c r="G49" s="222">
        <f t="shared" si="35"/>
        <v>329098.1527625249</v>
      </c>
      <c r="H49" s="222">
        <f t="shared" si="35"/>
        <v>396251.25917777541</v>
      </c>
      <c r="I49" s="222">
        <f t="shared" si="35"/>
        <v>633505.67892133095</v>
      </c>
      <c r="J49" s="222">
        <f t="shared" si="35"/>
        <v>767318.07921975758</v>
      </c>
      <c r="K49" s="222">
        <f t="shared" si="35"/>
        <v>903806.72752415272</v>
      </c>
      <c r="L49" s="222">
        <f t="shared" si="35"/>
        <v>1032929.9582346356</v>
      </c>
      <c r="M49" s="222">
        <f t="shared" si="35"/>
        <v>1125056.6725316932</v>
      </c>
      <c r="N49" s="222">
        <f t="shared" si="35"/>
        <v>1145479.8521546917</v>
      </c>
      <c r="O49" s="222">
        <f t="shared" si="35"/>
        <v>1166311.4953701498</v>
      </c>
      <c r="P49" s="222">
        <f t="shared" si="35"/>
        <v>1187559.7714499175</v>
      </c>
      <c r="Q49" s="222">
        <f t="shared" si="35"/>
        <v>1209233.0130512803</v>
      </c>
      <c r="R49" s="222">
        <f t="shared" si="35"/>
        <v>1231339.7194846706</v>
      </c>
      <c r="S49" s="222">
        <f t="shared" si="35"/>
        <v>1253888.5600467285</v>
      </c>
      <c r="T49" s="222">
        <f t="shared" si="35"/>
        <v>1276888.3774200275</v>
      </c>
      <c r="U49" s="222">
        <f t="shared" si="35"/>
        <v>1300348.1911407928</v>
      </c>
      <c r="V49" s="222">
        <f t="shared" si="35"/>
        <v>1324277.2011359734</v>
      </c>
      <c r="W49" s="222">
        <f t="shared" si="35"/>
        <v>1348684.7913310574</v>
      </c>
      <c r="X49" s="222">
        <f t="shared" si="35"/>
        <v>1373580.5333300431</v>
      </c>
      <c r="Y49" s="222">
        <f t="shared" si="35"/>
        <v>1398974.1901690084</v>
      </c>
      <c r="Z49" s="222">
        <f t="shared" si="35"/>
        <v>1424875.7201447529</v>
      </c>
      <c r="AA49" s="222">
        <f t="shared" si="35"/>
        <v>1451295.280720013</v>
      </c>
      <c r="AB49" s="222">
        <f t="shared" si="35"/>
        <v>1478243.2325067776</v>
      </c>
      <c r="AC49" s="222">
        <f t="shared" si="35"/>
        <v>1505730.1433292776</v>
      </c>
      <c r="AD49" s="222">
        <f t="shared" si="35"/>
        <v>1533766.7923682281</v>
      </c>
      <c r="AE49" s="222">
        <f t="shared" si="35"/>
        <v>1562364.1743879574</v>
      </c>
      <c r="AF49" s="222">
        <f t="shared" si="35"/>
        <v>1591533.5040480806</v>
      </c>
      <c r="AG49" s="227"/>
      <c r="AH49" s="238"/>
      <c r="AI49" s="152"/>
    </row>
    <row r="50" spans="1:35" ht="8.1" customHeight="1" x14ac:dyDescent="0.25">
      <c r="A50" s="140"/>
      <c r="B50" s="101"/>
      <c r="C50" s="136"/>
      <c r="D50" s="205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227"/>
      <c r="AH50" s="238"/>
      <c r="AI50" s="152"/>
    </row>
    <row r="51" spans="1:35" ht="15" customHeight="1" x14ac:dyDescent="0.25">
      <c r="A51" s="150" t="str">
        <f>CONCATENATE("Increase in ",A4," General Fund Revenues")</f>
        <v>Increase in Del Rey Oaks General Fund Revenues</v>
      </c>
      <c r="B51" s="251" t="s">
        <v>198</v>
      </c>
      <c r="C51" s="136"/>
      <c r="D51" s="205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227"/>
      <c r="AH51" s="238"/>
      <c r="AI51" s="152"/>
    </row>
    <row r="52" spans="1:35" ht="30" customHeight="1" x14ac:dyDescent="0.25">
      <c r="A52" s="178" t="s">
        <v>199</v>
      </c>
      <c r="B52" s="252">
        <f>Scenarios!D7</f>
        <v>0.2</v>
      </c>
      <c r="C52" s="177">
        <v>0</v>
      </c>
      <c r="D52" s="224">
        <v>0</v>
      </c>
      <c r="E52" s="177">
        <f t="shared" ref="E52:AF52" si="36">E48*$B$52</f>
        <v>21461.360883251731</v>
      </c>
      <c r="F52" s="177">
        <f t="shared" si="36"/>
        <v>28432.271583796755</v>
      </c>
      <c r="G52" s="177">
        <f t="shared" si="36"/>
        <v>35542.600498352687</v>
      </c>
      <c r="H52" s="177">
        <f t="shared" si="36"/>
        <v>42795.13599119975</v>
      </c>
      <c r="I52" s="177">
        <f t="shared" si="36"/>
        <v>68418.613323503741</v>
      </c>
      <c r="J52" s="177">
        <f t="shared" si="36"/>
        <v>82870.352555733829</v>
      </c>
      <c r="K52" s="177">
        <f t="shared" si="36"/>
        <v>97611.126572608511</v>
      </c>
      <c r="L52" s="177">
        <f t="shared" si="36"/>
        <v>111556.43548934067</v>
      </c>
      <c r="M52" s="177">
        <f t="shared" si="36"/>
        <v>121506.12063342286</v>
      </c>
      <c r="N52" s="177">
        <f t="shared" si="36"/>
        <v>123711.8240327067</v>
      </c>
      <c r="O52" s="177">
        <f t="shared" si="36"/>
        <v>125961.64149997619</v>
      </c>
      <c r="P52" s="177">
        <f t="shared" si="36"/>
        <v>128256.45531659111</v>
      </c>
      <c r="Q52" s="177">
        <f t="shared" si="36"/>
        <v>130597.1654095383</v>
      </c>
      <c r="R52" s="177">
        <f t="shared" si="36"/>
        <v>132984.68970434443</v>
      </c>
      <c r="S52" s="177">
        <f t="shared" si="36"/>
        <v>135419.96448504669</v>
      </c>
      <c r="T52" s="177">
        <f t="shared" si="36"/>
        <v>137903.94476136297</v>
      </c>
      <c r="U52" s="177">
        <f t="shared" si="36"/>
        <v>140437.60464320562</v>
      </c>
      <c r="V52" s="177">
        <f t="shared" si="36"/>
        <v>143021.93772268514</v>
      </c>
      <c r="W52" s="177">
        <f t="shared" si="36"/>
        <v>145657.9574637542</v>
      </c>
      <c r="X52" s="177">
        <f t="shared" si="36"/>
        <v>148346.69759964466</v>
      </c>
      <c r="Y52" s="177">
        <f t="shared" si="36"/>
        <v>151089.21253825293</v>
      </c>
      <c r="Z52" s="177">
        <f t="shared" si="36"/>
        <v>153886.57777563331</v>
      </c>
      <c r="AA52" s="177">
        <f t="shared" si="36"/>
        <v>156739.89031776143</v>
      </c>
      <c r="AB52" s="177">
        <f t="shared" si="36"/>
        <v>159650.26911073201</v>
      </c>
      <c r="AC52" s="177">
        <f t="shared" si="36"/>
        <v>162618.85547956201</v>
      </c>
      <c r="AD52" s="177">
        <f t="shared" si="36"/>
        <v>165646.81357576864</v>
      </c>
      <c r="AE52" s="177">
        <f t="shared" si="36"/>
        <v>168735.33083389941</v>
      </c>
      <c r="AF52" s="177">
        <f t="shared" si="36"/>
        <v>171885.61843719275</v>
      </c>
      <c r="AG52" s="235" t="s">
        <v>186</v>
      </c>
      <c r="AH52" s="245" t="s">
        <v>187</v>
      </c>
      <c r="AI52" s="152"/>
    </row>
    <row r="53" spans="1:35" ht="15" hidden="1" customHeight="1" x14ac:dyDescent="0.25">
      <c r="A53" s="151" t="str">
        <f>CONCATENATE("Add Back In: 10% of Incremental FORA Share sent to ",A4)</f>
        <v>Add Back In: 10% of Incremental FORA Share sent to Del Rey Oaks</v>
      </c>
      <c r="B53" s="142"/>
      <c r="C53" s="145">
        <f t="shared" ref="C53:M53" si="37">-C40</f>
        <v>1082.0478723404256</v>
      </c>
      <c r="D53" s="211">
        <f t="shared" si="37"/>
        <v>10369.119319668085</v>
      </c>
      <c r="E53" s="145">
        <f t="shared" si="37"/>
        <v>22079.589386061449</v>
      </c>
      <c r="F53" s="145">
        <f t="shared" si="37"/>
        <v>29251.308213782668</v>
      </c>
      <c r="G53" s="145">
        <f t="shared" si="37"/>
        <v>36566.461418058323</v>
      </c>
      <c r="H53" s="145">
        <f t="shared" si="37"/>
        <v>44027.917686419496</v>
      </c>
      <c r="I53" s="145">
        <f t="shared" si="37"/>
        <v>70389.519880147884</v>
      </c>
      <c r="J53" s="145">
        <f t="shared" si="37"/>
        <v>85257.564357750845</v>
      </c>
      <c r="K53" s="145">
        <f t="shared" si="37"/>
        <v>100422.96972490587</v>
      </c>
      <c r="L53" s="145">
        <f t="shared" si="37"/>
        <v>114769.99535940397</v>
      </c>
      <c r="M53" s="145">
        <f t="shared" si="37"/>
        <v>125006.29694796589</v>
      </c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227" t="s">
        <v>148</v>
      </c>
      <c r="AH53" s="238"/>
      <c r="AI53" s="26"/>
    </row>
    <row r="54" spans="1:35" x14ac:dyDescent="0.25">
      <c r="A54" s="50" t="str">
        <f>CONCATENATE("Increase in Net Property Taxes Received by ",A4," General Fund")</f>
        <v>Increase in Net Property Taxes Received by Del Rey Oaks General Fund</v>
      </c>
      <c r="B54" s="50"/>
      <c r="C54" s="126">
        <f>C52</f>
        <v>0</v>
      </c>
      <c r="D54" s="279">
        <f t="shared" ref="D54:L54" si="38">D52</f>
        <v>0</v>
      </c>
      <c r="E54" s="126">
        <f t="shared" si="38"/>
        <v>21461.360883251731</v>
      </c>
      <c r="F54" s="126">
        <f t="shared" si="38"/>
        <v>28432.271583796755</v>
      </c>
      <c r="G54" s="126">
        <f t="shared" si="38"/>
        <v>35542.600498352687</v>
      </c>
      <c r="H54" s="126">
        <f t="shared" si="38"/>
        <v>42795.13599119975</v>
      </c>
      <c r="I54" s="126">
        <f t="shared" si="38"/>
        <v>68418.613323503741</v>
      </c>
      <c r="J54" s="126">
        <f t="shared" si="38"/>
        <v>82870.352555733829</v>
      </c>
      <c r="K54" s="126">
        <f t="shared" si="38"/>
        <v>97611.126572608511</v>
      </c>
      <c r="L54" s="126">
        <f t="shared" si="38"/>
        <v>111556.43548934067</v>
      </c>
      <c r="M54" s="126">
        <f>M52</f>
        <v>121506.12063342286</v>
      </c>
      <c r="N54" s="126">
        <f t="shared" ref="N54:AF54" si="39">N52</f>
        <v>123711.8240327067</v>
      </c>
      <c r="O54" s="126">
        <f t="shared" si="39"/>
        <v>125961.64149997619</v>
      </c>
      <c r="P54" s="126">
        <f t="shared" si="39"/>
        <v>128256.45531659111</v>
      </c>
      <c r="Q54" s="126">
        <f t="shared" si="39"/>
        <v>130597.1654095383</v>
      </c>
      <c r="R54" s="126">
        <f t="shared" si="39"/>
        <v>132984.68970434443</v>
      </c>
      <c r="S54" s="126">
        <f t="shared" si="39"/>
        <v>135419.96448504669</v>
      </c>
      <c r="T54" s="126">
        <f t="shared" si="39"/>
        <v>137903.94476136297</v>
      </c>
      <c r="U54" s="126">
        <f t="shared" si="39"/>
        <v>140437.60464320562</v>
      </c>
      <c r="V54" s="126">
        <f t="shared" si="39"/>
        <v>143021.93772268514</v>
      </c>
      <c r="W54" s="126">
        <f t="shared" si="39"/>
        <v>145657.9574637542</v>
      </c>
      <c r="X54" s="126">
        <f t="shared" si="39"/>
        <v>148346.69759964466</v>
      </c>
      <c r="Y54" s="126">
        <f t="shared" si="39"/>
        <v>151089.21253825293</v>
      </c>
      <c r="Z54" s="126">
        <f t="shared" si="39"/>
        <v>153886.57777563331</v>
      </c>
      <c r="AA54" s="126">
        <f t="shared" si="39"/>
        <v>156739.89031776143</v>
      </c>
      <c r="AB54" s="126">
        <f t="shared" si="39"/>
        <v>159650.26911073201</v>
      </c>
      <c r="AC54" s="126">
        <f t="shared" si="39"/>
        <v>162618.85547956201</v>
      </c>
      <c r="AD54" s="126">
        <f t="shared" si="39"/>
        <v>165646.81357576864</v>
      </c>
      <c r="AE54" s="126">
        <f t="shared" si="39"/>
        <v>168735.33083389941</v>
      </c>
      <c r="AF54" s="126">
        <f t="shared" si="39"/>
        <v>171885.61843719275</v>
      </c>
      <c r="AG54" s="335"/>
      <c r="AH54" s="240" t="s">
        <v>216</v>
      </c>
    </row>
    <row r="55" spans="1:35" x14ac:dyDescent="0.25">
      <c r="A55" s="1" t="s">
        <v>103</v>
      </c>
      <c r="C55" s="109">
        <f>NPV(Assumptions!D4,'2 - DRO'!D54:AF54)+'2 - DRO'!C54</f>
        <v>1615785.9662975597</v>
      </c>
      <c r="E55" s="80"/>
      <c r="AG55" s="227"/>
      <c r="AH55" s="238"/>
    </row>
    <row r="56" spans="1:35" x14ac:dyDescent="0.25">
      <c r="D56" s="80"/>
      <c r="AG56" s="227"/>
      <c r="AH56" s="238"/>
    </row>
    <row r="57" spans="1:35" x14ac:dyDescent="0.25">
      <c r="A57" s="19" t="s">
        <v>204</v>
      </c>
      <c r="D57" s="80"/>
      <c r="AG57" s="227"/>
      <c r="AH57" s="238"/>
    </row>
    <row r="58" spans="1:35" x14ac:dyDescent="0.25">
      <c r="A58" s="19" t="s">
        <v>201</v>
      </c>
      <c r="E58" s="80"/>
      <c r="AG58" s="227"/>
      <c r="AH58" s="238"/>
    </row>
    <row r="59" spans="1:35" x14ac:dyDescent="0.25">
      <c r="A59" s="19"/>
      <c r="AG59" s="227"/>
      <c r="AH59" s="238"/>
    </row>
    <row r="60" spans="1:35" ht="15.75" x14ac:dyDescent="0.25">
      <c r="A60" s="65"/>
      <c r="AG60" s="227"/>
      <c r="AH60" s="238"/>
    </row>
    <row r="61" spans="1:35" x14ac:dyDescent="0.25">
      <c r="AG61" s="227"/>
      <c r="AH61" s="238"/>
    </row>
    <row r="62" spans="1:35" x14ac:dyDescent="0.25">
      <c r="AG62" s="236"/>
      <c r="AH62" s="246"/>
    </row>
  </sheetData>
  <mergeCells count="5">
    <mergeCell ref="C6:D6"/>
    <mergeCell ref="E6:M6"/>
    <mergeCell ref="AH10:AH12"/>
    <mergeCell ref="AM24:AM25"/>
    <mergeCell ref="B38:B39"/>
  </mergeCells>
  <pageMargins left="0.25" right="0.25" top="0.75" bottom="0.75" header="0.3" footer="0.3"/>
  <pageSetup scale="55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AJ81"/>
  <sheetViews>
    <sheetView showGridLines="0" zoomScale="80" zoomScaleNormal="80" workbookViewId="0">
      <selection activeCell="E8" sqref="E8:J8"/>
    </sheetView>
  </sheetViews>
  <sheetFormatPr defaultColWidth="8.85546875" defaultRowHeight="15" x14ac:dyDescent="0.25"/>
  <cols>
    <col min="1" max="1" width="68.7109375" customWidth="1"/>
    <col min="2" max="2" width="15.28515625" customWidth="1"/>
    <col min="3" max="32" width="13.28515625" customWidth="1"/>
    <col min="33" max="33" width="8.28515625" style="226" bestFit="1" customWidth="1"/>
    <col min="34" max="34" width="17.7109375" style="237" customWidth="1"/>
    <col min="35" max="35" width="13.85546875" customWidth="1"/>
    <col min="36" max="36" width="11.28515625" bestFit="1" customWidth="1"/>
  </cols>
  <sheetData>
    <row r="1" spans="1:36" ht="18.75" x14ac:dyDescent="0.3">
      <c r="A1" s="53" t="s">
        <v>56</v>
      </c>
    </row>
    <row r="2" spans="1:36" ht="18.75" x14ac:dyDescent="0.3">
      <c r="A2" s="54" t="s">
        <v>106</v>
      </c>
    </row>
    <row r="3" spans="1:36" ht="18.75" x14ac:dyDescent="0.3">
      <c r="A3" s="54"/>
    </row>
    <row r="4" spans="1:36" ht="18.75" x14ac:dyDescent="0.3">
      <c r="A4" s="55" t="s">
        <v>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</row>
    <row r="5" spans="1:36" ht="15.75" x14ac:dyDescent="0.25">
      <c r="A5" s="391" t="s">
        <v>319</v>
      </c>
      <c r="B5" s="390">
        <v>0</v>
      </c>
      <c r="AI5" s="264"/>
    </row>
    <row r="6" spans="1:36" x14ac:dyDescent="0.25">
      <c r="A6" s="52"/>
      <c r="B6" s="257"/>
      <c r="C6" s="442" t="s">
        <v>59</v>
      </c>
      <c r="D6" s="442"/>
      <c r="E6" s="443" t="s">
        <v>60</v>
      </c>
      <c r="F6" s="443"/>
      <c r="G6" s="443"/>
      <c r="H6" s="443"/>
      <c r="I6" s="443"/>
      <c r="J6" s="443"/>
      <c r="K6" s="443"/>
      <c r="L6" s="443"/>
      <c r="M6" s="443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I6" s="265"/>
    </row>
    <row r="7" spans="1:36" x14ac:dyDescent="0.25">
      <c r="A7" s="258" t="s">
        <v>92</v>
      </c>
      <c r="B7" s="259" t="s">
        <v>9</v>
      </c>
      <c r="C7" s="339">
        <v>201819</v>
      </c>
      <c r="D7" s="339">
        <f t="shared" ref="D7:AF7" si="0">C7+101</f>
        <v>201920</v>
      </c>
      <c r="E7" s="337">
        <f t="shared" si="0"/>
        <v>202021</v>
      </c>
      <c r="F7" s="337">
        <f t="shared" si="0"/>
        <v>202122</v>
      </c>
      <c r="G7" s="337">
        <f t="shared" si="0"/>
        <v>202223</v>
      </c>
      <c r="H7" s="337">
        <f t="shared" si="0"/>
        <v>202324</v>
      </c>
      <c r="I7" s="337">
        <f t="shared" si="0"/>
        <v>202425</v>
      </c>
      <c r="J7" s="337">
        <f t="shared" si="0"/>
        <v>202526</v>
      </c>
      <c r="K7" s="337">
        <f>J7+101</f>
        <v>202627</v>
      </c>
      <c r="L7" s="337">
        <f t="shared" si="0"/>
        <v>202728</v>
      </c>
      <c r="M7" s="337">
        <f t="shared" si="0"/>
        <v>202829</v>
      </c>
      <c r="N7" s="337">
        <f t="shared" si="0"/>
        <v>202930</v>
      </c>
      <c r="O7" s="337">
        <f t="shared" si="0"/>
        <v>203031</v>
      </c>
      <c r="P7" s="337">
        <f t="shared" si="0"/>
        <v>203132</v>
      </c>
      <c r="Q7" s="337">
        <f t="shared" si="0"/>
        <v>203233</v>
      </c>
      <c r="R7" s="337">
        <f t="shared" si="0"/>
        <v>203334</v>
      </c>
      <c r="S7" s="337">
        <f t="shared" si="0"/>
        <v>203435</v>
      </c>
      <c r="T7" s="337">
        <f t="shared" si="0"/>
        <v>203536</v>
      </c>
      <c r="U7" s="337">
        <f t="shared" si="0"/>
        <v>203637</v>
      </c>
      <c r="V7" s="337">
        <f t="shared" si="0"/>
        <v>203738</v>
      </c>
      <c r="W7" s="337">
        <f t="shared" si="0"/>
        <v>203839</v>
      </c>
      <c r="X7" s="337">
        <f t="shared" si="0"/>
        <v>203940</v>
      </c>
      <c r="Y7" s="337">
        <f t="shared" si="0"/>
        <v>204041</v>
      </c>
      <c r="Z7" s="337">
        <f t="shared" si="0"/>
        <v>204142</v>
      </c>
      <c r="AA7" s="337">
        <f t="shared" si="0"/>
        <v>204243</v>
      </c>
      <c r="AB7" s="337">
        <f t="shared" si="0"/>
        <v>204344</v>
      </c>
      <c r="AC7" s="337">
        <f t="shared" si="0"/>
        <v>204445</v>
      </c>
      <c r="AD7" s="337">
        <f t="shared" si="0"/>
        <v>204546</v>
      </c>
      <c r="AE7" s="337">
        <f t="shared" si="0"/>
        <v>204647</v>
      </c>
      <c r="AF7" s="337">
        <f t="shared" si="0"/>
        <v>204748</v>
      </c>
      <c r="AG7" s="227"/>
      <c r="AH7" s="238"/>
      <c r="AI7" s="265"/>
    </row>
    <row r="8" spans="1:36" x14ac:dyDescent="0.25">
      <c r="A8" s="139" t="s">
        <v>43</v>
      </c>
      <c r="B8" s="260">
        <v>533000</v>
      </c>
      <c r="C8" s="247">
        <v>192</v>
      </c>
      <c r="D8" s="248">
        <v>235</v>
      </c>
      <c r="E8" s="137">
        <v>120</v>
      </c>
      <c r="F8" s="137">
        <v>120</v>
      </c>
      <c r="G8" s="137">
        <v>120</v>
      </c>
      <c r="H8" s="137">
        <v>120</v>
      </c>
      <c r="I8" s="137">
        <v>82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60">
        <v>0</v>
      </c>
      <c r="AD8" s="60">
        <v>0</v>
      </c>
      <c r="AE8" s="60">
        <v>0</v>
      </c>
      <c r="AF8" s="60">
        <v>0</v>
      </c>
      <c r="AG8" s="227"/>
      <c r="AH8" s="238"/>
      <c r="AI8" s="265"/>
    </row>
    <row r="9" spans="1:36" x14ac:dyDescent="0.25">
      <c r="A9" s="139" t="s">
        <v>44</v>
      </c>
      <c r="B9" s="261">
        <v>220</v>
      </c>
      <c r="C9" s="247">
        <v>0</v>
      </c>
      <c r="D9" s="248">
        <v>23000</v>
      </c>
      <c r="E9" s="137">
        <v>24000</v>
      </c>
      <c r="F9" s="137">
        <v>24000</v>
      </c>
      <c r="G9" s="137">
        <v>0</v>
      </c>
      <c r="H9" s="137">
        <v>0</v>
      </c>
      <c r="I9" s="137">
        <v>0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60">
        <v>0</v>
      </c>
      <c r="AD9" s="60">
        <v>0</v>
      </c>
      <c r="AE9" s="60">
        <v>0</v>
      </c>
      <c r="AF9" s="60">
        <v>0</v>
      </c>
      <c r="AG9" s="227"/>
      <c r="AH9" s="238"/>
      <c r="AI9" s="265"/>
    </row>
    <row r="10" spans="1:36" x14ac:dyDescent="0.25">
      <c r="A10" s="139" t="s">
        <v>45</v>
      </c>
      <c r="B10" s="261">
        <v>90</v>
      </c>
      <c r="C10" s="247">
        <v>0</v>
      </c>
      <c r="D10" s="248">
        <v>0</v>
      </c>
      <c r="E10" s="137">
        <v>0</v>
      </c>
      <c r="F10" s="137">
        <v>0</v>
      </c>
      <c r="G10" s="137">
        <v>0</v>
      </c>
      <c r="H10" s="137">
        <v>0</v>
      </c>
      <c r="I10" s="137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C10" s="60">
        <v>0</v>
      </c>
      <c r="AD10" s="60">
        <v>0</v>
      </c>
      <c r="AE10" s="60">
        <v>0</v>
      </c>
      <c r="AF10" s="60">
        <v>0</v>
      </c>
      <c r="AG10" s="334"/>
      <c r="AH10" s="444" t="s">
        <v>197</v>
      </c>
      <c r="AI10" s="265"/>
    </row>
    <row r="11" spans="1:36" ht="15" customHeight="1" x14ac:dyDescent="0.25">
      <c r="A11" s="139" t="s">
        <v>46</v>
      </c>
      <c r="B11" s="261">
        <v>265</v>
      </c>
      <c r="C11" s="247">
        <v>0</v>
      </c>
      <c r="D11" s="248">
        <v>20000</v>
      </c>
      <c r="E11" s="137">
        <v>12000</v>
      </c>
      <c r="F11" s="137">
        <v>10000</v>
      </c>
      <c r="G11" s="137">
        <v>0</v>
      </c>
      <c r="H11" s="137">
        <v>0</v>
      </c>
      <c r="I11" s="137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60">
        <v>0</v>
      </c>
      <c r="AD11" s="60">
        <v>0</v>
      </c>
      <c r="AE11" s="60">
        <v>0</v>
      </c>
      <c r="AF11" s="60">
        <v>0</v>
      </c>
      <c r="AG11" s="334"/>
      <c r="AH11" s="444"/>
      <c r="AI11" s="143"/>
      <c r="AJ11" s="80"/>
    </row>
    <row r="12" spans="1:36" x14ac:dyDescent="0.25">
      <c r="A12" s="139" t="s">
        <v>47</v>
      </c>
      <c r="B12" s="262">
        <v>162000</v>
      </c>
      <c r="C12" s="249">
        <v>0</v>
      </c>
      <c r="D12" s="250">
        <v>0</v>
      </c>
      <c r="E12" s="138">
        <v>0</v>
      </c>
      <c r="F12" s="138">
        <v>0</v>
      </c>
      <c r="G12" s="138">
        <v>0</v>
      </c>
      <c r="H12" s="138">
        <v>0</v>
      </c>
      <c r="I12" s="138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334" t="s">
        <v>189</v>
      </c>
      <c r="AH12" s="444"/>
      <c r="AI12" s="152"/>
    </row>
    <row r="13" spans="1:36" x14ac:dyDescent="0.25">
      <c r="A13" s="37" t="s">
        <v>49</v>
      </c>
      <c r="B13" s="24"/>
      <c r="C13" s="318">
        <v>55181490</v>
      </c>
      <c r="D13" s="205">
        <v>64724916</v>
      </c>
      <c r="E13" s="147">
        <f>SUMPRODUCT($B$8:$B$12,E8:E12)*(1-$B$5)</f>
        <v>72420000</v>
      </c>
      <c r="F13" s="147">
        <f>SUMPRODUCT($B$8:$B$12,F8:F12)*(1-$B$5)</f>
        <v>71890000</v>
      </c>
      <c r="G13" s="147">
        <f t="shared" ref="G13:AF13" si="1">SUMPRODUCT($B$8:$B$12,G8:G12)*(1-$B$5)</f>
        <v>63960000</v>
      </c>
      <c r="H13" s="147">
        <f t="shared" si="1"/>
        <v>63960000</v>
      </c>
      <c r="I13" s="147">
        <f t="shared" si="1"/>
        <v>43706000</v>
      </c>
      <c r="J13" s="147">
        <f t="shared" si="1"/>
        <v>0</v>
      </c>
      <c r="K13" s="147">
        <f t="shared" si="1"/>
        <v>0</v>
      </c>
      <c r="L13" s="147">
        <f t="shared" si="1"/>
        <v>0</v>
      </c>
      <c r="M13" s="147">
        <f t="shared" si="1"/>
        <v>0</v>
      </c>
      <c r="N13" s="147">
        <f t="shared" si="1"/>
        <v>0</v>
      </c>
      <c r="O13" s="147">
        <f t="shared" si="1"/>
        <v>0</v>
      </c>
      <c r="P13" s="147">
        <f t="shared" si="1"/>
        <v>0</v>
      </c>
      <c r="Q13" s="147">
        <f t="shared" si="1"/>
        <v>0</v>
      </c>
      <c r="R13" s="147">
        <f t="shared" si="1"/>
        <v>0</v>
      </c>
      <c r="S13" s="147">
        <f t="shared" si="1"/>
        <v>0</v>
      </c>
      <c r="T13" s="147">
        <f t="shared" si="1"/>
        <v>0</v>
      </c>
      <c r="U13" s="147">
        <f t="shared" si="1"/>
        <v>0</v>
      </c>
      <c r="V13" s="147">
        <f t="shared" si="1"/>
        <v>0</v>
      </c>
      <c r="W13" s="147">
        <f t="shared" si="1"/>
        <v>0</v>
      </c>
      <c r="X13" s="147">
        <f t="shared" si="1"/>
        <v>0</v>
      </c>
      <c r="Y13" s="147">
        <f t="shared" si="1"/>
        <v>0</v>
      </c>
      <c r="Z13" s="147">
        <f t="shared" si="1"/>
        <v>0</v>
      </c>
      <c r="AA13" s="147">
        <f t="shared" si="1"/>
        <v>0</v>
      </c>
      <c r="AB13" s="147">
        <f t="shared" si="1"/>
        <v>0</v>
      </c>
      <c r="AC13" s="147">
        <f t="shared" si="1"/>
        <v>0</v>
      </c>
      <c r="AD13" s="147">
        <f t="shared" si="1"/>
        <v>0</v>
      </c>
      <c r="AE13" s="147">
        <f t="shared" si="1"/>
        <v>0</v>
      </c>
      <c r="AF13" s="147">
        <f t="shared" si="1"/>
        <v>0</v>
      </c>
      <c r="AG13" s="229" t="s">
        <v>143</v>
      </c>
      <c r="AH13" s="239"/>
      <c r="AI13" s="143"/>
      <c r="AJ13" s="24"/>
    </row>
    <row r="14" spans="1:36" x14ac:dyDescent="0.25">
      <c r="A14" t="s">
        <v>97</v>
      </c>
      <c r="C14" s="319">
        <f>C16-C13-C15</f>
        <v>297505879.83759463</v>
      </c>
      <c r="D14" s="205">
        <f>C16</f>
        <v>358142355</v>
      </c>
      <c r="E14" s="144">
        <f>D16</f>
        <v>430030118.10000002</v>
      </c>
      <c r="F14" s="144">
        <f>E16</f>
        <v>511050720.46200001</v>
      </c>
      <c r="G14" s="144">
        <f t="shared" ref="G14:L14" si="2">F16</f>
        <v>593161734.87124002</v>
      </c>
      <c r="H14" s="144">
        <f t="shared" si="2"/>
        <v>668984969.56866479</v>
      </c>
      <c r="I14" s="144">
        <f t="shared" si="2"/>
        <v>746324668.96003807</v>
      </c>
      <c r="J14" s="144">
        <f t="shared" si="2"/>
        <v>804957162.33923888</v>
      </c>
      <c r="K14" s="144">
        <f t="shared" si="2"/>
        <v>821056305.58602369</v>
      </c>
      <c r="L14" s="144">
        <f t="shared" si="2"/>
        <v>837477431.69774413</v>
      </c>
      <c r="M14" s="144">
        <f>L16</f>
        <v>854226980.33169901</v>
      </c>
      <c r="N14" s="144">
        <f t="shared" ref="N14:AF14" si="3">M16</f>
        <v>871311519.93833303</v>
      </c>
      <c r="O14" s="144">
        <f t="shared" si="3"/>
        <v>888737750.33709967</v>
      </c>
      <c r="P14" s="144">
        <f t="shared" si="3"/>
        <v>906512505.34384167</v>
      </c>
      <c r="Q14" s="144">
        <f t="shared" si="3"/>
        <v>924642755.45071852</v>
      </c>
      <c r="R14" s="144">
        <f t="shared" si="3"/>
        <v>943135610.55973291</v>
      </c>
      <c r="S14" s="144">
        <f t="shared" si="3"/>
        <v>961998322.77092755</v>
      </c>
      <c r="T14" s="144">
        <f t="shared" si="3"/>
        <v>981238289.22634614</v>
      </c>
      <c r="U14" s="144">
        <f t="shared" si="3"/>
        <v>1000863055.0108731</v>
      </c>
      <c r="V14" s="144">
        <f t="shared" si="3"/>
        <v>1020880316.1110905</v>
      </c>
      <c r="W14" s="144">
        <f t="shared" si="3"/>
        <v>1041297922.4333123</v>
      </c>
      <c r="X14" s="144">
        <f t="shared" si="3"/>
        <v>1062123880.8819785</v>
      </c>
      <c r="Y14" s="144">
        <f t="shared" si="3"/>
        <v>1083366358.4996181</v>
      </c>
      <c r="Z14" s="144">
        <f t="shared" si="3"/>
        <v>1105033685.6696105</v>
      </c>
      <c r="AA14" s="144">
        <f t="shared" si="3"/>
        <v>1127134359.3830028</v>
      </c>
      <c r="AB14" s="144">
        <f t="shared" si="3"/>
        <v>1149677046.5706627</v>
      </c>
      <c r="AC14" s="144">
        <f t="shared" si="3"/>
        <v>1172670587.5020759</v>
      </c>
      <c r="AD14" s="144">
        <f t="shared" si="3"/>
        <v>1196123999.2521174</v>
      </c>
      <c r="AE14" s="144">
        <f t="shared" si="3"/>
        <v>1220046479.2371597</v>
      </c>
      <c r="AF14" s="144">
        <f t="shared" si="3"/>
        <v>1244447408.821903</v>
      </c>
      <c r="AG14" s="227" t="s">
        <v>145</v>
      </c>
      <c r="AH14" s="238"/>
      <c r="AI14" s="152"/>
    </row>
    <row r="15" spans="1:36" x14ac:dyDescent="0.25">
      <c r="A15" t="s">
        <v>94</v>
      </c>
      <c r="B15" s="8"/>
      <c r="C15" s="320">
        <v>5454985.1624053884</v>
      </c>
      <c r="D15" s="206">
        <f>D14*0.02</f>
        <v>7162847.1000000006</v>
      </c>
      <c r="E15" s="132">
        <f t="shared" ref="E15:L15" si="4">E14*0.02</f>
        <v>8600602.3619999997</v>
      </c>
      <c r="F15" s="132">
        <f t="shared" si="4"/>
        <v>10221014.40924</v>
      </c>
      <c r="G15" s="132">
        <f t="shared" si="4"/>
        <v>11863234.697424801</v>
      </c>
      <c r="H15" s="132">
        <f t="shared" si="4"/>
        <v>13379699.391373295</v>
      </c>
      <c r="I15" s="132">
        <f t="shared" si="4"/>
        <v>14926493.379200762</v>
      </c>
      <c r="J15" s="132">
        <f t="shared" si="4"/>
        <v>16099143.246784778</v>
      </c>
      <c r="K15" s="132">
        <f t="shared" si="4"/>
        <v>16421126.111720474</v>
      </c>
      <c r="L15" s="132">
        <f t="shared" si="4"/>
        <v>16749548.633954883</v>
      </c>
      <c r="M15" s="132">
        <f>M14*0.02</f>
        <v>17084539.60663398</v>
      </c>
      <c r="N15" s="132">
        <f t="shared" ref="N15:AF15" si="5">N14*0.02</f>
        <v>17426230.398766659</v>
      </c>
      <c r="O15" s="132">
        <f t="shared" si="5"/>
        <v>17774755.006741993</v>
      </c>
      <c r="P15" s="132">
        <f t="shared" si="5"/>
        <v>18130250.106876835</v>
      </c>
      <c r="Q15" s="132">
        <f t="shared" si="5"/>
        <v>18492855.10901437</v>
      </c>
      <c r="R15" s="132">
        <f t="shared" si="5"/>
        <v>18862712.211194661</v>
      </c>
      <c r="S15" s="132">
        <f t="shared" si="5"/>
        <v>19239966.455418553</v>
      </c>
      <c r="T15" s="132">
        <f t="shared" si="5"/>
        <v>19624765.784526922</v>
      </c>
      <c r="U15" s="132">
        <f t="shared" si="5"/>
        <v>20017261.100217462</v>
      </c>
      <c r="V15" s="132">
        <f t="shared" si="5"/>
        <v>20417606.322221812</v>
      </c>
      <c r="W15" s="132">
        <f t="shared" si="5"/>
        <v>20825958.448666245</v>
      </c>
      <c r="X15" s="132">
        <f t="shared" si="5"/>
        <v>21242477.617639571</v>
      </c>
      <c r="Y15" s="132">
        <f t="shared" si="5"/>
        <v>21667327.169992361</v>
      </c>
      <c r="Z15" s="132">
        <f t="shared" si="5"/>
        <v>22100673.713392209</v>
      </c>
      <c r="AA15" s="132">
        <f t="shared" si="5"/>
        <v>22542687.187660057</v>
      </c>
      <c r="AB15" s="132">
        <f t="shared" si="5"/>
        <v>22993540.931413256</v>
      </c>
      <c r="AC15" s="132">
        <f t="shared" si="5"/>
        <v>23453411.750041518</v>
      </c>
      <c r="AD15" s="132">
        <f t="shared" si="5"/>
        <v>23922479.985042349</v>
      </c>
      <c r="AE15" s="132">
        <f t="shared" si="5"/>
        <v>24400929.584743194</v>
      </c>
      <c r="AF15" s="132">
        <f t="shared" si="5"/>
        <v>24888948.17643806</v>
      </c>
      <c r="AG15" s="227" t="s">
        <v>146</v>
      </c>
      <c r="AH15" s="238"/>
      <c r="AI15" s="152"/>
    </row>
    <row r="16" spans="1:36" x14ac:dyDescent="0.25">
      <c r="A16" t="s">
        <v>203</v>
      </c>
      <c r="C16" s="82">
        <f>C20/B20</f>
        <v>358142355</v>
      </c>
      <c r="D16" s="207">
        <f>D13+D14+D15</f>
        <v>430030118.10000002</v>
      </c>
      <c r="E16" s="82">
        <f t="shared" ref="E16:AF16" si="6">E13+E14+E15</f>
        <v>511050720.46200001</v>
      </c>
      <c r="F16" s="82">
        <f t="shared" si="6"/>
        <v>593161734.87124002</v>
      </c>
      <c r="G16" s="82">
        <f t="shared" si="6"/>
        <v>668984969.56866479</v>
      </c>
      <c r="H16" s="82">
        <f t="shared" si="6"/>
        <v>746324668.96003807</v>
      </c>
      <c r="I16" s="82">
        <f t="shared" si="6"/>
        <v>804957162.33923888</v>
      </c>
      <c r="J16" s="82">
        <f t="shared" si="6"/>
        <v>821056305.58602369</v>
      </c>
      <c r="K16" s="82">
        <f t="shared" si="6"/>
        <v>837477431.69774413</v>
      </c>
      <c r="L16" s="82">
        <f t="shared" si="6"/>
        <v>854226980.33169901</v>
      </c>
      <c r="M16" s="82">
        <f t="shared" si="6"/>
        <v>871311519.93833303</v>
      </c>
      <c r="N16" s="82">
        <f t="shared" si="6"/>
        <v>888737750.33709967</v>
      </c>
      <c r="O16" s="82">
        <f t="shared" si="6"/>
        <v>906512505.34384167</v>
      </c>
      <c r="P16" s="82">
        <f t="shared" si="6"/>
        <v>924642755.45071852</v>
      </c>
      <c r="Q16" s="82">
        <f t="shared" si="6"/>
        <v>943135610.55973291</v>
      </c>
      <c r="R16" s="82">
        <f t="shared" si="6"/>
        <v>961998322.77092755</v>
      </c>
      <c r="S16" s="82">
        <f t="shared" si="6"/>
        <v>981238289.22634614</v>
      </c>
      <c r="T16" s="82">
        <f t="shared" si="6"/>
        <v>1000863055.0108731</v>
      </c>
      <c r="U16" s="82">
        <f t="shared" si="6"/>
        <v>1020880316.1110905</v>
      </c>
      <c r="V16" s="82">
        <f t="shared" si="6"/>
        <v>1041297922.4333123</v>
      </c>
      <c r="W16" s="82">
        <f t="shared" si="6"/>
        <v>1062123880.8819785</v>
      </c>
      <c r="X16" s="82">
        <f t="shared" si="6"/>
        <v>1083366358.4996181</v>
      </c>
      <c r="Y16" s="82">
        <f t="shared" si="6"/>
        <v>1105033685.6696105</v>
      </c>
      <c r="Z16" s="82">
        <f t="shared" si="6"/>
        <v>1127134359.3830028</v>
      </c>
      <c r="AA16" s="82">
        <f t="shared" si="6"/>
        <v>1149677046.5706627</v>
      </c>
      <c r="AB16" s="82">
        <f t="shared" si="6"/>
        <v>1172670587.5020759</v>
      </c>
      <c r="AC16" s="82">
        <f t="shared" si="6"/>
        <v>1196123999.2521174</v>
      </c>
      <c r="AD16" s="82">
        <f t="shared" si="6"/>
        <v>1220046479.2371597</v>
      </c>
      <c r="AE16" s="82">
        <f t="shared" si="6"/>
        <v>1244447408.821903</v>
      </c>
      <c r="AF16" s="82">
        <f t="shared" si="6"/>
        <v>1269336356.9983411</v>
      </c>
      <c r="AG16" s="335" t="s">
        <v>176</v>
      </c>
      <c r="AH16" s="240" t="s">
        <v>190</v>
      </c>
      <c r="AI16" s="152"/>
    </row>
    <row r="17" spans="1:35" x14ac:dyDescent="0.25">
      <c r="A17" t="s">
        <v>12</v>
      </c>
      <c r="C17" s="146">
        <f t="shared" ref="C17:AF17" si="7">-$B$6</f>
        <v>0</v>
      </c>
      <c r="D17" s="208">
        <f t="shared" si="7"/>
        <v>0</v>
      </c>
      <c r="E17" s="56">
        <f t="shared" si="7"/>
        <v>0</v>
      </c>
      <c r="F17" s="56">
        <f t="shared" si="7"/>
        <v>0</v>
      </c>
      <c r="G17" s="56">
        <f t="shared" si="7"/>
        <v>0</v>
      </c>
      <c r="H17" s="56">
        <f t="shared" si="7"/>
        <v>0</v>
      </c>
      <c r="I17" s="56">
        <f t="shared" si="7"/>
        <v>0</v>
      </c>
      <c r="J17" s="56">
        <f t="shared" si="7"/>
        <v>0</v>
      </c>
      <c r="K17" s="56">
        <f t="shared" si="7"/>
        <v>0</v>
      </c>
      <c r="L17" s="56">
        <f t="shared" si="7"/>
        <v>0</v>
      </c>
      <c r="M17" s="56">
        <f t="shared" si="7"/>
        <v>0</v>
      </c>
      <c r="N17" s="56">
        <f t="shared" si="7"/>
        <v>0</v>
      </c>
      <c r="O17" s="56">
        <f t="shared" si="7"/>
        <v>0</v>
      </c>
      <c r="P17" s="56">
        <f t="shared" si="7"/>
        <v>0</v>
      </c>
      <c r="Q17" s="56">
        <f t="shared" si="7"/>
        <v>0</v>
      </c>
      <c r="R17" s="56">
        <f t="shared" si="7"/>
        <v>0</v>
      </c>
      <c r="S17" s="56">
        <f t="shared" si="7"/>
        <v>0</v>
      </c>
      <c r="T17" s="56">
        <f t="shared" si="7"/>
        <v>0</v>
      </c>
      <c r="U17" s="56">
        <f t="shared" si="7"/>
        <v>0</v>
      </c>
      <c r="V17" s="56">
        <f t="shared" si="7"/>
        <v>0</v>
      </c>
      <c r="W17" s="56">
        <f t="shared" si="7"/>
        <v>0</v>
      </c>
      <c r="X17" s="56">
        <f t="shared" si="7"/>
        <v>0</v>
      </c>
      <c r="Y17" s="56">
        <f t="shared" si="7"/>
        <v>0</v>
      </c>
      <c r="Z17" s="56">
        <f t="shared" si="7"/>
        <v>0</v>
      </c>
      <c r="AA17" s="56">
        <f t="shared" si="7"/>
        <v>0</v>
      </c>
      <c r="AB17" s="56">
        <f t="shared" si="7"/>
        <v>0</v>
      </c>
      <c r="AC17" s="56">
        <f t="shared" si="7"/>
        <v>0</v>
      </c>
      <c r="AD17" s="56">
        <f t="shared" si="7"/>
        <v>0</v>
      </c>
      <c r="AE17" s="56">
        <f t="shared" si="7"/>
        <v>0</v>
      </c>
      <c r="AF17" s="56">
        <f t="shared" si="7"/>
        <v>0</v>
      </c>
      <c r="AG17" s="227" t="s">
        <v>144</v>
      </c>
      <c r="AH17" s="238" t="s">
        <v>144</v>
      </c>
      <c r="AI17" s="152"/>
    </row>
    <row r="18" spans="1:35" x14ac:dyDescent="0.25">
      <c r="A18" s="1" t="s">
        <v>51</v>
      </c>
      <c r="C18" s="96">
        <f>C20/B20</f>
        <v>358142355</v>
      </c>
      <c r="D18" s="209">
        <f t="shared" ref="D18:AF18" si="8">SUM(D16:D17)</f>
        <v>430030118.10000002</v>
      </c>
      <c r="E18" s="70">
        <f t="shared" si="8"/>
        <v>511050720.46200001</v>
      </c>
      <c r="F18" s="70">
        <f t="shared" si="8"/>
        <v>593161734.87124002</v>
      </c>
      <c r="G18" s="70">
        <f t="shared" si="8"/>
        <v>668984969.56866479</v>
      </c>
      <c r="H18" s="70">
        <f t="shared" si="8"/>
        <v>746324668.96003807</v>
      </c>
      <c r="I18" s="70">
        <f t="shared" si="8"/>
        <v>804957162.33923888</v>
      </c>
      <c r="J18" s="70">
        <f t="shared" si="8"/>
        <v>821056305.58602369</v>
      </c>
      <c r="K18" s="70">
        <f t="shared" si="8"/>
        <v>837477431.69774413</v>
      </c>
      <c r="L18" s="70">
        <f t="shared" si="8"/>
        <v>854226980.33169901</v>
      </c>
      <c r="M18" s="70">
        <f t="shared" si="8"/>
        <v>871311519.93833303</v>
      </c>
      <c r="N18" s="70">
        <f t="shared" si="8"/>
        <v>888737750.33709967</v>
      </c>
      <c r="O18" s="70">
        <f t="shared" si="8"/>
        <v>906512505.34384167</v>
      </c>
      <c r="P18" s="70">
        <f t="shared" si="8"/>
        <v>924642755.45071852</v>
      </c>
      <c r="Q18" s="70">
        <f t="shared" si="8"/>
        <v>943135610.55973291</v>
      </c>
      <c r="R18" s="70">
        <f t="shared" si="8"/>
        <v>961998322.77092755</v>
      </c>
      <c r="S18" s="70">
        <f t="shared" si="8"/>
        <v>981238289.22634614</v>
      </c>
      <c r="T18" s="70">
        <f t="shared" si="8"/>
        <v>1000863055.0108731</v>
      </c>
      <c r="U18" s="70">
        <f t="shared" si="8"/>
        <v>1020880316.1110905</v>
      </c>
      <c r="V18" s="70">
        <f t="shared" si="8"/>
        <v>1041297922.4333123</v>
      </c>
      <c r="W18" s="70">
        <f t="shared" si="8"/>
        <v>1062123880.8819785</v>
      </c>
      <c r="X18" s="70">
        <f t="shared" si="8"/>
        <v>1083366358.4996181</v>
      </c>
      <c r="Y18" s="70">
        <f t="shared" si="8"/>
        <v>1105033685.6696105</v>
      </c>
      <c r="Z18" s="70">
        <f t="shared" si="8"/>
        <v>1127134359.3830028</v>
      </c>
      <c r="AA18" s="70">
        <f t="shared" si="8"/>
        <v>1149677046.5706627</v>
      </c>
      <c r="AB18" s="70">
        <f t="shared" si="8"/>
        <v>1172670587.5020759</v>
      </c>
      <c r="AC18" s="70">
        <f t="shared" si="8"/>
        <v>1196123999.2521174</v>
      </c>
      <c r="AD18" s="70">
        <f t="shared" si="8"/>
        <v>1220046479.2371597</v>
      </c>
      <c r="AE18" s="70">
        <f t="shared" si="8"/>
        <v>1244447408.821903</v>
      </c>
      <c r="AF18" s="70">
        <f t="shared" si="8"/>
        <v>1269336356.9983411</v>
      </c>
      <c r="AG18" s="227" t="s">
        <v>177</v>
      </c>
      <c r="AH18" s="238" t="s">
        <v>191</v>
      </c>
      <c r="AI18" s="152"/>
    </row>
    <row r="19" spans="1:35" ht="8.1" customHeight="1" x14ac:dyDescent="0.25">
      <c r="C19" s="82"/>
      <c r="D19" s="207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227"/>
      <c r="AH19" s="238"/>
      <c r="AI19" s="152"/>
    </row>
    <row r="20" spans="1:35" x14ac:dyDescent="0.25">
      <c r="A20" t="s">
        <v>42</v>
      </c>
      <c r="B20" s="253">
        <v>0.01</v>
      </c>
      <c r="C20" s="82">
        <v>3581423.55</v>
      </c>
      <c r="D20" s="207">
        <f>D18*B20</f>
        <v>4300301.1809999999</v>
      </c>
      <c r="E20" s="68">
        <f t="shared" ref="E20:L20" si="9">1%*E18</f>
        <v>5110507.20462</v>
      </c>
      <c r="F20" s="68">
        <f t="shared" si="9"/>
        <v>5931617.3487124005</v>
      </c>
      <c r="G20" s="68">
        <f t="shared" si="9"/>
        <v>6689849.6956866477</v>
      </c>
      <c r="H20" s="68">
        <f t="shared" si="9"/>
        <v>7463246.6896003811</v>
      </c>
      <c r="I20" s="68">
        <f t="shared" si="9"/>
        <v>8049571.6233923892</v>
      </c>
      <c r="J20" s="68">
        <f t="shared" si="9"/>
        <v>8210563.0558602372</v>
      </c>
      <c r="K20" s="68">
        <f t="shared" si="9"/>
        <v>8374774.3169774413</v>
      </c>
      <c r="L20" s="68">
        <f t="shared" si="9"/>
        <v>8542269.8033169899</v>
      </c>
      <c r="M20" s="68">
        <f>1%*M18</f>
        <v>8713115.1993833296</v>
      </c>
      <c r="N20" s="68">
        <f t="shared" ref="N20:AF20" si="10">1%*N18</f>
        <v>8887377.5033709966</v>
      </c>
      <c r="O20" s="68">
        <f t="shared" si="10"/>
        <v>9065125.0534384176</v>
      </c>
      <c r="P20" s="68">
        <f t="shared" si="10"/>
        <v>9246427.5545071848</v>
      </c>
      <c r="Q20" s="68">
        <f t="shared" si="10"/>
        <v>9431356.1055973303</v>
      </c>
      <c r="R20" s="68">
        <f t="shared" si="10"/>
        <v>9619983.2277092766</v>
      </c>
      <c r="S20" s="68">
        <f t="shared" si="10"/>
        <v>9812382.8922634609</v>
      </c>
      <c r="T20" s="68">
        <f t="shared" si="10"/>
        <v>10008630.550108731</v>
      </c>
      <c r="U20" s="68">
        <f t="shared" si="10"/>
        <v>10208803.161110906</v>
      </c>
      <c r="V20" s="68">
        <f t="shared" si="10"/>
        <v>10412979.224333122</v>
      </c>
      <c r="W20" s="68">
        <f t="shared" si="10"/>
        <v>10621238.808819786</v>
      </c>
      <c r="X20" s="68">
        <f t="shared" si="10"/>
        <v>10833663.584996181</v>
      </c>
      <c r="Y20" s="68">
        <f t="shared" si="10"/>
        <v>11050336.856696105</v>
      </c>
      <c r="Z20" s="68">
        <f t="shared" si="10"/>
        <v>11271343.593830029</v>
      </c>
      <c r="AA20" s="68">
        <f t="shared" si="10"/>
        <v>11496770.465706628</v>
      </c>
      <c r="AB20" s="68">
        <f t="shared" si="10"/>
        <v>11726705.875020759</v>
      </c>
      <c r="AC20" s="68">
        <f t="shared" si="10"/>
        <v>11961239.992521174</v>
      </c>
      <c r="AD20" s="68">
        <f t="shared" si="10"/>
        <v>12200464.792371597</v>
      </c>
      <c r="AE20" s="68">
        <f t="shared" si="10"/>
        <v>12444474.08821903</v>
      </c>
      <c r="AF20" s="68">
        <f t="shared" si="10"/>
        <v>12693363.569983412</v>
      </c>
      <c r="AG20" s="227" t="s">
        <v>178</v>
      </c>
      <c r="AH20" s="240" t="s">
        <v>192</v>
      </c>
      <c r="AI20" s="152"/>
    </row>
    <row r="21" spans="1:35" x14ac:dyDescent="0.25">
      <c r="A21" t="s">
        <v>41</v>
      </c>
      <c r="B21" s="176">
        <v>0.2</v>
      </c>
      <c r="C21" s="173">
        <f t="shared" ref="C21:L21" si="11">-$B21*C20</f>
        <v>-716284.71</v>
      </c>
      <c r="D21" s="207">
        <f t="shared" si="11"/>
        <v>-860060.23620000004</v>
      </c>
      <c r="E21" s="69">
        <f t="shared" si="11"/>
        <v>-1022101.440924</v>
      </c>
      <c r="F21" s="69">
        <f t="shared" si="11"/>
        <v>-1186323.4697424802</v>
      </c>
      <c r="G21" s="69">
        <f t="shared" si="11"/>
        <v>-1337969.9391373296</v>
      </c>
      <c r="H21" s="69">
        <f t="shared" si="11"/>
        <v>-1492649.3379200762</v>
      </c>
      <c r="I21" s="69">
        <f t="shared" si="11"/>
        <v>-1609914.3246784778</v>
      </c>
      <c r="J21" s="69">
        <f t="shared" si="11"/>
        <v>-1642112.6111720474</v>
      </c>
      <c r="K21" s="69">
        <f t="shared" si="11"/>
        <v>-1674954.8633954884</v>
      </c>
      <c r="L21" s="69">
        <f t="shared" si="11"/>
        <v>-1708453.960663398</v>
      </c>
      <c r="M21" s="69">
        <f>-$B21*M20</f>
        <v>-1742623.0398766659</v>
      </c>
      <c r="N21" s="69">
        <f t="shared" ref="N21:AF21" si="12">-$B21*N20</f>
        <v>-1777475.5006741993</v>
      </c>
      <c r="O21" s="69">
        <f t="shared" si="12"/>
        <v>-1813025.0106876837</v>
      </c>
      <c r="P21" s="69">
        <f t="shared" si="12"/>
        <v>-1849285.5109014371</v>
      </c>
      <c r="Q21" s="69">
        <f t="shared" si="12"/>
        <v>-1886271.2211194662</v>
      </c>
      <c r="R21" s="69">
        <f t="shared" si="12"/>
        <v>-1923996.6455418554</v>
      </c>
      <c r="S21" s="69">
        <f t="shared" si="12"/>
        <v>-1962476.5784526924</v>
      </c>
      <c r="T21" s="69">
        <f t="shared" si="12"/>
        <v>-2001726.1100217463</v>
      </c>
      <c r="U21" s="69">
        <f t="shared" si="12"/>
        <v>-2041760.6322221812</v>
      </c>
      <c r="V21" s="69">
        <f t="shared" si="12"/>
        <v>-2082595.8448666246</v>
      </c>
      <c r="W21" s="69">
        <f t="shared" si="12"/>
        <v>-2124247.7617639573</v>
      </c>
      <c r="X21" s="69">
        <f t="shared" si="12"/>
        <v>-2166732.716999236</v>
      </c>
      <c r="Y21" s="69">
        <f t="shared" si="12"/>
        <v>-2210067.371339221</v>
      </c>
      <c r="Z21" s="69">
        <f t="shared" si="12"/>
        <v>-2254268.7187660057</v>
      </c>
      <c r="AA21" s="69">
        <f t="shared" si="12"/>
        <v>-2299354.0931413257</v>
      </c>
      <c r="AB21" s="69">
        <f t="shared" si="12"/>
        <v>-2345341.1750041521</v>
      </c>
      <c r="AC21" s="69">
        <f t="shared" si="12"/>
        <v>-2392247.9985042349</v>
      </c>
      <c r="AD21" s="69">
        <f t="shared" si="12"/>
        <v>-2440092.9584743194</v>
      </c>
      <c r="AE21" s="69">
        <f t="shared" si="12"/>
        <v>-2488894.8176438059</v>
      </c>
      <c r="AF21" s="69">
        <f t="shared" si="12"/>
        <v>-2538672.7139966823</v>
      </c>
      <c r="AG21" s="231" t="s">
        <v>179</v>
      </c>
      <c r="AH21" s="241" t="s">
        <v>193</v>
      </c>
      <c r="AI21" s="152"/>
    </row>
    <row r="22" spans="1:35" x14ac:dyDescent="0.25">
      <c r="A22" s="1" t="s">
        <v>69</v>
      </c>
      <c r="B22" s="254"/>
      <c r="C22" s="204">
        <f>C20+C21</f>
        <v>2865138.84</v>
      </c>
      <c r="D22" s="210">
        <f t="shared" ref="D22:AF22" si="13">SUM(D20:D21)</f>
        <v>3440240.9447999997</v>
      </c>
      <c r="E22" s="71">
        <f t="shared" si="13"/>
        <v>4088405.763696</v>
      </c>
      <c r="F22" s="71">
        <f t="shared" si="13"/>
        <v>4745293.8789699208</v>
      </c>
      <c r="G22" s="71">
        <f t="shared" si="13"/>
        <v>5351879.7565493183</v>
      </c>
      <c r="H22" s="71">
        <f t="shared" si="13"/>
        <v>5970597.3516803049</v>
      </c>
      <c r="I22" s="71">
        <f t="shared" si="13"/>
        <v>6439657.2987139113</v>
      </c>
      <c r="J22" s="71">
        <f t="shared" si="13"/>
        <v>6568450.4446881898</v>
      </c>
      <c r="K22" s="71">
        <f t="shared" si="13"/>
        <v>6699819.4535819534</v>
      </c>
      <c r="L22" s="71">
        <f t="shared" si="13"/>
        <v>6833815.8426535921</v>
      </c>
      <c r="M22" s="71">
        <f t="shared" si="13"/>
        <v>6970492.1595066637</v>
      </c>
      <c r="N22" s="71">
        <f t="shared" si="13"/>
        <v>7109902.0026967973</v>
      </c>
      <c r="O22" s="71">
        <f t="shared" si="13"/>
        <v>7252100.0427507339</v>
      </c>
      <c r="P22" s="71">
        <f t="shared" si="13"/>
        <v>7397142.0436057476</v>
      </c>
      <c r="Q22" s="71">
        <f t="shared" si="13"/>
        <v>7545084.884477864</v>
      </c>
      <c r="R22" s="71">
        <f t="shared" si="13"/>
        <v>7695986.5821674215</v>
      </c>
      <c r="S22" s="71">
        <f t="shared" si="13"/>
        <v>7849906.3138107685</v>
      </c>
      <c r="T22" s="71">
        <f t="shared" si="13"/>
        <v>8006904.440086985</v>
      </c>
      <c r="U22" s="71">
        <f t="shared" si="13"/>
        <v>8167042.5288887247</v>
      </c>
      <c r="V22" s="71">
        <f t="shared" si="13"/>
        <v>8330383.3794664983</v>
      </c>
      <c r="W22" s="71">
        <f t="shared" si="13"/>
        <v>8496991.0470558293</v>
      </c>
      <c r="X22" s="71">
        <f t="shared" si="13"/>
        <v>8666930.8679969441</v>
      </c>
      <c r="Y22" s="71">
        <f t="shared" si="13"/>
        <v>8840269.4853568841</v>
      </c>
      <c r="Z22" s="71">
        <f t="shared" si="13"/>
        <v>9017074.8750640228</v>
      </c>
      <c r="AA22" s="71">
        <f t="shared" si="13"/>
        <v>9197416.372565303</v>
      </c>
      <c r="AB22" s="71">
        <f t="shared" si="13"/>
        <v>9381364.7000166066</v>
      </c>
      <c r="AC22" s="71">
        <f t="shared" si="13"/>
        <v>9568991.9940169398</v>
      </c>
      <c r="AD22" s="71">
        <f t="shared" si="13"/>
        <v>9760371.8338972777</v>
      </c>
      <c r="AE22" s="71">
        <f t="shared" si="13"/>
        <v>9955579.2705752235</v>
      </c>
      <c r="AF22" s="71">
        <f t="shared" si="13"/>
        <v>10154690.855986729</v>
      </c>
      <c r="AG22" s="227" t="s">
        <v>180</v>
      </c>
      <c r="AH22" s="238" t="s">
        <v>150</v>
      </c>
      <c r="AI22" s="152"/>
    </row>
    <row r="23" spans="1:35" ht="7.5" customHeight="1" x14ac:dyDescent="0.25">
      <c r="A23" s="1"/>
      <c r="B23" s="254"/>
      <c r="C23" s="82"/>
      <c r="D23" s="207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227"/>
      <c r="AH23" s="238"/>
      <c r="AI23" s="152"/>
    </row>
    <row r="24" spans="1:35" ht="15" customHeight="1" x14ac:dyDescent="0.25">
      <c r="A24" s="1" t="s">
        <v>222</v>
      </c>
      <c r="B24" s="254"/>
      <c r="C24" s="82"/>
      <c r="D24" s="207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227"/>
      <c r="AH24" s="238"/>
      <c r="AI24" s="152"/>
    </row>
    <row r="25" spans="1:35" x14ac:dyDescent="0.25">
      <c r="A25" s="19" t="s">
        <v>220</v>
      </c>
      <c r="B25" s="321">
        <v>0.25</v>
      </c>
      <c r="D25" s="207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227"/>
      <c r="AH25" s="240"/>
      <c r="AI25" s="152"/>
    </row>
    <row r="26" spans="1:35" x14ac:dyDescent="0.25">
      <c r="A26" t="s">
        <v>218</v>
      </c>
      <c r="B26" s="255">
        <v>0.54453700000000005</v>
      </c>
      <c r="C26" s="82">
        <f>-$B$25*$B$26*C$22</f>
        <v>-390043.52712927002</v>
      </c>
      <c r="D26" s="207">
        <f t="shared" ref="D26:AF26" si="14">-$B$25*$B$26*D$22</f>
        <v>-468334.62083963939</v>
      </c>
      <c r="E26" s="68">
        <f t="shared" si="14"/>
        <v>-556572.05233643227</v>
      </c>
      <c r="F26" s="68">
        <f t="shared" si="14"/>
        <v>-645997.02324316103</v>
      </c>
      <c r="G26" s="68">
        <f t="shared" si="14"/>
        <v>-728574.13674802415</v>
      </c>
      <c r="H26" s="68">
        <f t="shared" si="14"/>
        <v>-812802.79252298456</v>
      </c>
      <c r="I26" s="68">
        <f t="shared" si="14"/>
        <v>-876657.91661744437</v>
      </c>
      <c r="J26" s="68">
        <f t="shared" si="14"/>
        <v>-894191.07494979328</v>
      </c>
      <c r="K26" s="68">
        <f t="shared" si="14"/>
        <v>-912074.89644878916</v>
      </c>
      <c r="L26" s="68">
        <f t="shared" si="14"/>
        <v>-930316.3943777649</v>
      </c>
      <c r="M26" s="68">
        <f t="shared" si="14"/>
        <v>-948922.72226532013</v>
      </c>
      <c r="N26" s="68">
        <f t="shared" si="14"/>
        <v>-967901.17671062658</v>
      </c>
      <c r="O26" s="68">
        <f t="shared" si="14"/>
        <v>-987259.20024483919</v>
      </c>
      <c r="P26" s="68">
        <f t="shared" si="14"/>
        <v>-1007004.3842497359</v>
      </c>
      <c r="Q26" s="68">
        <f t="shared" si="14"/>
        <v>-1027144.4719347308</v>
      </c>
      <c r="R26" s="68">
        <f t="shared" si="14"/>
        <v>-1047687.3613734253</v>
      </c>
      <c r="S26" s="68">
        <f t="shared" si="14"/>
        <v>-1068641.1086008938</v>
      </c>
      <c r="T26" s="68">
        <f t="shared" si="14"/>
        <v>-1090013.9307729118</v>
      </c>
      <c r="U26" s="68">
        <f t="shared" si="14"/>
        <v>-1111814.2093883699</v>
      </c>
      <c r="V26" s="68">
        <f t="shared" si="14"/>
        <v>-1134050.4935761373</v>
      </c>
      <c r="W26" s="68">
        <f t="shared" si="14"/>
        <v>-1156731.5034476602</v>
      </c>
      <c r="X26" s="68">
        <f t="shared" si="14"/>
        <v>-1179866.1335166132</v>
      </c>
      <c r="Y26" s="68">
        <f t="shared" si="14"/>
        <v>-1203463.4561869456</v>
      </c>
      <c r="Z26" s="68">
        <f t="shared" si="14"/>
        <v>-1227532.7253106846</v>
      </c>
      <c r="AA26" s="68">
        <f t="shared" si="14"/>
        <v>-1252083.3798168981</v>
      </c>
      <c r="AB26" s="68">
        <f t="shared" si="14"/>
        <v>-1277125.0474132358</v>
      </c>
      <c r="AC26" s="68">
        <f t="shared" si="14"/>
        <v>-1302667.5483615007</v>
      </c>
      <c r="AD26" s="68">
        <f t="shared" si="14"/>
        <v>-1328720.8993287305</v>
      </c>
      <c r="AE26" s="68">
        <f t="shared" si="14"/>
        <v>-1355295.3173153054</v>
      </c>
      <c r="AF26" s="68">
        <f t="shared" si="14"/>
        <v>-1382401.2236616116</v>
      </c>
      <c r="AG26" s="227" t="s">
        <v>224</v>
      </c>
      <c r="AH26" s="240" t="s">
        <v>228</v>
      </c>
      <c r="AI26" s="152"/>
    </row>
    <row r="27" spans="1:35" x14ac:dyDescent="0.25">
      <c r="A27" t="s">
        <v>219</v>
      </c>
      <c r="B27" s="255">
        <v>5.8806999999999998E-2</v>
      </c>
      <c r="C27" s="82">
        <f>-C22*$B$27*$B$25</f>
        <v>-42122.554940969996</v>
      </c>
      <c r="D27" s="207">
        <f t="shared" ref="D27:AF27" si="15">-D22*$B$27*$B$25</f>
        <v>-50577.562310213398</v>
      </c>
      <c r="E27" s="68">
        <f t="shared" si="15"/>
        <v>-60106.719436417668</v>
      </c>
      <c r="F27" s="68">
        <f t="shared" si="15"/>
        <v>-69764.124285146027</v>
      </c>
      <c r="G27" s="68">
        <f t="shared" si="15"/>
        <v>-78681.998210848935</v>
      </c>
      <c r="H27" s="68">
        <f t="shared" si="15"/>
        <v>-87778.229615065924</v>
      </c>
      <c r="I27" s="68">
        <f t="shared" si="15"/>
        <v>-94674.23169136724</v>
      </c>
      <c r="J27" s="68">
        <f t="shared" si="15"/>
        <v>-96567.716325194589</v>
      </c>
      <c r="K27" s="68">
        <f t="shared" si="15"/>
        <v>-98499.070651698479</v>
      </c>
      <c r="L27" s="68">
        <f t="shared" si="15"/>
        <v>-100469.05206473244</v>
      </c>
      <c r="M27" s="68">
        <f t="shared" si="15"/>
        <v>-102478.43310602709</v>
      </c>
      <c r="N27" s="68">
        <f t="shared" si="15"/>
        <v>-104528.00176814763</v>
      </c>
      <c r="O27" s="68">
        <f t="shared" si="15"/>
        <v>-106618.5618035106</v>
      </c>
      <c r="P27" s="68">
        <f t="shared" si="15"/>
        <v>-108750.93303958079</v>
      </c>
      <c r="Q27" s="68">
        <f t="shared" si="15"/>
        <v>-110925.95170037243</v>
      </c>
      <c r="R27" s="68">
        <f t="shared" si="15"/>
        <v>-113144.47073437988</v>
      </c>
      <c r="S27" s="68">
        <f t="shared" si="15"/>
        <v>-115407.36014906746</v>
      </c>
      <c r="T27" s="68">
        <f t="shared" si="15"/>
        <v>-117715.50735204882</v>
      </c>
      <c r="U27" s="68">
        <f t="shared" si="15"/>
        <v>-120069.81749908981</v>
      </c>
      <c r="V27" s="68">
        <f t="shared" si="15"/>
        <v>-122471.21384907159</v>
      </c>
      <c r="W27" s="68">
        <f t="shared" si="15"/>
        <v>-124920.63812605303</v>
      </c>
      <c r="X27" s="68">
        <f t="shared" si="15"/>
        <v>-127419.05088857407</v>
      </c>
      <c r="Y27" s="68">
        <f t="shared" si="15"/>
        <v>-129967.43190634556</v>
      </c>
      <c r="Z27" s="68">
        <f t="shared" si="15"/>
        <v>-132566.78054447248</v>
      </c>
      <c r="AA27" s="68">
        <f t="shared" si="15"/>
        <v>-135218.11615536193</v>
      </c>
      <c r="AB27" s="68">
        <f t="shared" si="15"/>
        <v>-137922.47847846913</v>
      </c>
      <c r="AC27" s="68">
        <f t="shared" si="15"/>
        <v>-140680.92804803854</v>
      </c>
      <c r="AD27" s="68">
        <f t="shared" si="15"/>
        <v>-143494.54660899928</v>
      </c>
      <c r="AE27" s="68">
        <f t="shared" si="15"/>
        <v>-146364.4375411793</v>
      </c>
      <c r="AF27" s="68">
        <f t="shared" si="15"/>
        <v>-149291.72629200289</v>
      </c>
      <c r="AG27" s="227" t="s">
        <v>225</v>
      </c>
      <c r="AH27" s="240" t="s">
        <v>229</v>
      </c>
      <c r="AI27" s="152"/>
    </row>
    <row r="28" spans="1:35" ht="26.25" x14ac:dyDescent="0.25">
      <c r="A28" s="322" t="s">
        <v>232</v>
      </c>
      <c r="B28" s="321"/>
      <c r="C28" s="99" t="s">
        <v>231</v>
      </c>
      <c r="D28" s="205">
        <f>D22-$C$22</f>
        <v>575102.10479999986</v>
      </c>
      <c r="E28" s="144">
        <f t="shared" ref="E28:L28" si="16">E22-$C$22</f>
        <v>1223266.9236960001</v>
      </c>
      <c r="F28" s="144">
        <f t="shared" si="16"/>
        <v>1880155.0389699209</v>
      </c>
      <c r="G28" s="144">
        <f t="shared" si="16"/>
        <v>2486740.9165493185</v>
      </c>
      <c r="H28" s="144">
        <f t="shared" si="16"/>
        <v>3105458.511680305</v>
      </c>
      <c r="I28" s="144">
        <f t="shared" si="16"/>
        <v>3574518.4587139115</v>
      </c>
      <c r="J28" s="144">
        <f t="shared" si="16"/>
        <v>3703311.6046881899</v>
      </c>
      <c r="K28" s="144">
        <f t="shared" si="16"/>
        <v>3834680.6135819536</v>
      </c>
      <c r="L28" s="144">
        <f t="shared" si="16"/>
        <v>3968677.0026535923</v>
      </c>
      <c r="M28" s="144">
        <f>M22-$C$22</f>
        <v>4105353.3195066638</v>
      </c>
      <c r="N28" s="144">
        <f t="shared" ref="N28:AF28" si="17">N22-$C$22</f>
        <v>4244763.1626967974</v>
      </c>
      <c r="O28" s="144">
        <f t="shared" si="17"/>
        <v>4386961.2027507341</v>
      </c>
      <c r="P28" s="144">
        <f t="shared" si="17"/>
        <v>4532003.2036057478</v>
      </c>
      <c r="Q28" s="144">
        <f t="shared" si="17"/>
        <v>4679946.0444778642</v>
      </c>
      <c r="R28" s="144">
        <f t="shared" si="17"/>
        <v>4830847.7421674216</v>
      </c>
      <c r="S28" s="144">
        <f t="shared" si="17"/>
        <v>4984767.4738107687</v>
      </c>
      <c r="T28" s="144">
        <f t="shared" si="17"/>
        <v>5141765.6000869852</v>
      </c>
      <c r="U28" s="144">
        <f>U22-$C$22</f>
        <v>5301903.6888887249</v>
      </c>
      <c r="V28" s="144">
        <f t="shared" si="17"/>
        <v>5465244.5394664984</v>
      </c>
      <c r="W28" s="144">
        <f>W22-$C$22</f>
        <v>5631852.2070558295</v>
      </c>
      <c r="X28" s="144">
        <f t="shared" si="17"/>
        <v>5801792.0279969443</v>
      </c>
      <c r="Y28" s="144">
        <f t="shared" si="17"/>
        <v>5975130.6453568842</v>
      </c>
      <c r="Z28" s="144">
        <f t="shared" si="17"/>
        <v>6151936.035064023</v>
      </c>
      <c r="AA28" s="144">
        <f t="shared" si="17"/>
        <v>6332277.5325653031</v>
      </c>
      <c r="AB28" s="144">
        <f t="shared" si="17"/>
        <v>6516225.8600166067</v>
      </c>
      <c r="AC28" s="144">
        <f t="shared" si="17"/>
        <v>6703853.1540169399</v>
      </c>
      <c r="AD28" s="144">
        <f t="shared" si="17"/>
        <v>6895232.9938972779</v>
      </c>
      <c r="AE28" s="144">
        <f t="shared" si="17"/>
        <v>7090440.4305752236</v>
      </c>
      <c r="AF28" s="144">
        <f t="shared" si="17"/>
        <v>7289552.0159867294</v>
      </c>
      <c r="AG28" s="227" t="s">
        <v>181</v>
      </c>
      <c r="AH28" s="246" t="s">
        <v>233</v>
      </c>
      <c r="AI28" s="152"/>
    </row>
    <row r="29" spans="1:35" x14ac:dyDescent="0.25">
      <c r="A29" s="317" t="s">
        <v>283</v>
      </c>
      <c r="B29" s="321">
        <v>0.21</v>
      </c>
      <c r="C29" s="82"/>
      <c r="D29" s="207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227"/>
      <c r="AH29" s="240"/>
      <c r="AI29" s="152"/>
    </row>
    <row r="30" spans="1:35" x14ac:dyDescent="0.25">
      <c r="A30" s="316" t="s">
        <v>218</v>
      </c>
      <c r="B30" s="255">
        <v>0.54453700000000005</v>
      </c>
      <c r="C30" s="82">
        <v>0</v>
      </c>
      <c r="D30" s="207">
        <f t="shared" ref="D30:AF30" si="18">-(D28)*$B$29*$B$30</f>
        <v>-65764.518716710285</v>
      </c>
      <c r="E30" s="68">
        <f t="shared" si="18"/>
        <v>-139883.96117401627</v>
      </c>
      <c r="F30" s="68">
        <f t="shared" si="18"/>
        <v>-215000.93673566842</v>
      </c>
      <c r="G30" s="68">
        <f t="shared" si="18"/>
        <v>-284365.71207975346</v>
      </c>
      <c r="H30" s="68">
        <f t="shared" si="18"/>
        <v>-355117.78293072025</v>
      </c>
      <c r="I30" s="68">
        <f t="shared" si="18"/>
        <v>-408756.08717006643</v>
      </c>
      <c r="J30" s="68">
        <f t="shared" si="18"/>
        <v>-423483.94016923953</v>
      </c>
      <c r="K30" s="68">
        <f t="shared" si="18"/>
        <v>-438506.35022839601</v>
      </c>
      <c r="L30" s="68">
        <f t="shared" si="18"/>
        <v>-453829.20848873566</v>
      </c>
      <c r="M30" s="68">
        <f t="shared" si="18"/>
        <v>-469458.52391428209</v>
      </c>
      <c r="N30" s="68">
        <f t="shared" si="18"/>
        <v>-485400.4256483395</v>
      </c>
      <c r="O30" s="68">
        <f t="shared" si="18"/>
        <v>-501661.16541707807</v>
      </c>
      <c r="P30" s="68">
        <f t="shared" si="18"/>
        <v>-518247.11998119124</v>
      </c>
      <c r="Q30" s="68">
        <f t="shared" si="18"/>
        <v>-535164.79363658698</v>
      </c>
      <c r="R30" s="68">
        <f t="shared" si="18"/>
        <v>-552420.82076509052</v>
      </c>
      <c r="S30" s="68">
        <f t="shared" si="18"/>
        <v>-570021.96843616397</v>
      </c>
      <c r="T30" s="68">
        <f t="shared" si="18"/>
        <v>-587975.13906065898</v>
      </c>
      <c r="U30" s="68">
        <f t="shared" si="18"/>
        <v>-606287.37309764395</v>
      </c>
      <c r="V30" s="68">
        <f t="shared" si="18"/>
        <v>-624965.8518153684</v>
      </c>
      <c r="W30" s="68">
        <f t="shared" si="18"/>
        <v>-644017.90010744764</v>
      </c>
      <c r="X30" s="68">
        <f t="shared" si="18"/>
        <v>-663450.98936536815</v>
      </c>
      <c r="Y30" s="68">
        <f t="shared" si="18"/>
        <v>-683272.74040844734</v>
      </c>
      <c r="Z30" s="68">
        <f t="shared" si="18"/>
        <v>-703490.92647238821</v>
      </c>
      <c r="AA30" s="68">
        <f t="shared" si="18"/>
        <v>-724113.47625760769</v>
      </c>
      <c r="AB30" s="68">
        <f t="shared" si="18"/>
        <v>-745148.47703853133</v>
      </c>
      <c r="AC30" s="68">
        <f t="shared" si="18"/>
        <v>-766604.17783507367</v>
      </c>
      <c r="AD30" s="68">
        <f t="shared" si="18"/>
        <v>-788488.99264754693</v>
      </c>
      <c r="AE30" s="68">
        <f t="shared" si="18"/>
        <v>-810811.50375626958</v>
      </c>
      <c r="AF30" s="68">
        <f t="shared" si="18"/>
        <v>-833580.46508716687</v>
      </c>
      <c r="AG30" s="227" t="s">
        <v>226</v>
      </c>
      <c r="AH30" s="240" t="s">
        <v>302</v>
      </c>
      <c r="AI30" s="152"/>
    </row>
    <row r="31" spans="1:35" x14ac:dyDescent="0.25">
      <c r="A31" s="316" t="s">
        <v>219</v>
      </c>
      <c r="B31" s="255">
        <v>5.8806999999999998E-2</v>
      </c>
      <c r="C31" s="173">
        <v>0</v>
      </c>
      <c r="D31" s="207">
        <f t="shared" ref="D31:AF31" si="19">-(D28)*$B$31*$B$29</f>
        <v>-7102.2061901644538</v>
      </c>
      <c r="E31" s="69">
        <f t="shared" si="19"/>
        <v>-15106.698176176042</v>
      </c>
      <c r="F31" s="69">
        <f t="shared" si="19"/>
        <v>-23218.918249107868</v>
      </c>
      <c r="G31" s="69">
        <f t="shared" si="19"/>
        <v>-30709.932346698308</v>
      </c>
      <c r="H31" s="69">
        <f t="shared" si="19"/>
        <v>-38350.766726240574</v>
      </c>
      <c r="I31" s="69">
        <f t="shared" si="19"/>
        <v>-44143.408470333685</v>
      </c>
      <c r="J31" s="69">
        <f t="shared" si="19"/>
        <v>-45733.935562748658</v>
      </c>
      <c r="K31" s="69">
        <f t="shared" si="19"/>
        <v>-47356.273197011928</v>
      </c>
      <c r="L31" s="69">
        <f t="shared" si="19"/>
        <v>-49011.057583960457</v>
      </c>
      <c r="M31" s="69">
        <f t="shared" si="19"/>
        <v>-50698.937658647956</v>
      </c>
      <c r="N31" s="69">
        <f t="shared" si="19"/>
        <v>-52420.57533482922</v>
      </c>
      <c r="O31" s="69">
        <f t="shared" si="19"/>
        <v>-54176.645764534107</v>
      </c>
      <c r="P31" s="69">
        <f t="shared" si="19"/>
        <v>-55967.837602833075</v>
      </c>
      <c r="Q31" s="69">
        <f t="shared" si="19"/>
        <v>-57794.853277898052</v>
      </c>
      <c r="R31" s="69">
        <f t="shared" si="19"/>
        <v>-59658.409266464303</v>
      </c>
      <c r="S31" s="69">
        <f t="shared" si="19"/>
        <v>-61559.236374801862</v>
      </c>
      <c r="T31" s="69">
        <f t="shared" si="19"/>
        <v>-63498.080025306219</v>
      </c>
      <c r="U31" s="69">
        <f t="shared" si="19"/>
        <v>-65475.700548820634</v>
      </c>
      <c r="V31" s="69">
        <f t="shared" si="19"/>
        <v>-67492.873482805328</v>
      </c>
      <c r="W31" s="69">
        <f t="shared" si="19"/>
        <v>-69550.389875469758</v>
      </c>
      <c r="X31" s="69">
        <f t="shared" si="19"/>
        <v>-71649.056595987407</v>
      </c>
      <c r="Y31" s="69">
        <f t="shared" si="19"/>
        <v>-73789.696650915474</v>
      </c>
      <c r="Z31" s="69">
        <f t="shared" si="19"/>
        <v>-75973.149506942093</v>
      </c>
      <c r="AA31" s="69">
        <f t="shared" si="19"/>
        <v>-78200.271420089222</v>
      </c>
      <c r="AB31" s="69">
        <f t="shared" si="19"/>
        <v>-80471.93577149928</v>
      </c>
      <c r="AC31" s="69">
        <f t="shared" si="19"/>
        <v>-82789.033409937576</v>
      </c>
      <c r="AD31" s="69">
        <f t="shared" si="19"/>
        <v>-85152.473001144608</v>
      </c>
      <c r="AE31" s="69">
        <f t="shared" si="19"/>
        <v>-87563.181384175812</v>
      </c>
      <c r="AF31" s="69">
        <f t="shared" si="19"/>
        <v>-90022.103934867628</v>
      </c>
      <c r="AG31" s="227" t="s">
        <v>227</v>
      </c>
      <c r="AH31" s="240" t="s">
        <v>303</v>
      </c>
      <c r="AI31" s="152"/>
    </row>
    <row r="32" spans="1:35" ht="26.25" x14ac:dyDescent="0.25">
      <c r="A32" s="322" t="s">
        <v>232</v>
      </c>
      <c r="B32" s="321"/>
      <c r="C32" s="136">
        <v>0</v>
      </c>
      <c r="D32" s="205">
        <v>0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75">
        <f>W22-$V$22</f>
        <v>166607.66758933105</v>
      </c>
      <c r="X32" s="175">
        <f t="shared" ref="X32:AF32" si="20">X22-$V$22</f>
        <v>336547.48853044584</v>
      </c>
      <c r="Y32" s="175">
        <f t="shared" si="20"/>
        <v>509886.10589038581</v>
      </c>
      <c r="Z32" s="175">
        <f t="shared" si="20"/>
        <v>686691.49559752457</v>
      </c>
      <c r="AA32" s="175">
        <f t="shared" si="20"/>
        <v>867032.99309880473</v>
      </c>
      <c r="AB32" s="175">
        <f t="shared" si="20"/>
        <v>1050981.3205501083</v>
      </c>
      <c r="AC32" s="175">
        <f t="shared" si="20"/>
        <v>1238608.6145504415</v>
      </c>
      <c r="AD32" s="175">
        <f t="shared" si="20"/>
        <v>1429988.4544307794</v>
      </c>
      <c r="AE32" s="175">
        <f t="shared" si="20"/>
        <v>1625195.8911087252</v>
      </c>
      <c r="AF32" s="175">
        <f t="shared" si="20"/>
        <v>1824307.476520231</v>
      </c>
      <c r="AG32" s="227" t="s">
        <v>181</v>
      </c>
      <c r="AH32" s="246" t="s">
        <v>294</v>
      </c>
      <c r="AI32" s="152"/>
    </row>
    <row r="33" spans="1:35" x14ac:dyDescent="0.25">
      <c r="A33" s="317" t="s">
        <v>282</v>
      </c>
      <c r="B33" s="321">
        <v>0.14000000000000001</v>
      </c>
      <c r="C33" s="82"/>
      <c r="D33" s="207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227"/>
      <c r="AH33" s="240"/>
      <c r="AI33" s="152"/>
    </row>
    <row r="34" spans="1:35" x14ac:dyDescent="0.25">
      <c r="A34" s="316" t="s">
        <v>218</v>
      </c>
      <c r="B34" s="255">
        <v>0.54453700000000005</v>
      </c>
      <c r="C34" s="82">
        <f>-C32*$B$34*$B$33</f>
        <v>0</v>
      </c>
      <c r="D34" s="207">
        <f t="shared" ref="D34:L34" si="21">-D32*$B$34*$B$33</f>
        <v>0</v>
      </c>
      <c r="E34" s="82">
        <f t="shared" si="21"/>
        <v>0</v>
      </c>
      <c r="F34" s="82">
        <f t="shared" si="21"/>
        <v>0</v>
      </c>
      <c r="G34" s="82">
        <f t="shared" si="21"/>
        <v>0</v>
      </c>
      <c r="H34" s="82">
        <f t="shared" si="21"/>
        <v>0</v>
      </c>
      <c r="I34" s="82">
        <f t="shared" si="21"/>
        <v>0</v>
      </c>
      <c r="J34" s="82">
        <f t="shared" si="21"/>
        <v>0</v>
      </c>
      <c r="K34" s="82">
        <f t="shared" si="21"/>
        <v>0</v>
      </c>
      <c r="L34" s="82">
        <f t="shared" si="21"/>
        <v>0</v>
      </c>
      <c r="M34" s="82">
        <f>-M32*$B$34*$B$33</f>
        <v>0</v>
      </c>
      <c r="N34" s="82">
        <f t="shared" ref="N34:AF34" si="22">-N32*$B$34*$B$33</f>
        <v>0</v>
      </c>
      <c r="O34" s="82">
        <f t="shared" si="22"/>
        <v>0</v>
      </c>
      <c r="P34" s="82">
        <f t="shared" si="22"/>
        <v>0</v>
      </c>
      <c r="Q34" s="82">
        <f t="shared" si="22"/>
        <v>0</v>
      </c>
      <c r="R34" s="82">
        <f t="shared" si="22"/>
        <v>0</v>
      </c>
      <c r="S34" s="82">
        <f t="shared" si="22"/>
        <v>0</v>
      </c>
      <c r="T34" s="82">
        <f t="shared" si="22"/>
        <v>0</v>
      </c>
      <c r="U34" s="82">
        <f t="shared" si="22"/>
        <v>0</v>
      </c>
      <c r="V34" s="82">
        <f t="shared" si="22"/>
        <v>0</v>
      </c>
      <c r="W34" s="82">
        <f t="shared" si="22"/>
        <v>-12701.36552805282</v>
      </c>
      <c r="X34" s="82">
        <f t="shared" si="22"/>
        <v>-25656.758366666476</v>
      </c>
      <c r="Y34" s="82">
        <f t="shared" si="22"/>
        <v>-38871.259062052632</v>
      </c>
      <c r="Z34" s="82">
        <f t="shared" si="22"/>
        <v>-52350.049771346501</v>
      </c>
      <c r="AA34" s="82">
        <f t="shared" si="22"/>
        <v>-66098.416294826151</v>
      </c>
      <c r="AB34" s="82">
        <f t="shared" si="22"/>
        <v>-80121.750148775216</v>
      </c>
      <c r="AC34" s="82">
        <f t="shared" si="22"/>
        <v>-94425.550679803549</v>
      </c>
      <c r="AD34" s="82">
        <f t="shared" si="22"/>
        <v>-109015.42722145229</v>
      </c>
      <c r="AE34" s="82">
        <f t="shared" si="22"/>
        <v>-123897.10129393409</v>
      </c>
      <c r="AF34" s="82">
        <f t="shared" si="22"/>
        <v>-139076.40884786559</v>
      </c>
      <c r="AG34" s="227" t="s">
        <v>284</v>
      </c>
      <c r="AH34" s="240" t="s">
        <v>304</v>
      </c>
      <c r="AI34" s="152"/>
    </row>
    <row r="35" spans="1:35" x14ac:dyDescent="0.25">
      <c r="A35" s="316" t="s">
        <v>219</v>
      </c>
      <c r="B35" s="255">
        <v>5.8806999999999998E-2</v>
      </c>
      <c r="C35" s="146">
        <f>-C32*$B$35*$B$33</f>
        <v>0</v>
      </c>
      <c r="D35" s="208">
        <f t="shared" ref="D35:AF35" si="23">-D32*$B$35*$B$33</f>
        <v>0</v>
      </c>
      <c r="E35" s="146">
        <f t="shared" si="23"/>
        <v>0</v>
      </c>
      <c r="F35" s="146">
        <f t="shared" si="23"/>
        <v>0</v>
      </c>
      <c r="G35" s="146">
        <f t="shared" si="23"/>
        <v>0</v>
      </c>
      <c r="H35" s="146">
        <f t="shared" si="23"/>
        <v>0</v>
      </c>
      <c r="I35" s="146">
        <f t="shared" si="23"/>
        <v>0</v>
      </c>
      <c r="J35" s="146">
        <f t="shared" si="23"/>
        <v>0</v>
      </c>
      <c r="K35" s="146">
        <f t="shared" si="23"/>
        <v>0</v>
      </c>
      <c r="L35" s="146">
        <f t="shared" si="23"/>
        <v>0</v>
      </c>
      <c r="M35" s="146">
        <f t="shared" si="23"/>
        <v>0</v>
      </c>
      <c r="N35" s="146">
        <f t="shared" si="23"/>
        <v>0</v>
      </c>
      <c r="O35" s="146">
        <f t="shared" si="23"/>
        <v>0</v>
      </c>
      <c r="P35" s="146">
        <f t="shared" si="23"/>
        <v>0</v>
      </c>
      <c r="Q35" s="146">
        <f t="shared" si="23"/>
        <v>0</v>
      </c>
      <c r="R35" s="146">
        <f t="shared" si="23"/>
        <v>0</v>
      </c>
      <c r="S35" s="146">
        <f t="shared" si="23"/>
        <v>0</v>
      </c>
      <c r="T35" s="146">
        <f t="shared" si="23"/>
        <v>0</v>
      </c>
      <c r="U35" s="146">
        <f t="shared" si="23"/>
        <v>0</v>
      </c>
      <c r="V35" s="146">
        <f t="shared" si="23"/>
        <v>0</v>
      </c>
      <c r="W35" s="146">
        <f t="shared" si="23"/>
        <v>-1371.6775951096108</v>
      </c>
      <c r="X35" s="146">
        <f t="shared" si="23"/>
        <v>-2770.7887421213904</v>
      </c>
      <c r="Y35" s="146">
        <f t="shared" si="23"/>
        <v>-4197.8821120734283</v>
      </c>
      <c r="Z35" s="146">
        <f t="shared" si="23"/>
        <v>-5653.5173494245082</v>
      </c>
      <c r="AA35" s="146">
        <f t="shared" si="23"/>
        <v>-7138.2652915225981</v>
      </c>
      <c r="AB35" s="146">
        <f t="shared" si="23"/>
        <v>-8652.7081924626309</v>
      </c>
      <c r="AC35" s="146">
        <f t="shared" si="23"/>
        <v>-10197.439951421495</v>
      </c>
      <c r="AD35" s="146">
        <f t="shared" si="23"/>
        <v>-11773.066345559519</v>
      </c>
      <c r="AE35" s="146">
        <f t="shared" si="23"/>
        <v>-13380.205267580315</v>
      </c>
      <c r="AF35" s="146">
        <f t="shared" si="23"/>
        <v>-15019.486968041532</v>
      </c>
      <c r="AG35" s="227" t="s">
        <v>285</v>
      </c>
      <c r="AH35" s="240" t="s">
        <v>305</v>
      </c>
      <c r="AI35" s="152"/>
    </row>
    <row r="36" spans="1:35" x14ac:dyDescent="0.25">
      <c r="A36" s="1" t="s">
        <v>223</v>
      </c>
      <c r="B36" s="266"/>
      <c r="C36" s="112">
        <f>C22+SUM(C26:C27)+SUM(C30:C31)+SUM(C34:C35)</f>
        <v>2432972.75792976</v>
      </c>
      <c r="D36" s="210">
        <f t="shared" ref="D36:AF36" si="24">D22+SUM(D26:D27)+SUM(D30:D31)</f>
        <v>2848462.0367432721</v>
      </c>
      <c r="E36" s="71">
        <f t="shared" si="24"/>
        <v>3316736.332572958</v>
      </c>
      <c r="F36" s="71">
        <f t="shared" si="24"/>
        <v>3791312.8764568376</v>
      </c>
      <c r="G36" s="71">
        <f t="shared" si="24"/>
        <v>4229547.9771639928</v>
      </c>
      <c r="H36" s="71">
        <f t="shared" si="24"/>
        <v>4676547.779885293</v>
      </c>
      <c r="I36" s="71">
        <f t="shared" si="24"/>
        <v>5015425.6547646997</v>
      </c>
      <c r="J36" s="71">
        <f t="shared" si="24"/>
        <v>5108473.7776812138</v>
      </c>
      <c r="K36" s="71">
        <f t="shared" si="24"/>
        <v>5203382.8630560571</v>
      </c>
      <c r="L36" s="71">
        <f t="shared" si="24"/>
        <v>5300190.1301383991</v>
      </c>
      <c r="M36" s="71">
        <f t="shared" si="24"/>
        <v>5398933.542562386</v>
      </c>
      <c r="N36" s="71">
        <f t="shared" si="24"/>
        <v>5499651.8232348552</v>
      </c>
      <c r="O36" s="71">
        <f t="shared" si="24"/>
        <v>5602384.4695207719</v>
      </c>
      <c r="P36" s="71">
        <f t="shared" si="24"/>
        <v>5707171.7687324071</v>
      </c>
      <c r="Q36" s="71">
        <f t="shared" si="24"/>
        <v>5814054.8139282754</v>
      </c>
      <c r="R36" s="71">
        <f t="shared" si="24"/>
        <v>5923075.5200280612</v>
      </c>
      <c r="S36" s="71">
        <f t="shared" si="24"/>
        <v>6034276.6402498418</v>
      </c>
      <c r="T36" s="71">
        <f t="shared" si="24"/>
        <v>6147701.7828760594</v>
      </c>
      <c r="U36" s="71">
        <f t="shared" si="24"/>
        <v>6263395.4283548007</v>
      </c>
      <c r="V36" s="71">
        <f t="shared" si="24"/>
        <v>6381402.9467431158</v>
      </c>
      <c r="W36" s="71">
        <f>W22+SUM(W26:W27)+SUM(W30:W31)</f>
        <v>6501770.6154991984</v>
      </c>
      <c r="X36" s="71">
        <f t="shared" si="24"/>
        <v>6624545.6376304012</v>
      </c>
      <c r="Y36" s="71">
        <f t="shared" si="24"/>
        <v>6749776.1602042308</v>
      </c>
      <c r="Z36" s="71">
        <f t="shared" si="24"/>
        <v>6877511.2932295352</v>
      </c>
      <c r="AA36" s="71">
        <f t="shared" si="24"/>
        <v>7007801.1289153462</v>
      </c>
      <c r="AB36" s="71">
        <f t="shared" si="24"/>
        <v>7140696.7613148717</v>
      </c>
      <c r="AC36" s="71">
        <f t="shared" si="24"/>
        <v>7276250.3063623887</v>
      </c>
      <c r="AD36" s="71">
        <f t="shared" si="24"/>
        <v>7414514.9223108562</v>
      </c>
      <c r="AE36" s="71">
        <f t="shared" si="24"/>
        <v>7555544.8305782937</v>
      </c>
      <c r="AF36" s="71">
        <f t="shared" si="24"/>
        <v>7699395.3370110812</v>
      </c>
      <c r="AG36" s="227" t="s">
        <v>182</v>
      </c>
      <c r="AH36" s="240" t="s">
        <v>286</v>
      </c>
      <c r="AI36" s="152"/>
    </row>
    <row r="37" spans="1:35" ht="8.1" customHeight="1" x14ac:dyDescent="0.25">
      <c r="A37" s="1"/>
      <c r="B37" s="152"/>
      <c r="C37" s="114"/>
      <c r="D37" s="2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227"/>
      <c r="AH37" s="238"/>
      <c r="AI37" s="152"/>
    </row>
    <row r="38" spans="1:35" x14ac:dyDescent="0.25">
      <c r="A38" s="193" t="s">
        <v>167</v>
      </c>
      <c r="B38" s="194"/>
      <c r="C38" s="195"/>
      <c r="D38" s="212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227"/>
      <c r="AH38" s="238"/>
      <c r="AI38" s="152"/>
    </row>
    <row r="39" spans="1:35" ht="15" customHeight="1" x14ac:dyDescent="0.25">
      <c r="A39" s="179" t="s">
        <v>157</v>
      </c>
      <c r="B39" s="180">
        <v>0.25</v>
      </c>
      <c r="C39" s="181">
        <f>$B$39*C$36</f>
        <v>608243.18948244001</v>
      </c>
      <c r="D39" s="213">
        <f t="shared" ref="D39:L39" si="25">$B$39*D$36</f>
        <v>712115.50918581802</v>
      </c>
      <c r="E39" s="181">
        <f t="shared" si="25"/>
        <v>829184.08314323949</v>
      </c>
      <c r="F39" s="181">
        <f t="shared" si="25"/>
        <v>947828.21911420941</v>
      </c>
      <c r="G39" s="181">
        <f t="shared" si="25"/>
        <v>1057386.9942909982</v>
      </c>
      <c r="H39" s="181">
        <f t="shared" si="25"/>
        <v>1169136.9449713232</v>
      </c>
      <c r="I39" s="181">
        <f t="shared" si="25"/>
        <v>1253856.4136911749</v>
      </c>
      <c r="J39" s="181">
        <f t="shared" si="25"/>
        <v>1277118.4444203035</v>
      </c>
      <c r="K39" s="181">
        <f t="shared" si="25"/>
        <v>1300845.7157640143</v>
      </c>
      <c r="L39" s="181">
        <f t="shared" si="25"/>
        <v>1325047.5325345998</v>
      </c>
      <c r="M39" s="181">
        <f>$B$39*M$36</f>
        <v>1349733.3856405965</v>
      </c>
      <c r="N39" s="181">
        <f t="shared" ref="N39:AF39" si="26">$B$39*N$36</f>
        <v>1374912.9558087138</v>
      </c>
      <c r="O39" s="181">
        <f t="shared" si="26"/>
        <v>1400596.117380193</v>
      </c>
      <c r="P39" s="181">
        <f t="shared" si="26"/>
        <v>1426792.9421831018</v>
      </c>
      <c r="Q39" s="181">
        <f t="shared" si="26"/>
        <v>1453513.7034820688</v>
      </c>
      <c r="R39" s="181">
        <f t="shared" si="26"/>
        <v>1480768.8800070153</v>
      </c>
      <c r="S39" s="181">
        <f t="shared" si="26"/>
        <v>1508569.1600624605</v>
      </c>
      <c r="T39" s="181">
        <f t="shared" si="26"/>
        <v>1536925.4457190149</v>
      </c>
      <c r="U39" s="181">
        <f t="shared" si="26"/>
        <v>1565848.8570887002</v>
      </c>
      <c r="V39" s="181">
        <f t="shared" si="26"/>
        <v>1595350.7366857789</v>
      </c>
      <c r="W39" s="181">
        <f t="shared" si="26"/>
        <v>1625442.6538747996</v>
      </c>
      <c r="X39" s="181">
        <f t="shared" si="26"/>
        <v>1656136.4094076003</v>
      </c>
      <c r="Y39" s="181">
        <f t="shared" si="26"/>
        <v>1687444.0400510577</v>
      </c>
      <c r="Z39" s="181">
        <f t="shared" si="26"/>
        <v>1719377.8233073838</v>
      </c>
      <c r="AA39" s="181">
        <f t="shared" si="26"/>
        <v>1751950.2822288366</v>
      </c>
      <c r="AB39" s="181">
        <f t="shared" si="26"/>
        <v>1785174.1903287179</v>
      </c>
      <c r="AC39" s="181">
        <f t="shared" si="26"/>
        <v>1819062.5765905972</v>
      </c>
      <c r="AD39" s="181">
        <f t="shared" si="26"/>
        <v>1853628.730577714</v>
      </c>
      <c r="AE39" s="181">
        <f t="shared" si="26"/>
        <v>1888886.2076445734</v>
      </c>
      <c r="AF39" s="181">
        <f t="shared" si="26"/>
        <v>1924848.8342527703</v>
      </c>
      <c r="AG39" s="232"/>
      <c r="AH39" s="242" t="s">
        <v>169</v>
      </c>
      <c r="AI39" s="124"/>
    </row>
    <row r="40" spans="1:35" ht="15" customHeight="1" x14ac:dyDescent="0.25">
      <c r="A40" s="179" t="s">
        <v>156</v>
      </c>
      <c r="B40" s="182">
        <v>0.05</v>
      </c>
      <c r="C40" s="181">
        <f>B40*C$36</f>
        <v>121648.63789648801</v>
      </c>
      <c r="D40" s="213">
        <f>B40*D$36</f>
        <v>142423.10183716362</v>
      </c>
      <c r="E40" s="181">
        <f>$B$40*E36</f>
        <v>165836.81662864791</v>
      </c>
      <c r="F40" s="181">
        <f t="shared" ref="F40:AF40" si="27">$B$40*F36</f>
        <v>189565.6438228419</v>
      </c>
      <c r="G40" s="181">
        <f t="shared" si="27"/>
        <v>211477.39885819965</v>
      </c>
      <c r="H40" s="181">
        <f t="shared" si="27"/>
        <v>233827.38899426465</v>
      </c>
      <c r="I40" s="181">
        <f t="shared" si="27"/>
        <v>250771.28273823499</v>
      </c>
      <c r="J40" s="181">
        <f t="shared" si="27"/>
        <v>255423.68888406071</v>
      </c>
      <c r="K40" s="181">
        <f t="shared" si="27"/>
        <v>260169.14315280286</v>
      </c>
      <c r="L40" s="181">
        <f t="shared" si="27"/>
        <v>265009.50650691998</v>
      </c>
      <c r="M40" s="181">
        <f t="shared" si="27"/>
        <v>269946.67712811934</v>
      </c>
      <c r="N40" s="181">
        <f t="shared" si="27"/>
        <v>274982.59116174275</v>
      </c>
      <c r="O40" s="181">
        <f t="shared" si="27"/>
        <v>280119.22347603861</v>
      </c>
      <c r="P40" s="181">
        <f t="shared" si="27"/>
        <v>285358.58843662037</v>
      </c>
      <c r="Q40" s="181">
        <f t="shared" si="27"/>
        <v>290702.74069641379</v>
      </c>
      <c r="R40" s="181">
        <f t="shared" si="27"/>
        <v>296153.77600140305</v>
      </c>
      <c r="S40" s="181">
        <f t="shared" si="27"/>
        <v>301713.83201249212</v>
      </c>
      <c r="T40" s="181">
        <f t="shared" si="27"/>
        <v>307385.08914380299</v>
      </c>
      <c r="U40" s="181">
        <f t="shared" si="27"/>
        <v>313169.77141774003</v>
      </c>
      <c r="V40" s="181">
        <f t="shared" si="27"/>
        <v>319070.14733715582</v>
      </c>
      <c r="W40" s="181">
        <f t="shared" si="27"/>
        <v>325088.53077495995</v>
      </c>
      <c r="X40" s="181">
        <f t="shared" si="27"/>
        <v>331227.28188152006</v>
      </c>
      <c r="Y40" s="181">
        <f t="shared" si="27"/>
        <v>337488.80801021156</v>
      </c>
      <c r="Z40" s="181">
        <f t="shared" si="27"/>
        <v>343875.56466147676</v>
      </c>
      <c r="AA40" s="181">
        <f t="shared" si="27"/>
        <v>350390.05644576735</v>
      </c>
      <c r="AB40" s="181">
        <f t="shared" si="27"/>
        <v>357034.83806574362</v>
      </c>
      <c r="AC40" s="181">
        <f t="shared" si="27"/>
        <v>363812.51531811943</v>
      </c>
      <c r="AD40" s="181">
        <f t="shared" si="27"/>
        <v>370725.74611554283</v>
      </c>
      <c r="AE40" s="181">
        <f t="shared" si="27"/>
        <v>377777.24152891472</v>
      </c>
      <c r="AF40" s="181">
        <f t="shared" si="27"/>
        <v>384969.76685055409</v>
      </c>
      <c r="AG40" s="233"/>
      <c r="AH40" s="243" t="s">
        <v>170</v>
      </c>
      <c r="AI40" s="152"/>
    </row>
    <row r="41" spans="1:35" ht="15" customHeight="1" x14ac:dyDescent="0.25">
      <c r="A41" s="179" t="s">
        <v>58</v>
      </c>
      <c r="B41" s="182">
        <v>0.35</v>
      </c>
      <c r="C41" s="181">
        <f>B41*C$36</f>
        <v>851540.46527541592</v>
      </c>
      <c r="D41" s="213">
        <f>B41*(D$36)</f>
        <v>996961.71286014514</v>
      </c>
      <c r="E41" s="181">
        <f>$B$41*(E36)</f>
        <v>1160857.7164005353</v>
      </c>
      <c r="F41" s="181">
        <f t="shared" ref="F41:AF41" si="28">$B$41*(F36)</f>
        <v>1326959.5067598931</v>
      </c>
      <c r="G41" s="181">
        <f t="shared" si="28"/>
        <v>1480341.7920073974</v>
      </c>
      <c r="H41" s="181">
        <f t="shared" si="28"/>
        <v>1636791.7229598525</v>
      </c>
      <c r="I41" s="181">
        <f t="shared" si="28"/>
        <v>1755398.9791676449</v>
      </c>
      <c r="J41" s="181">
        <f t="shared" si="28"/>
        <v>1787965.8221884246</v>
      </c>
      <c r="K41" s="181">
        <f t="shared" si="28"/>
        <v>1821184.0020696199</v>
      </c>
      <c r="L41" s="181">
        <f t="shared" si="28"/>
        <v>1855066.5455484395</v>
      </c>
      <c r="M41" s="181">
        <f t="shared" si="28"/>
        <v>1889626.7398968351</v>
      </c>
      <c r="N41" s="181">
        <f t="shared" si="28"/>
        <v>1924878.1381321992</v>
      </c>
      <c r="O41" s="181">
        <f t="shared" si="28"/>
        <v>1960834.5643322701</v>
      </c>
      <c r="P41" s="181">
        <f t="shared" si="28"/>
        <v>1997510.1190563424</v>
      </c>
      <c r="Q41" s="181">
        <f t="shared" si="28"/>
        <v>2034919.1848748962</v>
      </c>
      <c r="R41" s="181">
        <f t="shared" si="28"/>
        <v>2073076.4320098213</v>
      </c>
      <c r="S41" s="181">
        <f t="shared" si="28"/>
        <v>2111996.8240874447</v>
      </c>
      <c r="T41" s="181">
        <f t="shared" si="28"/>
        <v>2151695.6240066206</v>
      </c>
      <c r="U41" s="181">
        <f t="shared" si="28"/>
        <v>2192188.39992418</v>
      </c>
      <c r="V41" s="181">
        <f t="shared" si="28"/>
        <v>2233491.0313600902</v>
      </c>
      <c r="W41" s="181">
        <f t="shared" si="28"/>
        <v>2275619.7154247193</v>
      </c>
      <c r="X41" s="181">
        <f t="shared" si="28"/>
        <v>2318590.9731706404</v>
      </c>
      <c r="Y41" s="181">
        <f t="shared" si="28"/>
        <v>2362421.6560714808</v>
      </c>
      <c r="Z41" s="181">
        <f t="shared" si="28"/>
        <v>2407128.9526303373</v>
      </c>
      <c r="AA41" s="181">
        <f t="shared" si="28"/>
        <v>2452730.3951203711</v>
      </c>
      <c r="AB41" s="181">
        <f t="shared" si="28"/>
        <v>2499243.8664602051</v>
      </c>
      <c r="AC41" s="181">
        <f t="shared" si="28"/>
        <v>2546687.607226836</v>
      </c>
      <c r="AD41" s="181">
        <f t="shared" si="28"/>
        <v>2595080.2228087997</v>
      </c>
      <c r="AE41" s="181">
        <f t="shared" si="28"/>
        <v>2644440.6907024025</v>
      </c>
      <c r="AF41" s="181">
        <f t="shared" si="28"/>
        <v>2694788.3679538784</v>
      </c>
      <c r="AG41" s="335"/>
      <c r="AH41" s="240" t="s">
        <v>171</v>
      </c>
      <c r="AI41" s="152"/>
    </row>
    <row r="42" spans="1:35" x14ac:dyDescent="0.25">
      <c r="A42" s="179" t="s">
        <v>165</v>
      </c>
      <c r="B42" s="183">
        <v>0.35</v>
      </c>
      <c r="C42" s="181">
        <f>B42*C36</f>
        <v>851540.46527541592</v>
      </c>
      <c r="D42" s="213">
        <f>B42*D36</f>
        <v>996961.71286014514</v>
      </c>
      <c r="E42" s="181">
        <f>$B$42*E36</f>
        <v>1160857.7164005353</v>
      </c>
      <c r="F42" s="181">
        <f t="shared" ref="F42:AF42" si="29">$B$42*F36</f>
        <v>1326959.5067598931</v>
      </c>
      <c r="G42" s="181">
        <f t="shared" si="29"/>
        <v>1480341.7920073974</v>
      </c>
      <c r="H42" s="181">
        <f t="shared" si="29"/>
        <v>1636791.7229598525</v>
      </c>
      <c r="I42" s="181">
        <f t="shared" si="29"/>
        <v>1755398.9791676449</v>
      </c>
      <c r="J42" s="181">
        <f t="shared" si="29"/>
        <v>1787965.8221884246</v>
      </c>
      <c r="K42" s="181">
        <f t="shared" si="29"/>
        <v>1821184.0020696199</v>
      </c>
      <c r="L42" s="181">
        <f t="shared" si="29"/>
        <v>1855066.5455484395</v>
      </c>
      <c r="M42" s="181">
        <f t="shared" si="29"/>
        <v>1889626.7398968351</v>
      </c>
      <c r="N42" s="181">
        <f t="shared" si="29"/>
        <v>1924878.1381321992</v>
      </c>
      <c r="O42" s="181">
        <f t="shared" si="29"/>
        <v>1960834.5643322701</v>
      </c>
      <c r="P42" s="181">
        <f t="shared" si="29"/>
        <v>1997510.1190563424</v>
      </c>
      <c r="Q42" s="181">
        <f t="shared" si="29"/>
        <v>2034919.1848748962</v>
      </c>
      <c r="R42" s="181">
        <f t="shared" si="29"/>
        <v>2073076.4320098213</v>
      </c>
      <c r="S42" s="181">
        <f t="shared" si="29"/>
        <v>2111996.8240874447</v>
      </c>
      <c r="T42" s="181">
        <f t="shared" si="29"/>
        <v>2151695.6240066206</v>
      </c>
      <c r="U42" s="181">
        <f t="shared" si="29"/>
        <v>2192188.39992418</v>
      </c>
      <c r="V42" s="181">
        <f t="shared" si="29"/>
        <v>2233491.0313600902</v>
      </c>
      <c r="W42" s="181">
        <f t="shared" si="29"/>
        <v>2275619.7154247193</v>
      </c>
      <c r="X42" s="181">
        <f t="shared" si="29"/>
        <v>2318590.9731706404</v>
      </c>
      <c r="Y42" s="181">
        <f t="shared" si="29"/>
        <v>2362421.6560714808</v>
      </c>
      <c r="Z42" s="181">
        <f t="shared" si="29"/>
        <v>2407128.9526303373</v>
      </c>
      <c r="AA42" s="181">
        <f t="shared" si="29"/>
        <v>2452730.3951203711</v>
      </c>
      <c r="AB42" s="181">
        <f t="shared" si="29"/>
        <v>2499243.8664602051</v>
      </c>
      <c r="AC42" s="181">
        <f t="shared" si="29"/>
        <v>2546687.607226836</v>
      </c>
      <c r="AD42" s="181">
        <f t="shared" si="29"/>
        <v>2595080.2228087997</v>
      </c>
      <c r="AE42" s="181">
        <f t="shared" si="29"/>
        <v>2644440.6907024025</v>
      </c>
      <c r="AF42" s="181">
        <f t="shared" si="29"/>
        <v>2694788.3679538784</v>
      </c>
      <c r="AG42" s="335" t="s">
        <v>164</v>
      </c>
      <c r="AH42" s="240" t="s">
        <v>194</v>
      </c>
      <c r="AI42" s="152"/>
    </row>
    <row r="43" spans="1:35" x14ac:dyDescent="0.25">
      <c r="A43" s="197" t="s">
        <v>158</v>
      </c>
      <c r="B43" s="196">
        <f>SUM(B39:B42)</f>
        <v>0.99999999999999989</v>
      </c>
      <c r="C43" s="191">
        <f>SUM(C39:C42)</f>
        <v>2432972.75792976</v>
      </c>
      <c r="D43" s="214">
        <f t="shared" ref="D43:AF43" si="30">SUM(D39:D42)</f>
        <v>2848462.0367432721</v>
      </c>
      <c r="E43" s="191">
        <f t="shared" si="30"/>
        <v>3316736.332572958</v>
      </c>
      <c r="F43" s="191">
        <f t="shared" si="30"/>
        <v>3791312.8764568376</v>
      </c>
      <c r="G43" s="191">
        <f t="shared" si="30"/>
        <v>4229547.9771639928</v>
      </c>
      <c r="H43" s="191">
        <f t="shared" si="30"/>
        <v>4676547.779885293</v>
      </c>
      <c r="I43" s="191">
        <f t="shared" si="30"/>
        <v>5015425.6547646997</v>
      </c>
      <c r="J43" s="191">
        <f t="shared" si="30"/>
        <v>5108473.7776812138</v>
      </c>
      <c r="K43" s="191">
        <f t="shared" si="30"/>
        <v>5203382.8630560571</v>
      </c>
      <c r="L43" s="191">
        <f t="shared" si="30"/>
        <v>5300190.1301383991</v>
      </c>
      <c r="M43" s="191">
        <f t="shared" si="30"/>
        <v>5398933.542562386</v>
      </c>
      <c r="N43" s="191">
        <f t="shared" si="30"/>
        <v>5499651.8232348543</v>
      </c>
      <c r="O43" s="191">
        <f t="shared" si="30"/>
        <v>5602384.4695207719</v>
      </c>
      <c r="P43" s="191">
        <f t="shared" si="30"/>
        <v>5707171.7687324071</v>
      </c>
      <c r="Q43" s="191">
        <f t="shared" si="30"/>
        <v>5814054.8139282744</v>
      </c>
      <c r="R43" s="191">
        <f t="shared" si="30"/>
        <v>5923075.5200280603</v>
      </c>
      <c r="S43" s="191">
        <f t="shared" si="30"/>
        <v>6034276.6402498418</v>
      </c>
      <c r="T43" s="191">
        <f t="shared" si="30"/>
        <v>6147701.7828760594</v>
      </c>
      <c r="U43" s="191">
        <f t="shared" si="30"/>
        <v>6263395.4283547997</v>
      </c>
      <c r="V43" s="191">
        <f t="shared" si="30"/>
        <v>6381402.9467431158</v>
      </c>
      <c r="W43" s="191">
        <f t="shared" si="30"/>
        <v>6501770.6154991975</v>
      </c>
      <c r="X43" s="191">
        <f t="shared" si="30"/>
        <v>6624545.6376304012</v>
      </c>
      <c r="Y43" s="191">
        <f t="shared" si="30"/>
        <v>6749776.1602042299</v>
      </c>
      <c r="Z43" s="191">
        <f t="shared" si="30"/>
        <v>6877511.2932295352</v>
      </c>
      <c r="AA43" s="191">
        <f t="shared" si="30"/>
        <v>7007801.1289153462</v>
      </c>
      <c r="AB43" s="191">
        <f t="shared" si="30"/>
        <v>7140696.7613148717</v>
      </c>
      <c r="AC43" s="191">
        <f t="shared" si="30"/>
        <v>7276250.3063623887</v>
      </c>
      <c r="AD43" s="191">
        <f t="shared" si="30"/>
        <v>7414514.9223108562</v>
      </c>
      <c r="AE43" s="191">
        <f t="shared" si="30"/>
        <v>7555544.8305782937</v>
      </c>
      <c r="AF43" s="191">
        <f t="shared" si="30"/>
        <v>7699395.3370110802</v>
      </c>
      <c r="AG43" s="227"/>
      <c r="AH43" s="238"/>
      <c r="AI43" s="152"/>
    </row>
    <row r="44" spans="1:35" ht="8.1" customHeight="1" x14ac:dyDescent="0.25">
      <c r="A44" s="141"/>
      <c r="B44" s="174"/>
      <c r="C44" s="136"/>
      <c r="D44" s="205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227"/>
      <c r="AH44" s="238"/>
      <c r="AI44" s="152"/>
    </row>
    <row r="45" spans="1:35" x14ac:dyDescent="0.25">
      <c r="A45" s="184" t="s">
        <v>159</v>
      </c>
      <c r="B45" s="439" t="s">
        <v>200</v>
      </c>
      <c r="C45" s="185"/>
      <c r="D45" s="21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227"/>
      <c r="AH45" s="238"/>
      <c r="AI45" s="152"/>
    </row>
    <row r="46" spans="1:35" x14ac:dyDescent="0.25">
      <c r="A46" s="186" t="s">
        <v>165</v>
      </c>
      <c r="B46" s="439"/>
      <c r="C46" s="185">
        <f>C42</f>
        <v>851540.46527541592</v>
      </c>
      <c r="D46" s="215">
        <f t="shared" ref="D46:L46" si="31">D42</f>
        <v>996961.71286014514</v>
      </c>
      <c r="E46" s="185">
        <f t="shared" si="31"/>
        <v>1160857.7164005353</v>
      </c>
      <c r="F46" s="185">
        <f t="shared" si="31"/>
        <v>1326959.5067598931</v>
      </c>
      <c r="G46" s="185">
        <f t="shared" si="31"/>
        <v>1480341.7920073974</v>
      </c>
      <c r="H46" s="185">
        <f t="shared" si="31"/>
        <v>1636791.7229598525</v>
      </c>
      <c r="I46" s="185">
        <f t="shared" si="31"/>
        <v>1755398.9791676449</v>
      </c>
      <c r="J46" s="185">
        <f t="shared" si="31"/>
        <v>1787965.8221884246</v>
      </c>
      <c r="K46" s="185">
        <f t="shared" si="31"/>
        <v>1821184.0020696199</v>
      </c>
      <c r="L46" s="185">
        <f t="shared" si="31"/>
        <v>1855066.5455484395</v>
      </c>
      <c r="M46" s="185">
        <f>M42</f>
        <v>1889626.7398968351</v>
      </c>
      <c r="N46" s="185">
        <f t="shared" ref="N46:AF46" si="32">N42</f>
        <v>1924878.1381321992</v>
      </c>
      <c r="O46" s="185">
        <f t="shared" si="32"/>
        <v>1960834.5643322701</v>
      </c>
      <c r="P46" s="185">
        <f t="shared" si="32"/>
        <v>1997510.1190563424</v>
      </c>
      <c r="Q46" s="185">
        <f t="shared" si="32"/>
        <v>2034919.1848748962</v>
      </c>
      <c r="R46" s="185">
        <f t="shared" si="32"/>
        <v>2073076.4320098213</v>
      </c>
      <c r="S46" s="185">
        <f t="shared" si="32"/>
        <v>2111996.8240874447</v>
      </c>
      <c r="T46" s="185">
        <f t="shared" si="32"/>
        <v>2151695.6240066206</v>
      </c>
      <c r="U46" s="185">
        <f t="shared" si="32"/>
        <v>2192188.39992418</v>
      </c>
      <c r="V46" s="185">
        <f t="shared" si="32"/>
        <v>2233491.0313600902</v>
      </c>
      <c r="W46" s="185">
        <f t="shared" si="32"/>
        <v>2275619.7154247193</v>
      </c>
      <c r="X46" s="185">
        <f t="shared" si="32"/>
        <v>2318590.9731706404</v>
      </c>
      <c r="Y46" s="185">
        <f t="shared" si="32"/>
        <v>2362421.6560714808</v>
      </c>
      <c r="Z46" s="185">
        <f t="shared" si="32"/>
        <v>2407128.9526303373</v>
      </c>
      <c r="AA46" s="185">
        <f t="shared" si="32"/>
        <v>2452730.3951203711</v>
      </c>
      <c r="AB46" s="185">
        <f t="shared" si="32"/>
        <v>2499243.8664602051</v>
      </c>
      <c r="AC46" s="185">
        <f t="shared" si="32"/>
        <v>2546687.607226836</v>
      </c>
      <c r="AD46" s="185">
        <f t="shared" si="32"/>
        <v>2595080.2228087997</v>
      </c>
      <c r="AE46" s="185">
        <f t="shared" si="32"/>
        <v>2644440.6907024025</v>
      </c>
      <c r="AF46" s="185">
        <f t="shared" si="32"/>
        <v>2694788.3679538784</v>
      </c>
      <c r="AG46" s="227" t="s">
        <v>164</v>
      </c>
      <c r="AH46" s="238" t="s">
        <v>164</v>
      </c>
      <c r="AI46" s="152"/>
    </row>
    <row r="47" spans="1:35" ht="15" customHeight="1" x14ac:dyDescent="0.25">
      <c r="A47" s="186" t="str">
        <f>CONCATENATE("Less: ",$A$4," Portion of FORA Remediation Bonds Debt Service")</f>
        <v>Less: Monterey County Portion of FORA Remediation Bonds Debt Service</v>
      </c>
      <c r="B47" s="186"/>
      <c r="C47" s="185">
        <v>0</v>
      </c>
      <c r="D47" s="281">
        <v>0</v>
      </c>
      <c r="E47" s="280">
        <v>0</v>
      </c>
      <c r="F47" s="280">
        <v>0</v>
      </c>
      <c r="G47" s="280">
        <v>0</v>
      </c>
      <c r="H47" s="280">
        <v>0</v>
      </c>
      <c r="I47" s="280">
        <v>0</v>
      </c>
      <c r="J47" s="280">
        <v>0</v>
      </c>
      <c r="K47" s="280">
        <v>0</v>
      </c>
      <c r="L47" s="280">
        <v>0</v>
      </c>
      <c r="M47" s="280">
        <v>0</v>
      </c>
      <c r="N47" s="280">
        <v>0</v>
      </c>
      <c r="O47" s="280">
        <v>0</v>
      </c>
      <c r="P47" s="280">
        <v>0</v>
      </c>
      <c r="Q47" s="280">
        <v>0</v>
      </c>
      <c r="R47" s="280">
        <v>0</v>
      </c>
      <c r="S47" s="280">
        <v>0</v>
      </c>
      <c r="T47" s="280">
        <v>0</v>
      </c>
      <c r="U47" s="280">
        <v>0</v>
      </c>
      <c r="V47" s="280">
        <v>0</v>
      </c>
      <c r="W47" s="280">
        <v>0</v>
      </c>
      <c r="X47" s="280">
        <v>0</v>
      </c>
      <c r="Y47" s="280">
        <v>0</v>
      </c>
      <c r="Z47" s="280">
        <v>0</v>
      </c>
      <c r="AA47" s="280">
        <v>0</v>
      </c>
      <c r="AB47" s="280">
        <v>0</v>
      </c>
      <c r="AC47" s="280">
        <v>0</v>
      </c>
      <c r="AD47" s="280">
        <v>0</v>
      </c>
      <c r="AE47" s="280">
        <v>0</v>
      </c>
      <c r="AF47" s="280">
        <v>0</v>
      </c>
      <c r="AG47" s="227" t="s">
        <v>147</v>
      </c>
      <c r="AH47" s="238" t="s">
        <v>147</v>
      </c>
      <c r="AI47" s="152"/>
    </row>
    <row r="48" spans="1:35" ht="15" customHeight="1" x14ac:dyDescent="0.25">
      <c r="A48" s="192" t="s">
        <v>166</v>
      </c>
      <c r="B48" s="187"/>
      <c r="C48" s="190">
        <f>SUM(C46:C47)</f>
        <v>851540.46527541592</v>
      </c>
      <c r="D48" s="217">
        <f t="shared" ref="D48:AF48" si="33">SUM(D46:D47)</f>
        <v>996961.71286014514</v>
      </c>
      <c r="E48" s="225">
        <f t="shared" si="33"/>
        <v>1160857.7164005353</v>
      </c>
      <c r="F48" s="225">
        <f t="shared" si="33"/>
        <v>1326959.5067598931</v>
      </c>
      <c r="G48" s="225">
        <f t="shared" si="33"/>
        <v>1480341.7920073974</v>
      </c>
      <c r="H48" s="225">
        <f t="shared" si="33"/>
        <v>1636791.7229598525</v>
      </c>
      <c r="I48" s="225">
        <f t="shared" si="33"/>
        <v>1755398.9791676449</v>
      </c>
      <c r="J48" s="225">
        <f t="shared" si="33"/>
        <v>1787965.8221884246</v>
      </c>
      <c r="K48" s="225">
        <f t="shared" si="33"/>
        <v>1821184.0020696199</v>
      </c>
      <c r="L48" s="225">
        <f t="shared" si="33"/>
        <v>1855066.5455484395</v>
      </c>
      <c r="M48" s="225">
        <f t="shared" si="33"/>
        <v>1889626.7398968351</v>
      </c>
      <c r="N48" s="225">
        <f t="shared" si="33"/>
        <v>1924878.1381321992</v>
      </c>
      <c r="O48" s="225">
        <f t="shared" si="33"/>
        <v>1960834.5643322701</v>
      </c>
      <c r="P48" s="225">
        <f t="shared" si="33"/>
        <v>1997510.1190563424</v>
      </c>
      <c r="Q48" s="225">
        <f t="shared" si="33"/>
        <v>2034919.1848748962</v>
      </c>
      <c r="R48" s="225">
        <f t="shared" si="33"/>
        <v>2073076.4320098213</v>
      </c>
      <c r="S48" s="225">
        <f t="shared" si="33"/>
        <v>2111996.8240874447</v>
      </c>
      <c r="T48" s="225">
        <f t="shared" si="33"/>
        <v>2151695.6240066206</v>
      </c>
      <c r="U48" s="225">
        <f t="shared" si="33"/>
        <v>2192188.39992418</v>
      </c>
      <c r="V48" s="225">
        <f t="shared" si="33"/>
        <v>2233491.0313600902</v>
      </c>
      <c r="W48" s="225">
        <f t="shared" si="33"/>
        <v>2275619.7154247193</v>
      </c>
      <c r="X48" s="225">
        <f t="shared" si="33"/>
        <v>2318590.9731706404</v>
      </c>
      <c r="Y48" s="225">
        <f t="shared" si="33"/>
        <v>2362421.6560714808</v>
      </c>
      <c r="Z48" s="225">
        <f t="shared" si="33"/>
        <v>2407128.9526303373</v>
      </c>
      <c r="AA48" s="225">
        <f t="shared" si="33"/>
        <v>2452730.3951203711</v>
      </c>
      <c r="AB48" s="225">
        <f t="shared" si="33"/>
        <v>2499243.8664602051</v>
      </c>
      <c r="AC48" s="225">
        <f t="shared" si="33"/>
        <v>2546687.607226836</v>
      </c>
      <c r="AD48" s="225">
        <f t="shared" si="33"/>
        <v>2595080.2228087997</v>
      </c>
      <c r="AE48" s="225">
        <f t="shared" si="33"/>
        <v>2644440.6907024025</v>
      </c>
      <c r="AF48" s="225">
        <f t="shared" si="33"/>
        <v>2694788.3679538784</v>
      </c>
      <c r="AG48" s="227" t="s">
        <v>184</v>
      </c>
      <c r="AH48" s="240" t="s">
        <v>196</v>
      </c>
      <c r="AI48" s="152"/>
    </row>
    <row r="49" spans="1:35" ht="8.1" customHeight="1" x14ac:dyDescent="0.25">
      <c r="A49" s="171"/>
      <c r="B49" s="172"/>
      <c r="C49" s="136"/>
      <c r="D49" s="205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227"/>
      <c r="AH49" s="238"/>
      <c r="AI49" s="152"/>
    </row>
    <row r="50" spans="1:35" ht="15" customHeight="1" x14ac:dyDescent="0.25">
      <c r="A50" s="198" t="s">
        <v>168</v>
      </c>
      <c r="B50" s="199"/>
      <c r="C50" s="135"/>
      <c r="D50" s="218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227"/>
      <c r="AH50" s="238"/>
      <c r="AI50" s="152"/>
    </row>
    <row r="51" spans="1:35" ht="15" customHeight="1" x14ac:dyDescent="0.25">
      <c r="A51" s="200" t="s">
        <v>161</v>
      </c>
      <c r="B51" s="201">
        <v>0.38</v>
      </c>
      <c r="C51" s="135">
        <v>0</v>
      </c>
      <c r="D51" s="218">
        <v>0</v>
      </c>
      <c r="E51" s="135">
        <f t="shared" ref="E51:L51" si="34">E48*$B$51</f>
        <v>441125.93223220343</v>
      </c>
      <c r="F51" s="135">
        <f t="shared" si="34"/>
        <v>504244.61256875942</v>
      </c>
      <c r="G51" s="135">
        <f t="shared" si="34"/>
        <v>562529.88096281106</v>
      </c>
      <c r="H51" s="135">
        <f t="shared" si="34"/>
        <v>621980.85472474399</v>
      </c>
      <c r="I51" s="135">
        <f t="shared" si="34"/>
        <v>667051.61208370503</v>
      </c>
      <c r="J51" s="135">
        <f t="shared" si="34"/>
        <v>679427.01243160141</v>
      </c>
      <c r="K51" s="135">
        <f t="shared" si="34"/>
        <v>692049.92078645562</v>
      </c>
      <c r="L51" s="135">
        <f t="shared" si="34"/>
        <v>704925.28730840702</v>
      </c>
      <c r="M51" s="135">
        <f>M48*$B$51</f>
        <v>718058.16116079735</v>
      </c>
      <c r="N51" s="135">
        <f t="shared" ref="N51:AF51" si="35">N48*$B$51</f>
        <v>731453.69249023567</v>
      </c>
      <c r="O51" s="135">
        <f t="shared" si="35"/>
        <v>745117.13444626261</v>
      </c>
      <c r="P51" s="135">
        <f t="shared" si="35"/>
        <v>759053.84524141008</v>
      </c>
      <c r="Q51" s="135">
        <f t="shared" si="35"/>
        <v>773269.29025246052</v>
      </c>
      <c r="R51" s="135">
        <f t="shared" si="35"/>
        <v>787769.04416373209</v>
      </c>
      <c r="S51" s="135">
        <f t="shared" si="35"/>
        <v>802558.79315322894</v>
      </c>
      <c r="T51" s="135">
        <f t="shared" si="35"/>
        <v>817644.33712251589</v>
      </c>
      <c r="U51" s="135">
        <f t="shared" si="35"/>
        <v>833031.59197118843</v>
      </c>
      <c r="V51" s="135">
        <f t="shared" si="35"/>
        <v>848726.59191683435</v>
      </c>
      <c r="W51" s="135">
        <f t="shared" si="35"/>
        <v>864735.49186139333</v>
      </c>
      <c r="X51" s="135">
        <f t="shared" si="35"/>
        <v>881064.5698048434</v>
      </c>
      <c r="Y51" s="135">
        <f t="shared" si="35"/>
        <v>897720.22930716269</v>
      </c>
      <c r="Z51" s="135">
        <f t="shared" si="35"/>
        <v>914709.00199952815</v>
      </c>
      <c r="AA51" s="135">
        <f t="shared" si="35"/>
        <v>932037.55014574109</v>
      </c>
      <c r="AB51" s="135">
        <f t="shared" si="35"/>
        <v>949712.66925487795</v>
      </c>
      <c r="AC51" s="135">
        <f t="shared" si="35"/>
        <v>967741.29074619769</v>
      </c>
      <c r="AD51" s="135">
        <f t="shared" si="35"/>
        <v>986130.4846673439</v>
      </c>
      <c r="AE51" s="135">
        <f t="shared" si="35"/>
        <v>1004887.4624669129</v>
      </c>
      <c r="AF51" s="135">
        <f t="shared" si="35"/>
        <v>1024019.5798224738</v>
      </c>
      <c r="AG51" s="234" t="s">
        <v>149</v>
      </c>
      <c r="AH51" s="244" t="s">
        <v>172</v>
      </c>
      <c r="AI51" s="124"/>
    </row>
    <row r="52" spans="1:35" ht="15" customHeight="1" x14ac:dyDescent="0.25">
      <c r="A52" s="200" t="s">
        <v>162</v>
      </c>
      <c r="B52" s="202">
        <v>0.08</v>
      </c>
      <c r="C52" s="135">
        <v>0</v>
      </c>
      <c r="D52" s="218">
        <v>0</v>
      </c>
      <c r="E52" s="135">
        <f t="shared" ref="E52:L52" si="36">E48*$B$52</f>
        <v>92868.617312042828</v>
      </c>
      <c r="F52" s="135">
        <f t="shared" si="36"/>
        <v>106156.76054079145</v>
      </c>
      <c r="G52" s="135">
        <f t="shared" si="36"/>
        <v>118427.3433605918</v>
      </c>
      <c r="H52" s="135">
        <f t="shared" si="36"/>
        <v>130943.33783678821</v>
      </c>
      <c r="I52" s="135">
        <f t="shared" si="36"/>
        <v>140431.9183334116</v>
      </c>
      <c r="J52" s="135">
        <f t="shared" si="36"/>
        <v>143037.26577507399</v>
      </c>
      <c r="K52" s="135">
        <f t="shared" si="36"/>
        <v>145694.7201655696</v>
      </c>
      <c r="L52" s="135">
        <f t="shared" si="36"/>
        <v>148405.32364387516</v>
      </c>
      <c r="M52" s="135">
        <f>M48*$B$52</f>
        <v>151170.1391917468</v>
      </c>
      <c r="N52" s="135">
        <f t="shared" ref="N52:AF52" si="37">N48*$B$52</f>
        <v>153990.25105057593</v>
      </c>
      <c r="O52" s="135">
        <f t="shared" si="37"/>
        <v>156866.7651465816</v>
      </c>
      <c r="P52" s="135">
        <f t="shared" si="37"/>
        <v>159800.80952450741</v>
      </c>
      <c r="Q52" s="135">
        <f t="shared" si="37"/>
        <v>162793.53478999171</v>
      </c>
      <c r="R52" s="135">
        <f t="shared" si="37"/>
        <v>165846.1145607857</v>
      </c>
      <c r="S52" s="135">
        <f t="shared" si="37"/>
        <v>168959.74592699559</v>
      </c>
      <c r="T52" s="135">
        <f t="shared" si="37"/>
        <v>172135.64992052966</v>
      </c>
      <c r="U52" s="135">
        <f t="shared" si="37"/>
        <v>175375.0719939344</v>
      </c>
      <c r="V52" s="135">
        <f t="shared" si="37"/>
        <v>178679.28250880723</v>
      </c>
      <c r="W52" s="135">
        <f t="shared" si="37"/>
        <v>182049.57723397756</v>
      </c>
      <c r="X52" s="135">
        <f t="shared" si="37"/>
        <v>185487.27785365123</v>
      </c>
      <c r="Y52" s="135">
        <f t="shared" si="37"/>
        <v>188993.73248571847</v>
      </c>
      <c r="Z52" s="135">
        <f t="shared" si="37"/>
        <v>192570.316210427</v>
      </c>
      <c r="AA52" s="135">
        <f t="shared" si="37"/>
        <v>196218.43160962968</v>
      </c>
      <c r="AB52" s="135">
        <f t="shared" si="37"/>
        <v>199939.5093168164</v>
      </c>
      <c r="AC52" s="135">
        <f t="shared" si="37"/>
        <v>203735.0085781469</v>
      </c>
      <c r="AD52" s="135">
        <f t="shared" si="37"/>
        <v>207606.41782470397</v>
      </c>
      <c r="AE52" s="135">
        <f t="shared" si="37"/>
        <v>211555.25525619221</v>
      </c>
      <c r="AF52" s="135">
        <f t="shared" si="37"/>
        <v>215583.06943631027</v>
      </c>
      <c r="AG52" s="233"/>
      <c r="AH52" s="243" t="s">
        <v>173</v>
      </c>
      <c r="AI52" s="152"/>
    </row>
    <row r="53" spans="1:35" ht="15" customHeight="1" x14ac:dyDescent="0.25">
      <c r="A53" s="200" t="s">
        <v>163</v>
      </c>
      <c r="B53" s="203">
        <v>0.54</v>
      </c>
      <c r="C53" s="135">
        <v>0</v>
      </c>
      <c r="D53" s="218">
        <v>0</v>
      </c>
      <c r="E53" s="135">
        <f t="shared" ref="E53:L53" si="38">$B$53*E48</f>
        <v>626863.16685628914</v>
      </c>
      <c r="F53" s="135">
        <f t="shared" si="38"/>
        <v>716558.13365034235</v>
      </c>
      <c r="G53" s="135">
        <f t="shared" si="38"/>
        <v>799384.56768399465</v>
      </c>
      <c r="H53" s="135">
        <f t="shared" si="38"/>
        <v>883867.53039832041</v>
      </c>
      <c r="I53" s="135">
        <f t="shared" si="38"/>
        <v>947915.44875052827</v>
      </c>
      <c r="J53" s="135">
        <f t="shared" si="38"/>
        <v>965501.54398174933</v>
      </c>
      <c r="K53" s="135">
        <f t="shared" si="38"/>
        <v>983439.36111759488</v>
      </c>
      <c r="L53" s="135">
        <f t="shared" si="38"/>
        <v>1001735.9345961574</v>
      </c>
      <c r="M53" s="135">
        <f>$B$53*M48</f>
        <v>1020398.439544291</v>
      </c>
      <c r="N53" s="135">
        <f t="shared" ref="N53:AF53" si="39">$B$53*N48</f>
        <v>1039434.1945913876</v>
      </c>
      <c r="O53" s="135">
        <f t="shared" si="39"/>
        <v>1058850.664739426</v>
      </c>
      <c r="P53" s="135">
        <f t="shared" si="39"/>
        <v>1078655.4642904249</v>
      </c>
      <c r="Q53" s="135">
        <f t="shared" si="39"/>
        <v>1098856.359832444</v>
      </c>
      <c r="R53" s="135">
        <f t="shared" si="39"/>
        <v>1119461.2732853035</v>
      </c>
      <c r="S53" s="135">
        <f t="shared" si="39"/>
        <v>1140478.2850072202</v>
      </c>
      <c r="T53" s="135">
        <f t="shared" si="39"/>
        <v>1161915.6369635751</v>
      </c>
      <c r="U53" s="135">
        <f t="shared" si="39"/>
        <v>1183781.7359590572</v>
      </c>
      <c r="V53" s="135">
        <f t="shared" si="39"/>
        <v>1206085.1569344488</v>
      </c>
      <c r="W53" s="135">
        <f t="shared" si="39"/>
        <v>1228834.6463293484</v>
      </c>
      <c r="X53" s="135">
        <f t="shared" si="39"/>
        <v>1252039.1255121459</v>
      </c>
      <c r="Y53" s="135">
        <f t="shared" si="39"/>
        <v>1275707.6942785997</v>
      </c>
      <c r="Z53" s="135">
        <f t="shared" si="39"/>
        <v>1299849.6344203823</v>
      </c>
      <c r="AA53" s="135">
        <f t="shared" si="39"/>
        <v>1324474.4133650004</v>
      </c>
      <c r="AB53" s="135">
        <f t="shared" si="39"/>
        <v>1349591.6878885108</v>
      </c>
      <c r="AC53" s="135">
        <f t="shared" si="39"/>
        <v>1375211.3079024917</v>
      </c>
      <c r="AD53" s="135">
        <f t="shared" si="39"/>
        <v>1401343.320316752</v>
      </c>
      <c r="AE53" s="135">
        <f t="shared" si="39"/>
        <v>1427997.9729792974</v>
      </c>
      <c r="AF53" s="135">
        <f t="shared" si="39"/>
        <v>1455185.7186950943</v>
      </c>
      <c r="AG53" s="227" t="s">
        <v>185</v>
      </c>
      <c r="AH53" s="240" t="s">
        <v>188</v>
      </c>
      <c r="AI53" s="152"/>
    </row>
    <row r="54" spans="1:35" ht="15" customHeight="1" x14ac:dyDescent="0.25">
      <c r="A54" s="220" t="s">
        <v>160</v>
      </c>
      <c r="B54" s="221">
        <f>SUM(B51:B53)</f>
        <v>1</v>
      </c>
      <c r="C54" s="222">
        <f>SUM(C51:C53)</f>
        <v>0</v>
      </c>
      <c r="D54" s="223">
        <f t="shared" ref="D54:L54" si="40">SUM(D51:D53)</f>
        <v>0</v>
      </c>
      <c r="E54" s="222">
        <f t="shared" si="40"/>
        <v>1160857.7164005353</v>
      </c>
      <c r="F54" s="222">
        <f t="shared" si="40"/>
        <v>1326959.5067598931</v>
      </c>
      <c r="G54" s="222">
        <f t="shared" si="40"/>
        <v>1480341.7920073974</v>
      </c>
      <c r="H54" s="222">
        <f t="shared" si="40"/>
        <v>1636791.7229598525</v>
      </c>
      <c r="I54" s="222">
        <f t="shared" si="40"/>
        <v>1755398.9791676449</v>
      </c>
      <c r="J54" s="222">
        <f t="shared" si="40"/>
        <v>1787965.8221884249</v>
      </c>
      <c r="K54" s="222">
        <f t="shared" si="40"/>
        <v>1821184.0020696199</v>
      </c>
      <c r="L54" s="222">
        <f t="shared" si="40"/>
        <v>1855066.5455484395</v>
      </c>
      <c r="M54" s="222">
        <f>SUM(M51:M53)</f>
        <v>1889626.7398968353</v>
      </c>
      <c r="N54" s="222">
        <f t="shared" ref="N54:AF54" si="41">SUM(N51:N53)</f>
        <v>1924878.1381321992</v>
      </c>
      <c r="O54" s="222">
        <f t="shared" si="41"/>
        <v>1960834.5643322701</v>
      </c>
      <c r="P54" s="222">
        <f t="shared" si="41"/>
        <v>1997510.1190563424</v>
      </c>
      <c r="Q54" s="222">
        <f t="shared" si="41"/>
        <v>2034919.1848748962</v>
      </c>
      <c r="R54" s="222">
        <f t="shared" si="41"/>
        <v>2073076.4320098213</v>
      </c>
      <c r="S54" s="222">
        <f t="shared" si="41"/>
        <v>2111996.8240874447</v>
      </c>
      <c r="T54" s="222">
        <f t="shared" si="41"/>
        <v>2151695.6240066206</v>
      </c>
      <c r="U54" s="222">
        <f t="shared" si="41"/>
        <v>2192188.39992418</v>
      </c>
      <c r="V54" s="222">
        <f t="shared" si="41"/>
        <v>2233491.0313600902</v>
      </c>
      <c r="W54" s="222">
        <f t="shared" si="41"/>
        <v>2275619.7154247193</v>
      </c>
      <c r="X54" s="222">
        <f t="shared" si="41"/>
        <v>2318590.9731706409</v>
      </c>
      <c r="Y54" s="222">
        <f t="shared" si="41"/>
        <v>2362421.6560714808</v>
      </c>
      <c r="Z54" s="222">
        <f t="shared" si="41"/>
        <v>2407128.9526303373</v>
      </c>
      <c r="AA54" s="222">
        <f t="shared" si="41"/>
        <v>2452730.3951203711</v>
      </c>
      <c r="AB54" s="222">
        <f t="shared" si="41"/>
        <v>2499243.8664602051</v>
      </c>
      <c r="AC54" s="222">
        <f t="shared" si="41"/>
        <v>2546687.6072268365</v>
      </c>
      <c r="AD54" s="222">
        <f t="shared" si="41"/>
        <v>2595080.2228087997</v>
      </c>
      <c r="AE54" s="222">
        <f t="shared" si="41"/>
        <v>2644440.6907024025</v>
      </c>
      <c r="AF54" s="222">
        <f t="shared" si="41"/>
        <v>2694788.3679538784</v>
      </c>
      <c r="AG54" s="227"/>
      <c r="AH54" s="238"/>
      <c r="AI54" s="152"/>
    </row>
    <row r="55" spans="1:35" ht="8.1" customHeight="1" x14ac:dyDescent="0.25">
      <c r="A55" s="140"/>
      <c r="B55" s="101"/>
      <c r="C55" s="136"/>
      <c r="D55" s="205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227"/>
      <c r="AH55" s="238"/>
      <c r="AI55" s="152"/>
    </row>
    <row r="56" spans="1:35" ht="15" customHeight="1" x14ac:dyDescent="0.25">
      <c r="A56" s="150" t="str">
        <f>CONCATENATE("Increase in ",A4," General Fund Revenues")</f>
        <v>Increase in Monterey County General Fund Revenues</v>
      </c>
      <c r="B56" s="251" t="s">
        <v>287</v>
      </c>
      <c r="C56" s="136"/>
      <c r="D56" s="205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227"/>
      <c r="AH56" s="238"/>
      <c r="AI56" s="152"/>
    </row>
    <row r="57" spans="1:35" ht="30" customHeight="1" x14ac:dyDescent="0.25">
      <c r="A57" s="178" t="s">
        <v>199</v>
      </c>
      <c r="B57" s="278">
        <f>Scenarios!E7</f>
        <v>0.2</v>
      </c>
      <c r="C57" s="177">
        <v>0</v>
      </c>
      <c r="D57" s="224">
        <v>0</v>
      </c>
      <c r="E57" s="177">
        <v>0</v>
      </c>
      <c r="F57" s="177">
        <v>0</v>
      </c>
      <c r="G57" s="177">
        <v>0</v>
      </c>
      <c r="H57" s="177">
        <v>0</v>
      </c>
      <c r="I57" s="177">
        <v>0</v>
      </c>
      <c r="J57" s="177">
        <v>0</v>
      </c>
      <c r="K57" s="177">
        <v>0</v>
      </c>
      <c r="L57" s="177">
        <v>0</v>
      </c>
      <c r="M57" s="177">
        <v>0</v>
      </c>
      <c r="N57" s="177">
        <f>N53*$B$57</f>
        <v>207886.83891827753</v>
      </c>
      <c r="O57" s="177">
        <f t="shared" ref="O57:AF57" si="42">O53*$B$57</f>
        <v>211770.1329478852</v>
      </c>
      <c r="P57" s="177">
        <f t="shared" si="42"/>
        <v>215731.092858085</v>
      </c>
      <c r="Q57" s="177">
        <f t="shared" si="42"/>
        <v>219771.2719664888</v>
      </c>
      <c r="R57" s="177">
        <f t="shared" si="42"/>
        <v>223892.25465706072</v>
      </c>
      <c r="S57" s="177">
        <f t="shared" si="42"/>
        <v>228095.65700144405</v>
      </c>
      <c r="T57" s="177">
        <f t="shared" si="42"/>
        <v>232383.12739271505</v>
      </c>
      <c r="U57" s="177">
        <f t="shared" si="42"/>
        <v>236756.34719181145</v>
      </c>
      <c r="V57" s="177">
        <f t="shared" si="42"/>
        <v>241217.03138688975</v>
      </c>
      <c r="W57" s="177">
        <f t="shared" si="42"/>
        <v>245766.92926586969</v>
      </c>
      <c r="X57" s="177">
        <f t="shared" si="42"/>
        <v>250407.8251024292</v>
      </c>
      <c r="Y57" s="177">
        <f t="shared" si="42"/>
        <v>255141.53885571996</v>
      </c>
      <c r="Z57" s="177">
        <f t="shared" si="42"/>
        <v>259969.92688407647</v>
      </c>
      <c r="AA57" s="177">
        <f t="shared" si="42"/>
        <v>264894.8826730001</v>
      </c>
      <c r="AB57" s="177">
        <f t="shared" si="42"/>
        <v>269918.33757770219</v>
      </c>
      <c r="AC57" s="177">
        <f t="shared" si="42"/>
        <v>275042.26158049837</v>
      </c>
      <c r="AD57" s="177">
        <f t="shared" si="42"/>
        <v>280268.66406335041</v>
      </c>
      <c r="AE57" s="177">
        <f t="shared" si="42"/>
        <v>285599.59459585947</v>
      </c>
      <c r="AF57" s="177">
        <f t="shared" si="42"/>
        <v>291037.14373901888</v>
      </c>
      <c r="AG57" s="235" t="s">
        <v>186</v>
      </c>
      <c r="AH57" s="245" t="s">
        <v>187</v>
      </c>
      <c r="AI57" s="152"/>
    </row>
    <row r="58" spans="1:35" ht="15" hidden="1" customHeight="1" x14ac:dyDescent="0.25">
      <c r="A58" s="151" t="str">
        <f>CONCATENATE("Add Back In: 10% of Incremental FORA Share sent to ",A4)</f>
        <v>Add Back In: 10% of Incremental FORA Share sent to Monterey County</v>
      </c>
      <c r="B58" s="142"/>
      <c r="C58" s="145" t="e">
        <f>-#REF!</f>
        <v>#REF!</v>
      </c>
      <c r="D58" s="211" t="e">
        <f>-#REF!</f>
        <v>#REF!</v>
      </c>
      <c r="E58" s="145" t="e">
        <f>-#REF!</f>
        <v>#REF!</v>
      </c>
      <c r="F58" s="145" t="e">
        <f>-#REF!</f>
        <v>#REF!</v>
      </c>
      <c r="G58" s="145" t="e">
        <f>-#REF!</f>
        <v>#REF!</v>
      </c>
      <c r="H58" s="145" t="e">
        <f>-#REF!</f>
        <v>#REF!</v>
      </c>
      <c r="I58" s="145" t="e">
        <f>-#REF!</f>
        <v>#REF!</v>
      </c>
      <c r="J58" s="145" t="e">
        <f>-#REF!</f>
        <v>#REF!</v>
      </c>
      <c r="K58" s="145" t="e">
        <f>-#REF!</f>
        <v>#REF!</v>
      </c>
      <c r="L58" s="145" t="e">
        <f>-#REF!</f>
        <v>#REF!</v>
      </c>
      <c r="M58" s="145" t="e">
        <f>-#REF!</f>
        <v>#REF!</v>
      </c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227" t="s">
        <v>148</v>
      </c>
      <c r="AH58" s="238"/>
      <c r="AI58" s="26"/>
    </row>
    <row r="59" spans="1:35" ht="15" customHeight="1" x14ac:dyDescent="0.25">
      <c r="A59" s="151"/>
      <c r="B59" s="142"/>
      <c r="C59" s="145"/>
      <c r="D59" s="211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227"/>
      <c r="AH59" s="238"/>
      <c r="AI59" s="26"/>
    </row>
    <row r="60" spans="1:35" ht="15" customHeight="1" x14ac:dyDescent="0.25">
      <c r="A60" s="267" t="s">
        <v>211</v>
      </c>
      <c r="B60" s="142"/>
      <c r="C60" s="145"/>
      <c r="D60" s="211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227"/>
      <c r="AH60" s="238"/>
      <c r="AI60" s="26"/>
    </row>
    <row r="61" spans="1:35" ht="15" customHeight="1" x14ac:dyDescent="0.25">
      <c r="A61" s="268" t="s">
        <v>104</v>
      </c>
      <c r="B61" s="269"/>
      <c r="C61" s="270">
        <v>0</v>
      </c>
      <c r="D61" s="272">
        <v>0</v>
      </c>
      <c r="E61" s="270">
        <f>'2 - Marina'!E53</f>
        <v>603972.3962210106</v>
      </c>
      <c r="F61" s="270">
        <f>'2 - Marina'!F53</f>
        <v>691758.21170491434</v>
      </c>
      <c r="G61" s="270">
        <f>'2 - Marina'!G53</f>
        <v>765272.4240225103</v>
      </c>
      <c r="H61" s="270">
        <f>'2 - Marina'!H53</f>
        <v>850611.85449020052</v>
      </c>
      <c r="I61" s="270">
        <f>'2 - Marina'!I53</f>
        <v>926316.28161686065</v>
      </c>
      <c r="J61" s="270">
        <f>'2 - Marina'!J53</f>
        <v>971776.58814733825</v>
      </c>
      <c r="K61" s="270">
        <f>'2 - Marina'!K53</f>
        <v>990357.66781204939</v>
      </c>
      <c r="L61" s="270">
        <f>'2 - Marina'!L53</f>
        <v>1009310.3690700546</v>
      </c>
      <c r="M61" s="270">
        <f>'2 - Marina'!M53</f>
        <v>1028642.1243532198</v>
      </c>
      <c r="N61" s="270">
        <f>'2 - Marina'!N53</f>
        <v>1048398.5292588032</v>
      </c>
      <c r="O61" s="270">
        <f>'2 - Marina'!O53</f>
        <v>1066763.0305595284</v>
      </c>
      <c r="P61" s="270">
        <f>'2 - Marina'!P53</f>
        <v>1085494.821886268</v>
      </c>
      <c r="Q61" s="270">
        <f>'2 - Marina'!Q53</f>
        <v>1104601.2490395422</v>
      </c>
      <c r="R61" s="270">
        <f>'2 - Marina'!R53</f>
        <v>1124089.804735882</v>
      </c>
      <c r="S61" s="270">
        <f>'2 - Marina'!S53</f>
        <v>1143968.1315461481</v>
      </c>
      <c r="T61" s="270">
        <f>'2 - Marina'!T53</f>
        <v>1164244.0248926203</v>
      </c>
      <c r="U61" s="270">
        <f>'2 - Marina'!U53</f>
        <v>1184925.4361060213</v>
      </c>
      <c r="V61" s="270">
        <f>'2 - Marina'!V53</f>
        <v>1206020.4755436906</v>
      </c>
      <c r="W61" s="270">
        <f>'2 - Marina'!W53</f>
        <v>1227537.4157701137</v>
      </c>
      <c r="X61" s="270">
        <f>'2 - Marina'!X53</f>
        <v>1249484.6948010647</v>
      </c>
      <c r="Y61" s="270">
        <f>'2 - Marina'!Y53</f>
        <v>1271870.919412635</v>
      </c>
      <c r="Z61" s="270">
        <f>'2 - Marina'!Z53</f>
        <v>1294704.8685164365</v>
      </c>
      <c r="AA61" s="270">
        <f>'2 - Marina'!AA53</f>
        <v>1317995.4966023143</v>
      </c>
      <c r="AB61" s="270">
        <f>'2 - Marina'!AB53</f>
        <v>1341751.9372499092</v>
      </c>
      <c r="AC61" s="270">
        <f>'2 - Marina'!AC53</f>
        <v>1365983.5067104565</v>
      </c>
      <c r="AD61" s="270">
        <f>'2 - Marina'!AD53</f>
        <v>1390699.7075602142</v>
      </c>
      <c r="AE61" s="270">
        <f>'2 - Marina'!AE53</f>
        <v>1415910.2324269677</v>
      </c>
      <c r="AF61" s="270">
        <f>'2 - Marina'!AF53</f>
        <v>1441624.9677910556</v>
      </c>
      <c r="AG61" s="227" t="s">
        <v>205</v>
      </c>
      <c r="AH61" s="238"/>
      <c r="AI61" s="26"/>
    </row>
    <row r="62" spans="1:35" ht="15" customHeight="1" x14ac:dyDescent="0.25">
      <c r="A62" s="268" t="s">
        <v>105</v>
      </c>
      <c r="B62" s="269"/>
      <c r="C62" s="270">
        <v>0</v>
      </c>
      <c r="D62" s="272">
        <v>0</v>
      </c>
      <c r="E62" s="270">
        <f>'2 - Seaside'!E53</f>
        <v>525559.57373496424</v>
      </c>
      <c r="F62" s="270">
        <f>'2 - Seaside'!F53</f>
        <v>555398.12913243228</v>
      </c>
      <c r="G62" s="270">
        <f>'2 - Seaside'!G53</f>
        <v>657174.81307437597</v>
      </c>
      <c r="H62" s="270">
        <f>'2 - Seaside'!H53</f>
        <v>738281.97345959535</v>
      </c>
      <c r="I62" s="270">
        <f>'2 - Seaside'!I53</f>
        <v>813475.19153966638</v>
      </c>
      <c r="J62" s="270">
        <f>'2 - Seaside'!J53</f>
        <v>839675.58538482897</v>
      </c>
      <c r="K62" s="270">
        <f>'2 - Seaside'!K53</f>
        <v>865190.7346497901</v>
      </c>
      <c r="L62" s="270">
        <f>'2 - Seaside'!L53</f>
        <v>890667.14544673101</v>
      </c>
      <c r="M62" s="270">
        <f>'2 - Seaside'!M53</f>
        <v>915972.45455880056</v>
      </c>
      <c r="N62" s="270">
        <f>'2 - Seaside'!N53</f>
        <v>941783.8698531118</v>
      </c>
      <c r="O62" s="270">
        <f>'2 - Seaside'!O53</f>
        <v>958333.46207694022</v>
      </c>
      <c r="P62" s="270">
        <f>'2 - Seaside'!P53</f>
        <v>975214.04614524485</v>
      </c>
      <c r="Q62" s="270">
        <f>'2 - Seaside'!Q53</f>
        <v>992432.24189491593</v>
      </c>
      <c r="R62" s="270">
        <f>'2 - Seaside'!R53</f>
        <v>1009994.8015595805</v>
      </c>
      <c r="S62" s="270">
        <f>'2 - Seaside'!S53</f>
        <v>1027908.6124175382</v>
      </c>
      <c r="T62" s="270">
        <f>'2 - Seaside'!T53</f>
        <v>1046180.699492655</v>
      </c>
      <c r="U62" s="270">
        <f>'2 - Seaside'!U53</f>
        <v>1064818.2283092744</v>
      </c>
      <c r="V62" s="270">
        <f>'2 - Seaside'!V53</f>
        <v>1083828.5077022261</v>
      </c>
      <c r="W62" s="270">
        <f>'2 - Seaside'!W53</f>
        <v>1103218.992683037</v>
      </c>
      <c r="X62" s="270">
        <f>'2 - Seaside'!X53</f>
        <v>1122997.2873634633</v>
      </c>
      <c r="Y62" s="270">
        <f>'2 - Seaside'!Y53</f>
        <v>1143171.1479374992</v>
      </c>
      <c r="Z62" s="270">
        <f>'2 - Seaside'!Z53</f>
        <v>1163748.4857230152</v>
      </c>
      <c r="AA62" s="270">
        <f>'2 - Seaside'!AA53</f>
        <v>1184737.3702642417</v>
      </c>
      <c r="AB62" s="270">
        <f>'2 - Seaside'!AB53</f>
        <v>1206146.0324962928</v>
      </c>
      <c r="AC62" s="270">
        <f>'2 - Seaside'!AC53</f>
        <v>1227982.8679729847</v>
      </c>
      <c r="AD62" s="270">
        <f>'2 - Seaside'!AD53</f>
        <v>1250256.4401592107</v>
      </c>
      <c r="AE62" s="270">
        <f>'2 - Seaside'!AE53</f>
        <v>1272975.4837891611</v>
      </c>
      <c r="AF62" s="270">
        <f>'2 - Seaside'!AF53</f>
        <v>1296148.9082917101</v>
      </c>
      <c r="AG62" s="227" t="s">
        <v>206</v>
      </c>
      <c r="AH62" s="238"/>
      <c r="AI62" s="26"/>
    </row>
    <row r="63" spans="1:35" ht="15" customHeight="1" x14ac:dyDescent="0.25">
      <c r="A63" s="268" t="s">
        <v>76</v>
      </c>
      <c r="B63" s="269"/>
      <c r="C63" s="270">
        <v>0</v>
      </c>
      <c r="D63" s="272">
        <v>0</v>
      </c>
      <c r="E63" s="270">
        <f>'2 - DRO'!E46</f>
        <v>75512.19570033015</v>
      </c>
      <c r="F63" s="270">
        <f>'2 - DRO'!F46</f>
        <v>100039.47409113671</v>
      </c>
      <c r="G63" s="270">
        <f>'2 - DRO'!G46</f>
        <v>125057.29804975947</v>
      </c>
      <c r="H63" s="270">
        <f>'2 - DRO'!H46</f>
        <v>150575.47848755465</v>
      </c>
      <c r="I63" s="270">
        <f>'2 - DRO'!I46</f>
        <v>240732.15799010577</v>
      </c>
      <c r="J63" s="270">
        <f>'2 - DRO'!J46</f>
        <v>291580.87010350788</v>
      </c>
      <c r="K63" s="270">
        <f>'2 - DRO'!K46</f>
        <v>343446.55645917804</v>
      </c>
      <c r="L63" s="270">
        <f>'2 - DRO'!L46</f>
        <v>392513.38412916154</v>
      </c>
      <c r="M63" s="270">
        <f>'2 - DRO'!M46</f>
        <v>427521.53556204337</v>
      </c>
      <c r="N63" s="270">
        <f>'2 - DRO'!N46</f>
        <v>435282.34381878277</v>
      </c>
      <c r="O63" s="270">
        <f>'2 - DRO'!O46</f>
        <v>443198.36824065697</v>
      </c>
      <c r="P63" s="270">
        <f>'2 - DRO'!P46</f>
        <v>451272.71315096866</v>
      </c>
      <c r="Q63" s="270">
        <f>'2 - DRO'!Q46</f>
        <v>459508.54495948652</v>
      </c>
      <c r="R63" s="270">
        <f>'2 - DRO'!R46</f>
        <v>467909.09340417484</v>
      </c>
      <c r="S63" s="270">
        <f>'2 - DRO'!S46</f>
        <v>476477.65281775681</v>
      </c>
      <c r="T63" s="270">
        <f>'2 - DRO'!T46</f>
        <v>485217.58341961046</v>
      </c>
      <c r="U63" s="270">
        <f>'2 - DRO'!U46</f>
        <v>494132.31263350125</v>
      </c>
      <c r="V63" s="270">
        <f>'2 - DRO'!V46</f>
        <v>503225.33643166983</v>
      </c>
      <c r="W63" s="270">
        <f>'2 - DRO'!W46</f>
        <v>512500.22070580185</v>
      </c>
      <c r="X63" s="270">
        <f>'2 - DRO'!X46</f>
        <v>521960.60266541637</v>
      </c>
      <c r="Y63" s="270">
        <f>'2 - DRO'!Y46</f>
        <v>531610.19226422324</v>
      </c>
      <c r="Z63" s="270">
        <f>'2 - DRO'!Z46</f>
        <v>541452.77365500608</v>
      </c>
      <c r="AA63" s="270">
        <f>'2 - DRO'!AA46</f>
        <v>551492.2066736049</v>
      </c>
      <c r="AB63" s="270">
        <f>'2 - DRO'!AB46</f>
        <v>561732.42835257552</v>
      </c>
      <c r="AC63" s="270">
        <f>'2 - DRO'!AC46</f>
        <v>572177.45446512545</v>
      </c>
      <c r="AD63" s="270">
        <f>'2 - DRO'!AD46</f>
        <v>582831.38109992666</v>
      </c>
      <c r="AE63" s="270">
        <f>'2 - DRO'!AE46</f>
        <v>593698.38626742375</v>
      </c>
      <c r="AF63" s="270">
        <f>'2 - DRO'!AF46</f>
        <v>604782.7315382706</v>
      </c>
      <c r="AG63" s="227" t="s">
        <v>207</v>
      </c>
      <c r="AH63" s="238"/>
      <c r="AI63" s="26"/>
    </row>
    <row r="64" spans="1:35" ht="15" customHeight="1" x14ac:dyDescent="0.25">
      <c r="A64" s="271"/>
      <c r="B64" s="277" t="s">
        <v>198</v>
      </c>
      <c r="C64" s="270"/>
      <c r="D64" s="272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27"/>
      <c r="AH64" s="238"/>
      <c r="AI64" s="26"/>
    </row>
    <row r="65" spans="1:35" ht="15" customHeight="1" x14ac:dyDescent="0.25">
      <c r="A65" s="268" t="s">
        <v>78</v>
      </c>
      <c r="B65" s="273">
        <v>0.12</v>
      </c>
      <c r="C65" s="274">
        <v>0</v>
      </c>
      <c r="D65" s="272">
        <v>0</v>
      </c>
      <c r="E65" s="270">
        <f>$B$65*'2 - Marina'!E55</f>
        <v>102993.18756610919</v>
      </c>
      <c r="F65" s="270">
        <f>$B$65*'2 - Marina'!F55</f>
        <v>117962.97925915383</v>
      </c>
      <c r="G65" s="270">
        <f>$B$65*'2 - Marina'!G55</f>
        <v>130499.0870438386</v>
      </c>
      <c r="H65" s="270">
        <f>$B$65*'2 - Marina'!H55</f>
        <v>145051.70571306578</v>
      </c>
      <c r="I65" s="270">
        <f>$B$65*'2 - Marina'!I55</f>
        <v>157961.30275992781</v>
      </c>
      <c r="J65" s="270">
        <f>$B$65*'2 - Marina'!J55</f>
        <v>165713.48134723032</v>
      </c>
      <c r="K65" s="270">
        <f>$B$65*'2 - Marina'!K55</f>
        <v>168882.04440584421</v>
      </c>
      <c r="L65" s="270">
        <f>$B$65*'2 - Marina'!L55</f>
        <v>172113.97872563035</v>
      </c>
      <c r="M65" s="270">
        <f>$B$65*'2 - Marina'!M55</f>
        <v>175410.55173181221</v>
      </c>
      <c r="N65" s="270">
        <f>$B$65*'2 - Marina'!N55</f>
        <v>178779.53867360644</v>
      </c>
      <c r="O65" s="270">
        <f>$B$65*'2 - Marina'!O55</f>
        <v>181911.16942173013</v>
      </c>
      <c r="P65" s="270">
        <f>$B$65*'2 - Marina'!P55</f>
        <v>185105.43278481625</v>
      </c>
      <c r="Q65" s="270">
        <f>$B$65*'2 - Marina'!Q55</f>
        <v>188363.58141516405</v>
      </c>
      <c r="R65" s="270">
        <f>$B$65*'2 - Marina'!R55</f>
        <v>191686.89301811883</v>
      </c>
      <c r="S65" s="270">
        <f>$B$65*'2 - Marina'!S55</f>
        <v>195076.67085313264</v>
      </c>
      <c r="T65" s="270">
        <f>$B$65*'2 - Marina'!T55</f>
        <v>198534.24424484684</v>
      </c>
      <c r="U65" s="270">
        <f>$B$65*'2 - Marina'!U55</f>
        <v>202060.96910439522</v>
      </c>
      <c r="V65" s="270">
        <f>$B$65*'2 - Marina'!V55</f>
        <v>205658.22846113463</v>
      </c>
      <c r="W65" s="270">
        <f>$B$65*'2 - Marina'!W55</f>
        <v>209327.43300500888</v>
      </c>
      <c r="X65" s="270">
        <f>$B$65*'2 - Marina'!X55</f>
        <v>213070.0216397605</v>
      </c>
      <c r="Y65" s="270">
        <f>$B$65*'2 - Marina'!Y55</f>
        <v>216887.46204720723</v>
      </c>
      <c r="Z65" s="270">
        <f>$B$65*'2 - Marina'!Z55</f>
        <v>220781.25126280289</v>
      </c>
      <c r="AA65" s="270">
        <f>$B$65*'2 - Marina'!AA55</f>
        <v>224752.91626271044</v>
      </c>
      <c r="AB65" s="270">
        <f>$B$65*'2 - Marina'!AB55</f>
        <v>228804.0145626161</v>
      </c>
      <c r="AC65" s="270">
        <f>$B$65*'2 - Marina'!AC55</f>
        <v>232936.13482851995</v>
      </c>
      <c r="AD65" s="270">
        <f>$B$65*'2 - Marina'!AD55</f>
        <v>237150.89749974181</v>
      </c>
      <c r="AE65" s="270">
        <f>$B$65*'2 - Marina'!AE55</f>
        <v>241449.95542438817</v>
      </c>
      <c r="AF65" s="270">
        <f>$B$65*'2 - Marina'!AF55</f>
        <v>245834.99450752739</v>
      </c>
      <c r="AG65" s="227" t="s">
        <v>208</v>
      </c>
      <c r="AH65" s="238"/>
      <c r="AI65" s="26"/>
    </row>
    <row r="66" spans="1:35" ht="15" customHeight="1" x14ac:dyDescent="0.25">
      <c r="A66" s="268" t="s">
        <v>77</v>
      </c>
      <c r="B66" s="275">
        <v>0.12</v>
      </c>
      <c r="C66" s="274">
        <v>0</v>
      </c>
      <c r="D66" s="272">
        <v>0</v>
      </c>
      <c r="E66" s="270">
        <f>$B$66*'2 - Seaside'!E55</f>
        <v>89621.737836909684</v>
      </c>
      <c r="F66" s="270">
        <f>$B$66*'2 - Seaside'!F55</f>
        <v>94709.996757320041</v>
      </c>
      <c r="G66" s="270">
        <f>$B$66*'2 - Seaside'!G55</f>
        <v>112065.59970320936</v>
      </c>
      <c r="H66" s="270">
        <f>$B$66*'2 - Seaside'!H55</f>
        <v>125896.50494784677</v>
      </c>
      <c r="I66" s="270">
        <f>$B$66*'2 - Seaside'!I55</f>
        <v>138718.92739939576</v>
      </c>
      <c r="J66" s="270">
        <f>$B$66*'2 - Seaside'!J55</f>
        <v>143186.78403404451</v>
      </c>
      <c r="K66" s="270">
        <f>$B$66*'2 - Seaside'!K55</f>
        <v>147537.78843501685</v>
      </c>
      <c r="L66" s="270">
        <f>$B$66*'2 - Seaside'!L55</f>
        <v>151882.18690775835</v>
      </c>
      <c r="M66" s="270">
        <f>$B$66*'2 - Seaside'!M55</f>
        <v>156197.40804055333</v>
      </c>
      <c r="N66" s="270">
        <f>$B$66*'2 - Seaside'!N55</f>
        <v>160598.93359600432</v>
      </c>
      <c r="O66" s="270">
        <f>$B$66*'2 - Seaside'!O55</f>
        <v>163421.07458575189</v>
      </c>
      <c r="P66" s="270">
        <f>$B$66*'2 - Seaside'!P55</f>
        <v>166299.65839529439</v>
      </c>
      <c r="Q66" s="270">
        <f>$B$66*'2 - Seaside'!Q55</f>
        <v>169235.81388102775</v>
      </c>
      <c r="R66" s="270">
        <f>$B$66*'2 - Seaside'!R55</f>
        <v>172230.69247647584</v>
      </c>
      <c r="S66" s="270">
        <f>$B$66*'2 - Seaside'!S55</f>
        <v>175285.46864383281</v>
      </c>
      <c r="T66" s="270">
        <f>$B$66*'2 - Seaside'!T55</f>
        <v>178401.34033453697</v>
      </c>
      <c r="U66" s="270">
        <f>$B$66*'2 - Seaside'!U55</f>
        <v>181579.52945905522</v>
      </c>
      <c r="V66" s="270">
        <f>$B$66*'2 - Seaside'!V55</f>
        <v>184821.28236606382</v>
      </c>
      <c r="W66" s="270">
        <f>$B$66*'2 - Seaside'!W55</f>
        <v>188127.87033121262</v>
      </c>
      <c r="X66" s="270">
        <f>$B$66*'2 - Seaside'!X55</f>
        <v>191500.5900556643</v>
      </c>
      <c r="Y66" s="270">
        <f>$B$66*'2 - Seaside'!Y55</f>
        <v>194940.76417460517</v>
      </c>
      <c r="Z66" s="270">
        <f>$B$66*'2 - Seaside'!Z55</f>
        <v>198449.74177592472</v>
      </c>
      <c r="AA66" s="270">
        <f>$B$66*'2 - Seaside'!AA55</f>
        <v>202028.89892927068</v>
      </c>
      <c r="AB66" s="270">
        <f>$B$66*'2 - Seaside'!AB55</f>
        <v>205679.63922568364</v>
      </c>
      <c r="AC66" s="270">
        <f>$B$66*'2 - Seaside'!AC55</f>
        <v>209403.39432802476</v>
      </c>
      <c r="AD66" s="270">
        <f>$B$66*'2 - Seaside'!AD55</f>
        <v>213201.62453241274</v>
      </c>
      <c r="AE66" s="270">
        <f>$B$66*'2 - Seaside'!AE55</f>
        <v>217075.81934088853</v>
      </c>
      <c r="AF66" s="270">
        <f>$B$66*'2 - Seaside'!AF55</f>
        <v>221027.49804553369</v>
      </c>
      <c r="AG66" s="227" t="s">
        <v>209</v>
      </c>
      <c r="AH66" s="238"/>
      <c r="AI66" s="26"/>
    </row>
    <row r="67" spans="1:35" ht="15" customHeight="1" x14ac:dyDescent="0.25">
      <c r="A67" s="268" t="s">
        <v>79</v>
      </c>
      <c r="B67" s="276">
        <v>0</v>
      </c>
      <c r="C67" s="270">
        <v>0</v>
      </c>
      <c r="D67" s="272">
        <v>0</v>
      </c>
      <c r="E67" s="270">
        <f>$B$67*'2 - DRO'!E48</f>
        <v>0</v>
      </c>
      <c r="F67" s="270">
        <f>$B$67*'2 - DRO'!F48</f>
        <v>0</v>
      </c>
      <c r="G67" s="270">
        <f>$B$67*'2 - DRO'!G48</f>
        <v>0</v>
      </c>
      <c r="H67" s="270">
        <f>$B$67*'2 - DRO'!H48</f>
        <v>0</v>
      </c>
      <c r="I67" s="270">
        <f>$B$67*'2 - DRO'!I48</f>
        <v>0</v>
      </c>
      <c r="J67" s="270">
        <f>$B$67*'2 - DRO'!J48</f>
        <v>0</v>
      </c>
      <c r="K67" s="270">
        <f>$B$67*'2 - DRO'!K48</f>
        <v>0</v>
      </c>
      <c r="L67" s="270">
        <f>$B$67*'2 - DRO'!L48</f>
        <v>0</v>
      </c>
      <c r="M67" s="270">
        <f>$B$67*'2 - DRO'!M48</f>
        <v>0</v>
      </c>
      <c r="N67" s="270">
        <f>$B$67*'2 - DRO'!N48</f>
        <v>0</v>
      </c>
      <c r="O67" s="270">
        <f>$B$67*'2 - DRO'!O48</f>
        <v>0</v>
      </c>
      <c r="P67" s="270">
        <f>$B$67*'2 - DRO'!P48</f>
        <v>0</v>
      </c>
      <c r="Q67" s="270">
        <f>$B$67*'2 - DRO'!Q48</f>
        <v>0</v>
      </c>
      <c r="R67" s="270">
        <f>$B$67*'2 - DRO'!R48</f>
        <v>0</v>
      </c>
      <c r="S67" s="270">
        <f>$B$67*'2 - DRO'!S48</f>
        <v>0</v>
      </c>
      <c r="T67" s="270">
        <f>$B$67*'2 - DRO'!T48</f>
        <v>0</v>
      </c>
      <c r="U67" s="270">
        <f>$B$67*'2 - DRO'!U48</f>
        <v>0</v>
      </c>
      <c r="V67" s="270">
        <f>$B$67*'2 - DRO'!V48</f>
        <v>0</v>
      </c>
      <c r="W67" s="270">
        <f>$B$67*'2 - DRO'!W48</f>
        <v>0</v>
      </c>
      <c r="X67" s="270">
        <f>$B$67*'2 - DRO'!X48</f>
        <v>0</v>
      </c>
      <c r="Y67" s="270">
        <f>$B$67*'2 - DRO'!Y48</f>
        <v>0</v>
      </c>
      <c r="Z67" s="270">
        <f>$B$67*'2 - DRO'!Z48</f>
        <v>0</v>
      </c>
      <c r="AA67" s="270">
        <f>$B$67*'2 - DRO'!AA48</f>
        <v>0</v>
      </c>
      <c r="AB67" s="270">
        <f>$B$67*'2 - DRO'!AB48</f>
        <v>0</v>
      </c>
      <c r="AC67" s="270">
        <f>$B$67*'2 - DRO'!AC48</f>
        <v>0</v>
      </c>
      <c r="AD67" s="270">
        <f>$B$67*'2 - DRO'!AD48</f>
        <v>0</v>
      </c>
      <c r="AE67" s="270">
        <f>$B$67*'2 - DRO'!AE48</f>
        <v>0</v>
      </c>
      <c r="AF67" s="270">
        <f>$B$67*'2 - DRO'!AF48</f>
        <v>0</v>
      </c>
      <c r="AG67" s="227" t="s">
        <v>210</v>
      </c>
      <c r="AH67" s="238"/>
      <c r="AI67" s="26"/>
    </row>
    <row r="68" spans="1:35" ht="15" customHeight="1" x14ac:dyDescent="0.25">
      <c r="A68" s="151"/>
      <c r="B68" s="142"/>
      <c r="C68" s="145"/>
      <c r="D68" s="211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227"/>
      <c r="AH68" s="238"/>
      <c r="AI68" s="26"/>
    </row>
    <row r="69" spans="1:35" x14ac:dyDescent="0.25">
      <c r="A69" s="50" t="str">
        <f>CONCATENATE("Increase in Net Property Taxes Received by ",A4,)</f>
        <v>Increase in Net Property Taxes Received by Monterey County</v>
      </c>
      <c r="B69" s="50"/>
      <c r="C69" s="126">
        <f>C51+C57+C61+C62+C63+C65+C66+C67</f>
        <v>0</v>
      </c>
      <c r="D69" s="279">
        <f t="shared" ref="D69:L69" si="43">D51+D57+D61+D62+D63+D65+D66+D67</f>
        <v>0</v>
      </c>
      <c r="E69" s="126">
        <f>E51+E57+E61+E62+E63+E65+E66+E67</f>
        <v>1838785.0232915273</v>
      </c>
      <c r="F69" s="126">
        <f t="shared" si="43"/>
        <v>2064113.403513717</v>
      </c>
      <c r="G69" s="126">
        <f t="shared" si="43"/>
        <v>2352599.1028565047</v>
      </c>
      <c r="H69" s="126">
        <f t="shared" si="43"/>
        <v>2632398.3718230068</v>
      </c>
      <c r="I69" s="126">
        <f t="shared" si="43"/>
        <v>2944255.4733896614</v>
      </c>
      <c r="J69" s="126">
        <f t="shared" si="43"/>
        <v>3091360.321448551</v>
      </c>
      <c r="K69" s="126">
        <f t="shared" si="43"/>
        <v>3207464.7125483342</v>
      </c>
      <c r="L69" s="126">
        <f t="shared" si="43"/>
        <v>3321412.351587743</v>
      </c>
      <c r="M69" s="126">
        <f>M51+M57+M61+M62+M63+M65+M66+M67</f>
        <v>3421802.2354072267</v>
      </c>
      <c r="N69" s="126">
        <f t="shared" ref="N69:AD69" si="44">N51+N57+N61+N62+N63+N65+N66+N67</f>
        <v>3704183.7466088217</v>
      </c>
      <c r="O69" s="126">
        <f t="shared" si="44"/>
        <v>3770514.3722787555</v>
      </c>
      <c r="P69" s="126">
        <f t="shared" si="44"/>
        <v>3838171.6104620877</v>
      </c>
      <c r="Q69" s="126">
        <f t="shared" si="44"/>
        <v>3907181.993409086</v>
      </c>
      <c r="R69" s="126">
        <f t="shared" si="44"/>
        <v>3977572.5840150248</v>
      </c>
      <c r="S69" s="126">
        <f t="shared" si="44"/>
        <v>4049370.9864330818</v>
      </c>
      <c r="T69" s="126">
        <f t="shared" si="44"/>
        <v>4122605.3568995004</v>
      </c>
      <c r="U69" s="126">
        <f t="shared" si="44"/>
        <v>4197304.4147752477</v>
      </c>
      <c r="V69" s="126">
        <f t="shared" si="44"/>
        <v>4273497.4538085088</v>
      </c>
      <c r="W69" s="126">
        <f t="shared" si="44"/>
        <v>4351214.3536224375</v>
      </c>
      <c r="X69" s="126">
        <f t="shared" si="44"/>
        <v>4430485.5914326413</v>
      </c>
      <c r="Y69" s="126">
        <f t="shared" si="44"/>
        <v>4511342.2539990526</v>
      </c>
      <c r="Z69" s="126">
        <f t="shared" si="44"/>
        <v>4593816.04981679</v>
      </c>
      <c r="AA69" s="126">
        <f t="shared" si="44"/>
        <v>4677939.3215508824</v>
      </c>
      <c r="AB69" s="126">
        <f t="shared" si="44"/>
        <v>4763745.0587196574</v>
      </c>
      <c r="AC69" s="126">
        <f t="shared" si="44"/>
        <v>4851266.9106318085</v>
      </c>
      <c r="AD69" s="126">
        <f t="shared" si="44"/>
        <v>4940539.1995822005</v>
      </c>
      <c r="AE69" s="126">
        <f>AE51+AE57+AE61+AE62+AE63+AE65+AE66+AE67</f>
        <v>5031596.9343116013</v>
      </c>
      <c r="AF69" s="126">
        <f>AF51+AF57+AF61+AF62+AF63+AF65+AF66+AF67</f>
        <v>5124475.8237355892</v>
      </c>
      <c r="AG69" s="450" t="s">
        <v>217</v>
      </c>
      <c r="AH69" s="450"/>
    </row>
    <row r="70" spans="1:35" x14ac:dyDescent="0.25">
      <c r="A70" s="342" t="s">
        <v>289</v>
      </c>
      <c r="B70" s="343">
        <f>1-B71</f>
        <v>0.34499999999999997</v>
      </c>
      <c r="C70" s="344">
        <f>$B$70*(C51+C61+C62+C63)+C57+C65+C66+C67</f>
        <v>0</v>
      </c>
      <c r="D70" s="344">
        <f t="shared" ref="D70:AF70" si="45">$B$70*(D51+D61+D62+D63)+D57+D65+D66+D67</f>
        <v>0</v>
      </c>
      <c r="E70" s="344">
        <f t="shared" si="45"/>
        <v>760543.60917455424</v>
      </c>
      <c r="F70" s="344">
        <f t="shared" si="45"/>
        <v>851419.92350302264</v>
      </c>
      <c r="G70" s="344">
        <f t="shared" si="45"/>
        <v>970526.56030481041</v>
      </c>
      <c r="H70" s="344">
        <f t="shared" si="45"/>
        <v>1085648.5162618351</v>
      </c>
      <c r="I70" s="344">
        <f t="shared" si="45"/>
        <v>1210093.6890737901</v>
      </c>
      <c r="J70" s="344">
        <f t="shared" si="45"/>
        <v>1268848.9847244851</v>
      </c>
      <c r="K70" s="344">
        <f t="shared" si="45"/>
        <v>1313830.3163399391</v>
      </c>
      <c r="L70" s="344">
        <f t="shared" si="45"/>
        <v>1358104.7497876408</v>
      </c>
      <c r="M70" s="344">
        <f t="shared" si="45"/>
        <v>1397724.9848663926</v>
      </c>
      <c r="N70" s="344">
        <f t="shared" si="45"/>
        <v>1636402.1714081103</v>
      </c>
      <c r="O70" s="344">
        <f t="shared" si="45"/>
        <v>1665729.5153419359</v>
      </c>
      <c r="P70" s="344">
        <f t="shared" si="45"/>
        <v>1695643.4061544382</v>
      </c>
      <c r="Q70" s="344">
        <f t="shared" si="45"/>
        <v>1726155.5747831904</v>
      </c>
      <c r="R70" s="344">
        <f t="shared" si="45"/>
        <v>1757277.9867845178</v>
      </c>
      <c r="S70" s="344">
        <f t="shared" si="45"/>
        <v>1789022.8470258713</v>
      </c>
      <c r="T70" s="344">
        <f t="shared" si="45"/>
        <v>1821402.6044720523</v>
      </c>
      <c r="U70" s="344">
        <f t="shared" si="45"/>
        <v>1854429.9570671569</v>
      </c>
      <c r="V70" s="344">
        <f t="shared" si="45"/>
        <v>1888117.8567141634</v>
      </c>
      <c r="W70" s="344">
        <f t="shared" si="45"/>
        <v>1922479.5143541105</v>
      </c>
      <c r="X70" s="344">
        <f t="shared" si="45"/>
        <v>1957528.4051468559</v>
      </c>
      <c r="Y70" s="344">
        <f t="shared" si="45"/>
        <v>1993278.2737554568</v>
      </c>
      <c r="Z70" s="344">
        <f t="shared" si="45"/>
        <v>2029743.1397362293</v>
      </c>
      <c r="AA70" s="344">
        <f t="shared" si="45"/>
        <v>2066937.3030366173</v>
      </c>
      <c r="AB70" s="344">
        <f t="shared" si="45"/>
        <v>2104875.3496030131</v>
      </c>
      <c r="AC70" s="344">
        <f t="shared" si="45"/>
        <v>2143572.1571007366</v>
      </c>
      <c r="AD70" s="344">
        <f t="shared" si="45"/>
        <v>2183042.9007484149</v>
      </c>
      <c r="AE70" s="344">
        <f t="shared" si="45"/>
        <v>2223303.0592690464</v>
      </c>
      <c r="AF70" s="344">
        <f t="shared" si="45"/>
        <v>2264368.4209600906</v>
      </c>
      <c r="AG70" s="335"/>
      <c r="AH70" s="335"/>
    </row>
    <row r="71" spans="1:35" x14ac:dyDescent="0.25">
      <c r="A71" s="342" t="s">
        <v>290</v>
      </c>
      <c r="B71" s="343">
        <v>0.65500000000000003</v>
      </c>
      <c r="C71" s="344">
        <f>$B$71*(C51+C61+C62+C63)</f>
        <v>0</v>
      </c>
      <c r="D71" s="344">
        <f t="shared" ref="D71:AF71" si="46">$B$71*(D51+D61+D62+D63)</f>
        <v>0</v>
      </c>
      <c r="E71" s="344">
        <f t="shared" si="46"/>
        <v>1078241.4141169731</v>
      </c>
      <c r="F71" s="344">
        <f t="shared" si="46"/>
        <v>1212693.4800106944</v>
      </c>
      <c r="G71" s="344">
        <f t="shared" si="46"/>
        <v>1382072.5425516942</v>
      </c>
      <c r="H71" s="344">
        <f t="shared" si="46"/>
        <v>1546749.8555611717</v>
      </c>
      <c r="I71" s="344">
        <f t="shared" si="46"/>
        <v>1734161.7843158713</v>
      </c>
      <c r="J71" s="344">
        <f t="shared" si="46"/>
        <v>1822511.3367240659</v>
      </c>
      <c r="K71" s="344">
        <f t="shared" si="46"/>
        <v>1893634.396208395</v>
      </c>
      <c r="L71" s="344">
        <f t="shared" si="46"/>
        <v>1963307.601800102</v>
      </c>
      <c r="M71" s="344">
        <f t="shared" si="46"/>
        <v>2024077.2505408342</v>
      </c>
      <c r="N71" s="344">
        <f t="shared" si="46"/>
        <v>2067781.5752007116</v>
      </c>
      <c r="O71" s="344">
        <f t="shared" si="46"/>
        <v>2104784.8569368194</v>
      </c>
      <c r="P71" s="344">
        <f t="shared" si="46"/>
        <v>2142528.2043076493</v>
      </c>
      <c r="Q71" s="344">
        <f t="shared" si="46"/>
        <v>2181026.4186258954</v>
      </c>
      <c r="R71" s="344">
        <f t="shared" si="46"/>
        <v>2220294.5972305071</v>
      </c>
      <c r="S71" s="344">
        <f t="shared" si="46"/>
        <v>2260348.1394072101</v>
      </c>
      <c r="T71" s="344">
        <f t="shared" si="46"/>
        <v>2301202.7524274481</v>
      </c>
      <c r="U71" s="344">
        <f t="shared" si="46"/>
        <v>2342874.4577080905</v>
      </c>
      <c r="V71" s="344">
        <f t="shared" si="46"/>
        <v>2385379.5970943458</v>
      </c>
      <c r="W71" s="344">
        <f t="shared" si="46"/>
        <v>2428734.8392683268</v>
      </c>
      <c r="X71" s="344">
        <f t="shared" si="46"/>
        <v>2472957.1862857863</v>
      </c>
      <c r="Y71" s="344">
        <f t="shared" si="46"/>
        <v>2518063.9802435958</v>
      </c>
      <c r="Z71" s="344">
        <f t="shared" si="46"/>
        <v>2564072.9100805609</v>
      </c>
      <c r="AA71" s="344">
        <f t="shared" si="46"/>
        <v>2611002.0185142658</v>
      </c>
      <c r="AB71" s="344">
        <f t="shared" si="46"/>
        <v>2658869.7091166447</v>
      </c>
      <c r="AC71" s="344">
        <f t="shared" si="46"/>
        <v>2707694.7535310709</v>
      </c>
      <c r="AD71" s="344">
        <f t="shared" si="46"/>
        <v>2757496.2988337856</v>
      </c>
      <c r="AE71" s="344">
        <f t="shared" si="46"/>
        <v>2808293.8750425549</v>
      </c>
      <c r="AF71" s="344">
        <f t="shared" si="46"/>
        <v>2860107.402775499</v>
      </c>
      <c r="AG71" s="335"/>
      <c r="AH71" s="335"/>
    </row>
    <row r="72" spans="1:35" x14ac:dyDescent="0.25">
      <c r="A72" s="342"/>
      <c r="B72" s="343"/>
      <c r="C72" s="344"/>
      <c r="D72" s="344"/>
      <c r="E72" s="344"/>
      <c r="F72" s="344"/>
      <c r="G72" s="344"/>
      <c r="H72" s="344"/>
      <c r="I72" s="344"/>
      <c r="J72" s="344"/>
      <c r="K72" s="344"/>
      <c r="L72" s="344"/>
      <c r="M72" s="344"/>
      <c r="N72" s="344"/>
      <c r="O72" s="344"/>
      <c r="P72" s="344"/>
      <c r="Q72" s="344"/>
      <c r="R72" s="344"/>
      <c r="S72" s="344"/>
      <c r="T72" s="344"/>
      <c r="U72" s="344"/>
      <c r="V72" s="344"/>
      <c r="W72" s="344"/>
      <c r="X72" s="344"/>
      <c r="Y72" s="344"/>
      <c r="Z72" s="344"/>
      <c r="AA72" s="344"/>
      <c r="AB72" s="344"/>
      <c r="AC72" s="344"/>
      <c r="AD72" s="344"/>
      <c r="AE72" s="344"/>
      <c r="AF72" s="344"/>
      <c r="AG72" s="335"/>
      <c r="AH72" s="335"/>
    </row>
    <row r="73" spans="1:35" x14ac:dyDescent="0.25">
      <c r="A73" s="1" t="s">
        <v>291</v>
      </c>
      <c r="C73" s="109">
        <f>NPV(Assumptions!D4,'2 - County'!D70:AF70)+'2 - County'!C70</f>
        <v>23198201.125885189</v>
      </c>
      <c r="E73" s="80"/>
      <c r="AG73" s="227"/>
      <c r="AH73" s="238"/>
    </row>
    <row r="74" spans="1:35" x14ac:dyDescent="0.25">
      <c r="A74" s="1" t="s">
        <v>316</v>
      </c>
      <c r="C74" s="345">
        <f>NPV(Assumptions!D4,'2 - County'!D71:AF71)+'2 - County'!C71</f>
        <v>30626951.419087294</v>
      </c>
      <c r="E74" s="80"/>
      <c r="AG74" s="227"/>
      <c r="AH74" s="238"/>
    </row>
    <row r="75" spans="1:35" x14ac:dyDescent="0.25">
      <c r="D75" s="80"/>
      <c r="AG75" s="227"/>
      <c r="AH75" s="238"/>
    </row>
    <row r="76" spans="1:35" x14ac:dyDescent="0.25">
      <c r="A76" s="19" t="s">
        <v>204</v>
      </c>
      <c r="D76" s="80"/>
      <c r="AG76" s="227"/>
      <c r="AH76" s="238"/>
    </row>
    <row r="77" spans="1:35" x14ac:dyDescent="0.25">
      <c r="A77" s="19" t="s">
        <v>201</v>
      </c>
      <c r="E77" s="80"/>
      <c r="AG77" s="227"/>
      <c r="AH77" s="238"/>
    </row>
    <row r="78" spans="1:35" x14ac:dyDescent="0.25">
      <c r="A78" s="19"/>
      <c r="AG78" s="227"/>
      <c r="AH78" s="238"/>
    </row>
    <row r="79" spans="1:35" ht="15.75" x14ac:dyDescent="0.25">
      <c r="A79" s="65"/>
      <c r="AG79" s="227"/>
      <c r="AH79" s="238"/>
    </row>
    <row r="80" spans="1:35" x14ac:dyDescent="0.25">
      <c r="AG80" s="227"/>
      <c r="AH80" s="238"/>
    </row>
    <row r="81" spans="33:34" x14ac:dyDescent="0.25">
      <c r="AG81" s="236"/>
      <c r="AH81" s="246"/>
    </row>
  </sheetData>
  <mergeCells count="5">
    <mergeCell ref="C6:D6"/>
    <mergeCell ref="E6:M6"/>
    <mergeCell ref="AH10:AH12"/>
    <mergeCell ref="B45:B46"/>
    <mergeCell ref="AG69:AH69"/>
  </mergeCells>
  <pageMargins left="0.5" right="0.25" top="0.5" bottom="0.5" header="0.3" footer="0.3"/>
  <pageSetup scale="53" orientation="landscape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AW72"/>
  <sheetViews>
    <sheetView showGridLines="0" topLeftCell="A37" zoomScale="85" zoomScaleNormal="85" workbookViewId="0">
      <selection activeCell="C6" sqref="C6:AF7"/>
    </sheetView>
  </sheetViews>
  <sheetFormatPr defaultColWidth="8.85546875" defaultRowHeight="15" x14ac:dyDescent="0.25"/>
  <cols>
    <col min="1" max="1" width="63.28515625" customWidth="1"/>
    <col min="2" max="2" width="15.28515625" customWidth="1"/>
    <col min="3" max="32" width="13.28515625" customWidth="1"/>
    <col min="33" max="33" width="4.28515625" style="226" bestFit="1" customWidth="1"/>
    <col min="34" max="35" width="17.140625" style="237" customWidth="1"/>
    <col min="36" max="36" width="13.85546875" hidden="1" customWidth="1"/>
    <col min="37" max="37" width="9.28515625" hidden="1" customWidth="1"/>
    <col min="38" max="38" width="9" hidden="1" customWidth="1"/>
    <col min="39" max="44" width="11.28515625" hidden="1" customWidth="1"/>
    <col min="45" max="48" width="11" hidden="1" customWidth="1"/>
    <col min="49" max="49" width="10.28515625" hidden="1" customWidth="1"/>
  </cols>
  <sheetData>
    <row r="1" spans="1:44" ht="18.75" x14ac:dyDescent="0.3">
      <c r="A1" s="53" t="s">
        <v>56</v>
      </c>
    </row>
    <row r="2" spans="1:44" ht="18.75" x14ac:dyDescent="0.3">
      <c r="A2" s="54" t="s">
        <v>128</v>
      </c>
    </row>
    <row r="3" spans="1:44" ht="18.75" x14ac:dyDescent="0.3">
      <c r="A3" s="54"/>
    </row>
    <row r="4" spans="1:44" ht="18.75" x14ac:dyDescent="0.3">
      <c r="A4" s="160" t="s">
        <v>2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</row>
    <row r="5" spans="1:44" x14ac:dyDescent="0.25">
      <c r="A5" s="52"/>
    </row>
    <row r="6" spans="1:44" x14ac:dyDescent="0.25">
      <c r="A6" s="52"/>
      <c r="B6" s="257"/>
      <c r="C6" s="442" t="s">
        <v>59</v>
      </c>
      <c r="D6" s="442"/>
      <c r="E6" s="442"/>
      <c r="F6" s="442"/>
      <c r="G6" s="350" t="s">
        <v>60</v>
      </c>
      <c r="H6" s="350"/>
      <c r="I6" s="350"/>
      <c r="J6" s="350"/>
      <c r="K6" s="350"/>
      <c r="L6" s="350"/>
      <c r="M6" s="350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</row>
    <row r="7" spans="1:44" x14ac:dyDescent="0.25">
      <c r="A7" s="258" t="s">
        <v>92</v>
      </c>
      <c r="B7" s="259" t="s">
        <v>9</v>
      </c>
      <c r="C7" s="339">
        <v>201819</v>
      </c>
      <c r="D7" s="339">
        <f t="shared" ref="D7:AF7" si="0">C7+101</f>
        <v>201920</v>
      </c>
      <c r="E7" s="339">
        <f t="shared" si="0"/>
        <v>202021</v>
      </c>
      <c r="F7" s="339">
        <f t="shared" si="0"/>
        <v>202122</v>
      </c>
      <c r="G7" s="337">
        <f t="shared" si="0"/>
        <v>202223</v>
      </c>
      <c r="H7" s="337">
        <f t="shared" si="0"/>
        <v>202324</v>
      </c>
      <c r="I7" s="337">
        <f t="shared" si="0"/>
        <v>202425</v>
      </c>
      <c r="J7" s="337">
        <f t="shared" si="0"/>
        <v>202526</v>
      </c>
      <c r="K7" s="337">
        <f>J7+101</f>
        <v>202627</v>
      </c>
      <c r="L7" s="337">
        <f t="shared" si="0"/>
        <v>202728</v>
      </c>
      <c r="M7" s="337">
        <f t="shared" si="0"/>
        <v>202829</v>
      </c>
      <c r="N7" s="337">
        <f t="shared" si="0"/>
        <v>202930</v>
      </c>
      <c r="O7" s="337">
        <f t="shared" si="0"/>
        <v>203031</v>
      </c>
      <c r="P7" s="337">
        <f t="shared" si="0"/>
        <v>203132</v>
      </c>
      <c r="Q7" s="337">
        <f t="shared" si="0"/>
        <v>203233</v>
      </c>
      <c r="R7" s="337">
        <f t="shared" si="0"/>
        <v>203334</v>
      </c>
      <c r="S7" s="337">
        <f t="shared" si="0"/>
        <v>203435</v>
      </c>
      <c r="T7" s="337">
        <f t="shared" si="0"/>
        <v>203536</v>
      </c>
      <c r="U7" s="337">
        <f t="shared" si="0"/>
        <v>203637</v>
      </c>
      <c r="V7" s="337">
        <f t="shared" si="0"/>
        <v>203738</v>
      </c>
      <c r="W7" s="337">
        <f t="shared" si="0"/>
        <v>203839</v>
      </c>
      <c r="X7" s="337">
        <f t="shared" si="0"/>
        <v>203940</v>
      </c>
      <c r="Y7" s="337">
        <f t="shared" si="0"/>
        <v>204041</v>
      </c>
      <c r="Z7" s="337">
        <f t="shared" si="0"/>
        <v>204142</v>
      </c>
      <c r="AA7" s="337">
        <f t="shared" si="0"/>
        <v>204243</v>
      </c>
      <c r="AB7" s="337">
        <f t="shared" si="0"/>
        <v>204344</v>
      </c>
      <c r="AC7" s="337">
        <f t="shared" si="0"/>
        <v>204445</v>
      </c>
      <c r="AD7" s="337">
        <f t="shared" si="0"/>
        <v>204546</v>
      </c>
      <c r="AE7" s="337">
        <f t="shared" si="0"/>
        <v>204647</v>
      </c>
      <c r="AF7" s="337">
        <f t="shared" si="0"/>
        <v>204748</v>
      </c>
      <c r="AG7" s="227"/>
      <c r="AH7" s="238"/>
      <c r="AI7" s="238"/>
      <c r="AJ7" s="264"/>
    </row>
    <row r="8" spans="1:44" x14ac:dyDescent="0.25">
      <c r="A8" s="139" t="s">
        <v>93</v>
      </c>
      <c r="B8" s="260">
        <v>533000</v>
      </c>
      <c r="C8" s="247">
        <v>192</v>
      </c>
      <c r="D8" s="247">
        <v>235</v>
      </c>
      <c r="E8" s="137">
        <v>264</v>
      </c>
      <c r="F8" s="137">
        <v>264</v>
      </c>
      <c r="G8" s="137">
        <v>264</v>
      </c>
      <c r="H8" s="137">
        <v>264</v>
      </c>
      <c r="I8" s="137">
        <v>264</v>
      </c>
      <c r="J8" s="137">
        <v>264</v>
      </c>
      <c r="K8" s="137">
        <v>163</v>
      </c>
      <c r="L8" s="137">
        <v>72</v>
      </c>
      <c r="M8" s="137">
        <v>0</v>
      </c>
      <c r="N8" s="137">
        <v>0</v>
      </c>
      <c r="O8" s="137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60">
        <v>0</v>
      </c>
      <c r="AD8" s="60">
        <v>0</v>
      </c>
      <c r="AE8" s="60">
        <v>0</v>
      </c>
      <c r="AF8" s="60">
        <v>0</v>
      </c>
      <c r="AG8" s="227"/>
      <c r="AH8" s="238"/>
      <c r="AI8" s="238"/>
      <c r="AJ8" s="265"/>
    </row>
    <row r="9" spans="1:44" x14ac:dyDescent="0.25">
      <c r="A9" s="139" t="s">
        <v>44</v>
      </c>
      <c r="B9" s="261">
        <v>220</v>
      </c>
      <c r="C9" s="247">
        <v>0</v>
      </c>
      <c r="D9" s="247">
        <v>23000</v>
      </c>
      <c r="E9" s="137">
        <v>98000</v>
      </c>
      <c r="F9" s="137">
        <v>98000</v>
      </c>
      <c r="G9" s="137">
        <v>75000</v>
      </c>
      <c r="H9" s="137">
        <v>75000</v>
      </c>
      <c r="I9" s="137">
        <v>75000</v>
      </c>
      <c r="J9" s="137">
        <v>75000</v>
      </c>
      <c r="K9" s="137">
        <v>0</v>
      </c>
      <c r="L9" s="137">
        <v>0</v>
      </c>
      <c r="M9" s="137">
        <v>0</v>
      </c>
      <c r="N9" s="137">
        <v>0</v>
      </c>
      <c r="O9" s="137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60">
        <v>0</v>
      </c>
      <c r="AD9" s="60">
        <v>0</v>
      </c>
      <c r="AE9" s="60">
        <v>0</v>
      </c>
      <c r="AF9" s="60">
        <v>0</v>
      </c>
      <c r="AG9" s="227"/>
      <c r="AH9" s="238"/>
      <c r="AI9" s="238"/>
      <c r="AJ9" s="265"/>
      <c r="AP9">
        <v>2666421.52</v>
      </c>
      <c r="AQ9">
        <v>1274027.8600000001</v>
      </c>
      <c r="AR9">
        <f>AP9-AQ9</f>
        <v>1392393.66</v>
      </c>
    </row>
    <row r="10" spans="1:44" x14ac:dyDescent="0.25">
      <c r="A10" s="139" t="s">
        <v>45</v>
      </c>
      <c r="B10" s="261">
        <v>90</v>
      </c>
      <c r="C10" s="247">
        <v>0</v>
      </c>
      <c r="D10" s="247">
        <v>0</v>
      </c>
      <c r="E10" s="137">
        <v>75000</v>
      </c>
      <c r="F10" s="137">
        <v>75000</v>
      </c>
      <c r="G10" s="137">
        <v>75000</v>
      </c>
      <c r="H10" s="137">
        <v>75000</v>
      </c>
      <c r="I10" s="137">
        <v>75000</v>
      </c>
      <c r="J10" s="137">
        <v>75000</v>
      </c>
      <c r="K10" s="137">
        <v>0</v>
      </c>
      <c r="L10" s="137">
        <v>0</v>
      </c>
      <c r="M10" s="137">
        <v>0</v>
      </c>
      <c r="N10" s="137">
        <v>0</v>
      </c>
      <c r="O10" s="137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C10" s="60">
        <v>0</v>
      </c>
      <c r="AD10" s="60">
        <v>0</v>
      </c>
      <c r="AE10" s="60">
        <v>0</v>
      </c>
      <c r="AF10" s="60">
        <v>0</v>
      </c>
      <c r="AG10" s="334"/>
      <c r="AH10" s="444" t="s">
        <v>197</v>
      </c>
      <c r="AI10" s="334"/>
      <c r="AJ10" s="265"/>
      <c r="AR10">
        <f>-0.2*AR9</f>
        <v>-278478.73200000002</v>
      </c>
    </row>
    <row r="11" spans="1:44" ht="15" customHeight="1" x14ac:dyDescent="0.25">
      <c r="A11" s="139" t="s">
        <v>46</v>
      </c>
      <c r="B11" s="261">
        <v>265</v>
      </c>
      <c r="C11" s="247">
        <v>0</v>
      </c>
      <c r="D11" s="247">
        <v>20000</v>
      </c>
      <c r="E11" s="137">
        <v>20000</v>
      </c>
      <c r="F11" s="137">
        <v>20000</v>
      </c>
      <c r="G11" s="137">
        <v>20000</v>
      </c>
      <c r="H11" s="137">
        <v>0</v>
      </c>
      <c r="I11" s="137">
        <v>0</v>
      </c>
      <c r="J11" s="137">
        <v>0</v>
      </c>
      <c r="K11" s="137">
        <v>0</v>
      </c>
      <c r="L11" s="137">
        <v>0</v>
      </c>
      <c r="M11" s="137">
        <v>0</v>
      </c>
      <c r="N11" s="137">
        <v>0</v>
      </c>
      <c r="O11" s="137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60">
        <v>0</v>
      </c>
      <c r="AD11" s="60">
        <v>0</v>
      </c>
      <c r="AE11" s="60">
        <v>0</v>
      </c>
      <c r="AF11" s="60">
        <v>0</v>
      </c>
      <c r="AG11" s="334"/>
      <c r="AH11" s="444"/>
      <c r="AI11" s="334"/>
      <c r="AJ11" s="265"/>
      <c r="AR11">
        <f>SUM(AR9:AR10)</f>
        <v>1113914.9279999998</v>
      </c>
    </row>
    <row r="12" spans="1:44" ht="26.25" x14ac:dyDescent="0.25">
      <c r="A12" s="139" t="s">
        <v>47</v>
      </c>
      <c r="B12" s="262">
        <v>162000</v>
      </c>
      <c r="C12" s="249">
        <v>0</v>
      </c>
      <c r="D12" s="249">
        <v>0</v>
      </c>
      <c r="E12" s="138">
        <v>0</v>
      </c>
      <c r="F12" s="138">
        <v>394</v>
      </c>
      <c r="G12" s="138">
        <v>0</v>
      </c>
      <c r="H12" s="138">
        <v>0</v>
      </c>
      <c r="I12" s="138">
        <v>0</v>
      </c>
      <c r="J12" s="138">
        <v>0</v>
      </c>
      <c r="K12" s="138">
        <v>0</v>
      </c>
      <c r="L12" s="138">
        <v>0</v>
      </c>
      <c r="M12" s="138">
        <v>0</v>
      </c>
      <c r="N12" s="138">
        <v>0</v>
      </c>
      <c r="O12" s="138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334" t="s">
        <v>189</v>
      </c>
      <c r="AH12" s="444"/>
      <c r="AI12" s="334"/>
      <c r="AJ12" s="265"/>
    </row>
    <row r="13" spans="1:44" x14ac:dyDescent="0.25">
      <c r="A13" s="37" t="s">
        <v>49</v>
      </c>
      <c r="B13" s="24"/>
      <c r="C13" s="318">
        <v>88182185</v>
      </c>
      <c r="D13" s="136">
        <v>120495116</v>
      </c>
      <c r="E13" s="302">
        <f>SUMPRODUCT($B$8:$B$12,E8:E12)</f>
        <v>174322000</v>
      </c>
      <c r="F13" s="147">
        <f t="shared" ref="F13:AF13" si="1">SUMPRODUCT($B$8:$B$12,F8:F12)</f>
        <v>238150000</v>
      </c>
      <c r="G13" s="347">
        <f t="shared" si="1"/>
        <v>169262000</v>
      </c>
      <c r="H13" s="147">
        <f t="shared" si="1"/>
        <v>163962000</v>
      </c>
      <c r="I13" s="147">
        <f>SUMPRODUCT($B$8:$B$12,I8:I12)</f>
        <v>163962000</v>
      </c>
      <c r="J13" s="147">
        <f t="shared" si="1"/>
        <v>163962000</v>
      </c>
      <c r="K13" s="147">
        <f t="shared" si="1"/>
        <v>86879000</v>
      </c>
      <c r="L13" s="147">
        <f t="shared" si="1"/>
        <v>38376000</v>
      </c>
      <c r="M13" s="147">
        <f t="shared" si="1"/>
        <v>0</v>
      </c>
      <c r="N13" s="147">
        <f t="shared" si="1"/>
        <v>0</v>
      </c>
      <c r="O13" s="147">
        <f t="shared" si="1"/>
        <v>0</v>
      </c>
      <c r="P13" s="147">
        <f t="shared" si="1"/>
        <v>0</v>
      </c>
      <c r="Q13" s="147">
        <f t="shared" si="1"/>
        <v>0</v>
      </c>
      <c r="R13" s="147">
        <f t="shared" si="1"/>
        <v>0</v>
      </c>
      <c r="S13" s="147">
        <f t="shared" si="1"/>
        <v>0</v>
      </c>
      <c r="T13" s="147">
        <f t="shared" si="1"/>
        <v>0</v>
      </c>
      <c r="U13" s="147">
        <f t="shared" si="1"/>
        <v>0</v>
      </c>
      <c r="V13" s="147">
        <f t="shared" si="1"/>
        <v>0</v>
      </c>
      <c r="W13" s="147">
        <f t="shared" si="1"/>
        <v>0</v>
      </c>
      <c r="X13" s="147">
        <f t="shared" si="1"/>
        <v>0</v>
      </c>
      <c r="Y13" s="147">
        <f t="shared" si="1"/>
        <v>0</v>
      </c>
      <c r="Z13" s="147">
        <f t="shared" si="1"/>
        <v>0</v>
      </c>
      <c r="AA13" s="147">
        <f t="shared" si="1"/>
        <v>0</v>
      </c>
      <c r="AB13" s="147">
        <f t="shared" si="1"/>
        <v>0</v>
      </c>
      <c r="AC13" s="147">
        <f t="shared" si="1"/>
        <v>0</v>
      </c>
      <c r="AD13" s="147">
        <f t="shared" si="1"/>
        <v>0</v>
      </c>
      <c r="AE13" s="147">
        <f t="shared" si="1"/>
        <v>0</v>
      </c>
      <c r="AF13" s="147">
        <f t="shared" si="1"/>
        <v>0</v>
      </c>
      <c r="AG13" s="229" t="s">
        <v>143</v>
      </c>
      <c r="AH13" s="239"/>
      <c r="AI13" s="239"/>
      <c r="AJ13" s="143"/>
      <c r="AK13" s="24"/>
    </row>
    <row r="14" spans="1:44" x14ac:dyDescent="0.25">
      <c r="A14" t="s">
        <v>97</v>
      </c>
      <c r="C14" s="319">
        <v>415720999.0196079</v>
      </c>
      <c r="D14" s="136">
        <f>C16</f>
        <v>512217604</v>
      </c>
      <c r="E14" s="175">
        <f>D16</f>
        <v>642957072.08000004</v>
      </c>
      <c r="F14" s="144">
        <f>E16</f>
        <v>830138213.52160001</v>
      </c>
      <c r="G14" s="354">
        <f t="shared" ref="G14:AF14" si="2">F16</f>
        <v>1084890977.792032</v>
      </c>
      <c r="H14" s="144">
        <f t="shared" si="2"/>
        <v>1275850797.3478727</v>
      </c>
      <c r="I14" s="144">
        <f>H16</f>
        <v>1465329813.2948301</v>
      </c>
      <c r="J14" s="144">
        <f t="shared" si="2"/>
        <v>1658598409.5607266</v>
      </c>
      <c r="K14" s="144">
        <f t="shared" si="2"/>
        <v>1855732377.7519412</v>
      </c>
      <c r="L14" s="144">
        <f t="shared" si="2"/>
        <v>1979726025.3069801</v>
      </c>
      <c r="M14" s="144">
        <f t="shared" si="2"/>
        <v>2057696545.8131196</v>
      </c>
      <c r="N14" s="144">
        <f t="shared" si="2"/>
        <v>2098850476.729382</v>
      </c>
      <c r="O14" s="144">
        <f t="shared" si="2"/>
        <v>2140827486.2639697</v>
      </c>
      <c r="P14" s="144">
        <f t="shared" si="2"/>
        <v>2183644035.9892492</v>
      </c>
      <c r="Q14" s="144">
        <f t="shared" si="2"/>
        <v>2227316916.7090344</v>
      </c>
      <c r="R14" s="144">
        <f t="shared" si="2"/>
        <v>2271863255.0432153</v>
      </c>
      <c r="S14" s="144">
        <f t="shared" si="2"/>
        <v>2317300520.1440797</v>
      </c>
      <c r="T14" s="144">
        <f t="shared" si="2"/>
        <v>2363646530.5469613</v>
      </c>
      <c r="U14" s="144">
        <f t="shared" si="2"/>
        <v>2410919461.1579003</v>
      </c>
      <c r="V14" s="144">
        <f t="shared" si="2"/>
        <v>2459137850.3810582</v>
      </c>
      <c r="W14" s="144">
        <f t="shared" si="2"/>
        <v>2508320607.3886795</v>
      </c>
      <c r="X14" s="144">
        <f t="shared" si="2"/>
        <v>2558487019.5364532</v>
      </c>
      <c r="Y14" s="144">
        <f t="shared" si="2"/>
        <v>2609656759.9271822</v>
      </c>
      <c r="Z14" s="144">
        <f t="shared" si="2"/>
        <v>2661849895.1257257</v>
      </c>
      <c r="AA14" s="144">
        <f t="shared" si="2"/>
        <v>2715086893.0282402</v>
      </c>
      <c r="AB14" s="144">
        <f t="shared" si="2"/>
        <v>2769388630.8888049</v>
      </c>
      <c r="AC14" s="144">
        <f t="shared" si="2"/>
        <v>2824776403.5065808</v>
      </c>
      <c r="AD14" s="144">
        <f t="shared" si="2"/>
        <v>2881271931.5767126</v>
      </c>
      <c r="AE14" s="144">
        <f t="shared" si="2"/>
        <v>2938897370.2082467</v>
      </c>
      <c r="AF14" s="144">
        <f t="shared" si="2"/>
        <v>2997675317.6124115</v>
      </c>
      <c r="AG14" s="227" t="s">
        <v>145</v>
      </c>
      <c r="AH14" s="238"/>
      <c r="AI14" s="238"/>
      <c r="AJ14" s="152"/>
    </row>
    <row r="15" spans="1:44" x14ac:dyDescent="0.25">
      <c r="A15" t="s">
        <v>94</v>
      </c>
      <c r="B15" s="8"/>
      <c r="C15" s="320">
        <f>0.02*C14</f>
        <v>8314419.980392158</v>
      </c>
      <c r="D15" s="132">
        <f>D14*0.02</f>
        <v>10244352.08</v>
      </c>
      <c r="E15" s="136">
        <f>E14*0.02</f>
        <v>12859141.4416</v>
      </c>
      <c r="F15" s="132">
        <f t="shared" ref="F15:AF15" si="3">F14*0.02</f>
        <v>16602764.270432001</v>
      </c>
      <c r="G15" s="355">
        <f t="shared" si="3"/>
        <v>21697819.555840641</v>
      </c>
      <c r="H15" s="132">
        <f t="shared" si="3"/>
        <v>25517015.946957454</v>
      </c>
      <c r="I15" s="132">
        <f t="shared" si="3"/>
        <v>29306596.265896603</v>
      </c>
      <c r="J15" s="132">
        <f t="shared" si="3"/>
        <v>33171968.191214535</v>
      </c>
      <c r="K15" s="132">
        <f t="shared" si="3"/>
        <v>37114647.555038825</v>
      </c>
      <c r="L15" s="132">
        <f t="shared" si="3"/>
        <v>39594520.506139606</v>
      </c>
      <c r="M15" s="132">
        <f t="shared" si="3"/>
        <v>41153930.916262396</v>
      </c>
      <c r="N15" s="132">
        <f t="shared" si="3"/>
        <v>41977009.534587644</v>
      </c>
      <c r="O15" s="132">
        <f t="shared" si="3"/>
        <v>42816549.725279391</v>
      </c>
      <c r="P15" s="132">
        <f t="shared" si="3"/>
        <v>43672880.719784983</v>
      </c>
      <c r="Q15" s="132">
        <f t="shared" si="3"/>
        <v>44546338.33418069</v>
      </c>
      <c r="R15" s="132">
        <f t="shared" si="3"/>
        <v>45437265.100864306</v>
      </c>
      <c r="S15" s="132">
        <f t="shared" si="3"/>
        <v>46346010.402881593</v>
      </c>
      <c r="T15" s="132">
        <f t="shared" si="3"/>
        <v>47272930.610939227</v>
      </c>
      <c r="U15" s="132">
        <f t="shared" si="3"/>
        <v>48218389.223158009</v>
      </c>
      <c r="V15" s="132">
        <f t="shared" si="3"/>
        <v>49182757.007621162</v>
      </c>
      <c r="W15" s="132">
        <f t="shared" si="3"/>
        <v>50166412.147773594</v>
      </c>
      <c r="X15" s="132">
        <f t="shared" si="3"/>
        <v>51169740.39072907</v>
      </c>
      <c r="Y15" s="132">
        <f t="shared" si="3"/>
        <v>52193135.198543645</v>
      </c>
      <c r="Z15" s="132">
        <f t="shared" si="3"/>
        <v>53236997.902514517</v>
      </c>
      <c r="AA15" s="132">
        <f t="shared" si="3"/>
        <v>54301737.860564806</v>
      </c>
      <c r="AB15" s="132">
        <f t="shared" si="3"/>
        <v>55387772.617776096</v>
      </c>
      <c r="AC15" s="132">
        <f t="shared" si="3"/>
        <v>56495528.070131615</v>
      </c>
      <c r="AD15" s="132">
        <f t="shared" si="3"/>
        <v>57625438.631534256</v>
      </c>
      <c r="AE15" s="132">
        <f t="shared" si="3"/>
        <v>58777947.404164933</v>
      </c>
      <c r="AF15" s="132">
        <f t="shared" si="3"/>
        <v>59953506.352248229</v>
      </c>
      <c r="AG15" s="227" t="s">
        <v>146</v>
      </c>
      <c r="AH15" s="238"/>
      <c r="AI15" s="238"/>
      <c r="AJ15" s="152"/>
    </row>
    <row r="16" spans="1:44" x14ac:dyDescent="0.25">
      <c r="A16" t="s">
        <v>202</v>
      </c>
      <c r="C16" s="82">
        <f>(1916.01+12727.39+176939.29+2666421.52+2264171.83)/0.01</f>
        <v>512217604</v>
      </c>
      <c r="D16" s="173">
        <f t="shared" ref="D16:AF16" si="4">D13+D14+D15</f>
        <v>642957072.08000004</v>
      </c>
      <c r="E16" s="303">
        <f t="shared" si="4"/>
        <v>830138213.52160001</v>
      </c>
      <c r="F16" s="82">
        <f t="shared" si="4"/>
        <v>1084890977.792032</v>
      </c>
      <c r="G16" s="346">
        <f t="shared" si="4"/>
        <v>1275850797.3478727</v>
      </c>
      <c r="H16" s="82">
        <f t="shared" si="4"/>
        <v>1465329813.2948301</v>
      </c>
      <c r="I16" s="82">
        <f t="shared" si="4"/>
        <v>1658598409.5607266</v>
      </c>
      <c r="J16" s="82">
        <f t="shared" si="4"/>
        <v>1855732377.7519412</v>
      </c>
      <c r="K16" s="82">
        <f t="shared" si="4"/>
        <v>1979726025.3069801</v>
      </c>
      <c r="L16" s="82">
        <f t="shared" si="4"/>
        <v>2057696545.8131196</v>
      </c>
      <c r="M16" s="82">
        <f t="shared" si="4"/>
        <v>2098850476.729382</v>
      </c>
      <c r="N16" s="82">
        <f t="shared" si="4"/>
        <v>2140827486.2639697</v>
      </c>
      <c r="O16" s="82">
        <f t="shared" si="4"/>
        <v>2183644035.9892492</v>
      </c>
      <c r="P16" s="82">
        <f t="shared" si="4"/>
        <v>2227316916.7090344</v>
      </c>
      <c r="Q16" s="82">
        <f t="shared" si="4"/>
        <v>2271863255.0432153</v>
      </c>
      <c r="R16" s="82">
        <f t="shared" si="4"/>
        <v>2317300520.1440797</v>
      </c>
      <c r="S16" s="82">
        <f t="shared" si="4"/>
        <v>2363646530.5469613</v>
      </c>
      <c r="T16" s="82">
        <f t="shared" si="4"/>
        <v>2410919461.1579003</v>
      </c>
      <c r="U16" s="82">
        <f t="shared" si="4"/>
        <v>2459137850.3810582</v>
      </c>
      <c r="V16" s="82">
        <f t="shared" si="4"/>
        <v>2508320607.3886795</v>
      </c>
      <c r="W16" s="82">
        <f t="shared" si="4"/>
        <v>2558487019.5364532</v>
      </c>
      <c r="X16" s="82">
        <f t="shared" si="4"/>
        <v>2609656759.9271822</v>
      </c>
      <c r="Y16" s="82">
        <f t="shared" si="4"/>
        <v>2661849895.1257257</v>
      </c>
      <c r="Z16" s="82">
        <f t="shared" si="4"/>
        <v>2715086893.0282402</v>
      </c>
      <c r="AA16" s="82">
        <f t="shared" si="4"/>
        <v>2769388630.8888049</v>
      </c>
      <c r="AB16" s="82">
        <f t="shared" si="4"/>
        <v>2824776403.5065808</v>
      </c>
      <c r="AC16" s="82">
        <f t="shared" si="4"/>
        <v>2881271931.5767126</v>
      </c>
      <c r="AD16" s="82">
        <f t="shared" si="4"/>
        <v>2938897370.2082467</v>
      </c>
      <c r="AE16" s="82">
        <f t="shared" si="4"/>
        <v>2997675317.6124115</v>
      </c>
      <c r="AF16" s="82">
        <f t="shared" si="4"/>
        <v>3057628823.9646597</v>
      </c>
      <c r="AG16" s="335" t="s">
        <v>176</v>
      </c>
      <c r="AH16" s="240" t="s">
        <v>190</v>
      </c>
      <c r="AI16" s="240"/>
      <c r="AJ16" s="152"/>
    </row>
    <row r="17" spans="1:49" x14ac:dyDescent="0.25">
      <c r="A17" t="s">
        <v>12</v>
      </c>
      <c r="C17" s="146">
        <f t="shared" ref="C17:AF17" si="5">-$B$6</f>
        <v>0</v>
      </c>
      <c r="D17" s="146">
        <f t="shared" si="5"/>
        <v>0</v>
      </c>
      <c r="E17" s="69">
        <f t="shared" si="5"/>
        <v>0</v>
      </c>
      <c r="F17" s="56">
        <f t="shared" si="5"/>
        <v>0</v>
      </c>
      <c r="G17" s="3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  <c r="Z17" s="56">
        <f t="shared" si="5"/>
        <v>0</v>
      </c>
      <c r="AA17" s="56">
        <f t="shared" si="5"/>
        <v>0</v>
      </c>
      <c r="AB17" s="56">
        <f t="shared" si="5"/>
        <v>0</v>
      </c>
      <c r="AC17" s="56">
        <f t="shared" si="5"/>
        <v>0</v>
      </c>
      <c r="AD17" s="56">
        <f t="shared" si="5"/>
        <v>0</v>
      </c>
      <c r="AE17" s="56">
        <f t="shared" si="5"/>
        <v>0</v>
      </c>
      <c r="AF17" s="56">
        <f t="shared" si="5"/>
        <v>0</v>
      </c>
      <c r="AG17" s="227" t="s">
        <v>144</v>
      </c>
      <c r="AH17" s="238" t="s">
        <v>144</v>
      </c>
      <c r="AI17" s="238"/>
      <c r="AJ17" s="152"/>
    </row>
    <row r="18" spans="1:49" x14ac:dyDescent="0.25">
      <c r="A18" s="1" t="s">
        <v>51</v>
      </c>
      <c r="C18" s="96">
        <f>C20/B20</f>
        <v>512217604</v>
      </c>
      <c r="D18" s="299">
        <f t="shared" ref="D18:AF18" si="6">SUM(D16:D17)</f>
        <v>642957072.08000004</v>
      </c>
      <c r="E18" s="353">
        <f t="shared" si="6"/>
        <v>830138213.52160001</v>
      </c>
      <c r="F18" s="70">
        <f t="shared" si="6"/>
        <v>1084890977.792032</v>
      </c>
      <c r="G18" s="357">
        <f t="shared" si="6"/>
        <v>1275850797.3478727</v>
      </c>
      <c r="H18" s="70">
        <f t="shared" si="6"/>
        <v>1465329813.2948301</v>
      </c>
      <c r="I18" s="70">
        <f t="shared" si="6"/>
        <v>1658598409.5607266</v>
      </c>
      <c r="J18" s="70">
        <f t="shared" si="6"/>
        <v>1855732377.7519412</v>
      </c>
      <c r="K18" s="70">
        <f t="shared" si="6"/>
        <v>1979726025.3069801</v>
      </c>
      <c r="L18" s="70">
        <f t="shared" si="6"/>
        <v>2057696545.8131196</v>
      </c>
      <c r="M18" s="70">
        <f t="shared" si="6"/>
        <v>2098850476.729382</v>
      </c>
      <c r="N18" s="70">
        <f t="shared" si="6"/>
        <v>2140827486.2639697</v>
      </c>
      <c r="O18" s="70">
        <f t="shared" si="6"/>
        <v>2183644035.9892492</v>
      </c>
      <c r="P18" s="70">
        <f t="shared" si="6"/>
        <v>2227316916.7090344</v>
      </c>
      <c r="Q18" s="70">
        <f t="shared" si="6"/>
        <v>2271863255.0432153</v>
      </c>
      <c r="R18" s="70">
        <f t="shared" si="6"/>
        <v>2317300520.1440797</v>
      </c>
      <c r="S18" s="70">
        <f t="shared" si="6"/>
        <v>2363646530.5469613</v>
      </c>
      <c r="T18" s="70">
        <f t="shared" si="6"/>
        <v>2410919461.1579003</v>
      </c>
      <c r="U18" s="70">
        <f t="shared" si="6"/>
        <v>2459137850.3810582</v>
      </c>
      <c r="V18" s="70">
        <f t="shared" si="6"/>
        <v>2508320607.3886795</v>
      </c>
      <c r="W18" s="70">
        <f t="shared" si="6"/>
        <v>2558487019.5364532</v>
      </c>
      <c r="X18" s="70">
        <f t="shared" si="6"/>
        <v>2609656759.9271822</v>
      </c>
      <c r="Y18" s="70">
        <f t="shared" si="6"/>
        <v>2661849895.1257257</v>
      </c>
      <c r="Z18" s="70">
        <f t="shared" si="6"/>
        <v>2715086893.0282402</v>
      </c>
      <c r="AA18" s="70">
        <f t="shared" si="6"/>
        <v>2769388630.8888049</v>
      </c>
      <c r="AB18" s="70">
        <f t="shared" si="6"/>
        <v>2824776403.5065808</v>
      </c>
      <c r="AC18" s="70">
        <f t="shared" si="6"/>
        <v>2881271931.5767126</v>
      </c>
      <c r="AD18" s="70">
        <f t="shared" si="6"/>
        <v>2938897370.2082467</v>
      </c>
      <c r="AE18" s="70">
        <f t="shared" si="6"/>
        <v>2997675317.6124115</v>
      </c>
      <c r="AF18" s="70">
        <f t="shared" si="6"/>
        <v>3057628823.9646597</v>
      </c>
      <c r="AG18" s="227" t="s">
        <v>177</v>
      </c>
      <c r="AH18" s="238" t="s">
        <v>191</v>
      </c>
      <c r="AI18" s="238"/>
      <c r="AJ18" s="152"/>
    </row>
    <row r="19" spans="1:49" ht="8.1" customHeight="1" x14ac:dyDescent="0.25">
      <c r="C19" s="82"/>
      <c r="D19" s="173"/>
      <c r="E19" s="69"/>
      <c r="F19" s="68"/>
      <c r="G19" s="35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227"/>
      <c r="AH19" s="238"/>
      <c r="AI19" s="238"/>
      <c r="AJ19" s="152"/>
    </row>
    <row r="20" spans="1:49" x14ac:dyDescent="0.25">
      <c r="A20" t="s">
        <v>42</v>
      </c>
      <c r="B20" s="253">
        <v>0.01</v>
      </c>
      <c r="C20" s="82">
        <f>C16*B20</f>
        <v>5122176.04</v>
      </c>
      <c r="D20" s="173">
        <f>D18*B20</f>
        <v>6429570.7208000002</v>
      </c>
      <c r="E20" s="69">
        <f>B20*E18</f>
        <v>8301382.1352160005</v>
      </c>
      <c r="F20" s="68">
        <f>$B$20*F18</f>
        <v>10848909.777920321</v>
      </c>
      <c r="G20" s="358">
        <f t="shared" ref="G20:AF20" si="7">$B$20*G18</f>
        <v>12758507.973478727</v>
      </c>
      <c r="H20" s="68">
        <f t="shared" si="7"/>
        <v>14653298.132948302</v>
      </c>
      <c r="I20" s="68">
        <f t="shared" si="7"/>
        <v>16585984.095607268</v>
      </c>
      <c r="J20" s="68">
        <f t="shared" si="7"/>
        <v>18557323.777519412</v>
      </c>
      <c r="K20" s="68">
        <f t="shared" si="7"/>
        <v>19797260.253069803</v>
      </c>
      <c r="L20" s="68">
        <f t="shared" si="7"/>
        <v>20576965.458131198</v>
      </c>
      <c r="M20" s="68">
        <f t="shared" si="7"/>
        <v>20988504.767293822</v>
      </c>
      <c r="N20" s="68">
        <f t="shared" si="7"/>
        <v>21408274.862639695</v>
      </c>
      <c r="O20" s="68">
        <f t="shared" si="7"/>
        <v>21836440.359892491</v>
      </c>
      <c r="P20" s="68">
        <f t="shared" si="7"/>
        <v>22273169.167090345</v>
      </c>
      <c r="Q20" s="68">
        <f t="shared" si="7"/>
        <v>22718632.550432153</v>
      </c>
      <c r="R20" s="68">
        <f t="shared" si="7"/>
        <v>23173005.201440796</v>
      </c>
      <c r="S20" s="68">
        <f t="shared" si="7"/>
        <v>23636465.305469614</v>
      </c>
      <c r="T20" s="68">
        <f t="shared" si="7"/>
        <v>24109194.611579005</v>
      </c>
      <c r="U20" s="68">
        <f t="shared" si="7"/>
        <v>24591378.503810581</v>
      </c>
      <c r="V20" s="68">
        <f t="shared" si="7"/>
        <v>25083206.073886797</v>
      </c>
      <c r="W20" s="68">
        <f t="shared" si="7"/>
        <v>25584870.195364535</v>
      </c>
      <c r="X20" s="68">
        <f t="shared" si="7"/>
        <v>26096567.599271823</v>
      </c>
      <c r="Y20" s="68">
        <f t="shared" si="7"/>
        <v>26618498.951257259</v>
      </c>
      <c r="Z20" s="68">
        <f t="shared" si="7"/>
        <v>27150868.930282403</v>
      </c>
      <c r="AA20" s="68">
        <f t="shared" si="7"/>
        <v>27693886.308888048</v>
      </c>
      <c r="AB20" s="68">
        <f t="shared" si="7"/>
        <v>28247764.035065807</v>
      </c>
      <c r="AC20" s="68">
        <f t="shared" si="7"/>
        <v>28812719.315767128</v>
      </c>
      <c r="AD20" s="68">
        <f t="shared" si="7"/>
        <v>29388973.702082466</v>
      </c>
      <c r="AE20" s="68">
        <f t="shared" si="7"/>
        <v>29976753.176124115</v>
      </c>
      <c r="AF20" s="68">
        <f t="shared" si="7"/>
        <v>30576288.239646599</v>
      </c>
      <c r="AG20" s="227" t="s">
        <v>178</v>
      </c>
      <c r="AH20" s="240" t="s">
        <v>192</v>
      </c>
      <c r="AI20" s="240"/>
      <c r="AJ20" s="152"/>
    </row>
    <row r="21" spans="1:49" x14ac:dyDescent="0.25">
      <c r="A21" t="s">
        <v>41</v>
      </c>
      <c r="B21" s="176">
        <v>0.2</v>
      </c>
      <c r="C21" s="173">
        <f t="shared" ref="C21:AF21" si="8">-$B21*C20</f>
        <v>-1024435.2080000001</v>
      </c>
      <c r="D21" s="173">
        <f t="shared" si="8"/>
        <v>-1285914.1441600001</v>
      </c>
      <c r="E21" s="69">
        <f t="shared" si="8"/>
        <v>-1660276.4270432002</v>
      </c>
      <c r="F21" s="69">
        <f t="shared" si="8"/>
        <v>-2169781.9555840641</v>
      </c>
      <c r="G21" s="358">
        <f t="shared" si="8"/>
        <v>-2551701.5946957455</v>
      </c>
      <c r="H21" s="69">
        <f t="shared" si="8"/>
        <v>-2930659.6265896605</v>
      </c>
      <c r="I21" s="69">
        <f t="shared" si="8"/>
        <v>-3317196.8191214539</v>
      </c>
      <c r="J21" s="69">
        <f t="shared" si="8"/>
        <v>-3711464.7555038827</v>
      </c>
      <c r="K21" s="69">
        <f t="shared" si="8"/>
        <v>-3959452.0506139607</v>
      </c>
      <c r="L21" s="69">
        <f t="shared" si="8"/>
        <v>-4115393.0916262399</v>
      </c>
      <c r="M21" s="69">
        <f t="shared" si="8"/>
        <v>-4197700.9534587646</v>
      </c>
      <c r="N21" s="69">
        <f t="shared" si="8"/>
        <v>-4281654.9725279389</v>
      </c>
      <c r="O21" s="69">
        <f t="shared" si="8"/>
        <v>-4367288.0719784983</v>
      </c>
      <c r="P21" s="69">
        <f t="shared" si="8"/>
        <v>-4454633.8334180694</v>
      </c>
      <c r="Q21" s="69">
        <f t="shared" si="8"/>
        <v>-4543726.5100864312</v>
      </c>
      <c r="R21" s="69">
        <f t="shared" si="8"/>
        <v>-4634601.0402881596</v>
      </c>
      <c r="S21" s="69">
        <f t="shared" si="8"/>
        <v>-4727293.0610939227</v>
      </c>
      <c r="T21" s="69">
        <f t="shared" si="8"/>
        <v>-4821838.9223158015</v>
      </c>
      <c r="U21" s="69">
        <f t="shared" si="8"/>
        <v>-4918275.7007621164</v>
      </c>
      <c r="V21" s="69">
        <f t="shared" si="8"/>
        <v>-5016641.2147773597</v>
      </c>
      <c r="W21" s="69">
        <f t="shared" si="8"/>
        <v>-5116974.0390729075</v>
      </c>
      <c r="X21" s="69">
        <f t="shared" si="8"/>
        <v>-5219313.5198543649</v>
      </c>
      <c r="Y21" s="69">
        <f t="shared" si="8"/>
        <v>-5323699.7902514525</v>
      </c>
      <c r="Z21" s="69">
        <f t="shared" si="8"/>
        <v>-5430173.7860564813</v>
      </c>
      <c r="AA21" s="69">
        <f t="shared" si="8"/>
        <v>-5538777.2617776096</v>
      </c>
      <c r="AB21" s="69">
        <f t="shared" si="8"/>
        <v>-5649552.8070131615</v>
      </c>
      <c r="AC21" s="69">
        <f t="shared" si="8"/>
        <v>-5762543.863153426</v>
      </c>
      <c r="AD21" s="69">
        <f t="shared" si="8"/>
        <v>-5877794.7404164933</v>
      </c>
      <c r="AE21" s="69">
        <f t="shared" si="8"/>
        <v>-5995350.6352248229</v>
      </c>
      <c r="AF21" s="69">
        <f t="shared" si="8"/>
        <v>-6115257.6479293201</v>
      </c>
      <c r="AG21" s="231" t="s">
        <v>179</v>
      </c>
      <c r="AH21" s="241" t="s">
        <v>193</v>
      </c>
      <c r="AI21" s="241"/>
      <c r="AJ21" s="152"/>
      <c r="AT21" s="445" t="s">
        <v>254</v>
      </c>
    </row>
    <row r="22" spans="1:49" x14ac:dyDescent="0.25">
      <c r="A22" s="1" t="s">
        <v>69</v>
      </c>
      <c r="B22" s="254"/>
      <c r="C22" s="204">
        <f>C20+C21</f>
        <v>4097740.8319999999</v>
      </c>
      <c r="D22" s="112">
        <f>SUM(D20:D21)</f>
        <v>5143656.5766400006</v>
      </c>
      <c r="E22" s="71">
        <f t="shared" ref="E22:AF22" si="9">SUM(E20:E21)</f>
        <v>6641105.7081728</v>
      </c>
      <c r="F22" s="71">
        <f t="shared" si="9"/>
        <v>8679127.8223362565</v>
      </c>
      <c r="G22" s="359">
        <f t="shared" si="9"/>
        <v>10206806.378782982</v>
      </c>
      <c r="H22" s="71">
        <f t="shared" si="9"/>
        <v>11722638.506358642</v>
      </c>
      <c r="I22" s="71">
        <f t="shared" si="9"/>
        <v>13268787.276485814</v>
      </c>
      <c r="J22" s="71">
        <f t="shared" si="9"/>
        <v>14845859.022015531</v>
      </c>
      <c r="K22" s="71">
        <f t="shared" si="9"/>
        <v>15837808.202455843</v>
      </c>
      <c r="L22" s="71">
        <f t="shared" si="9"/>
        <v>16461572.366504958</v>
      </c>
      <c r="M22" s="71">
        <f t="shared" si="9"/>
        <v>16790803.813835058</v>
      </c>
      <c r="N22" s="71">
        <f t="shared" si="9"/>
        <v>17126619.890111756</v>
      </c>
      <c r="O22" s="71">
        <f t="shared" si="9"/>
        <v>17469152.287913993</v>
      </c>
      <c r="P22" s="71">
        <f t="shared" si="9"/>
        <v>17818535.333672278</v>
      </c>
      <c r="Q22" s="71">
        <f t="shared" si="9"/>
        <v>18174906.040345721</v>
      </c>
      <c r="R22" s="71">
        <f t="shared" si="9"/>
        <v>18538404.161152638</v>
      </c>
      <c r="S22" s="71">
        <f t="shared" si="9"/>
        <v>18909172.244375691</v>
      </c>
      <c r="T22" s="71">
        <f t="shared" si="9"/>
        <v>19287355.689263202</v>
      </c>
      <c r="U22" s="71">
        <f t="shared" si="9"/>
        <v>19673102.803048465</v>
      </c>
      <c r="V22" s="71">
        <f t="shared" si="9"/>
        <v>20066564.859109439</v>
      </c>
      <c r="W22" s="71">
        <f t="shared" si="9"/>
        <v>20467896.156291626</v>
      </c>
      <c r="X22" s="71">
        <f t="shared" si="9"/>
        <v>20877254.07941746</v>
      </c>
      <c r="Y22" s="71">
        <f t="shared" si="9"/>
        <v>21294799.161005806</v>
      </c>
      <c r="Z22" s="71">
        <f t="shared" si="9"/>
        <v>21720695.144225921</v>
      </c>
      <c r="AA22" s="71">
        <f t="shared" si="9"/>
        <v>22155109.047110438</v>
      </c>
      <c r="AB22" s="71">
        <f t="shared" si="9"/>
        <v>22598211.228052646</v>
      </c>
      <c r="AC22" s="71">
        <f t="shared" si="9"/>
        <v>23050175.452613704</v>
      </c>
      <c r="AD22" s="71">
        <f t="shared" si="9"/>
        <v>23511178.961665973</v>
      </c>
      <c r="AE22" s="71">
        <f t="shared" si="9"/>
        <v>23981402.540899292</v>
      </c>
      <c r="AF22" s="71">
        <f t="shared" si="9"/>
        <v>24461030.59171728</v>
      </c>
      <c r="AG22" s="227" t="s">
        <v>180</v>
      </c>
      <c r="AH22" s="238" t="s">
        <v>150</v>
      </c>
      <c r="AI22" s="238"/>
      <c r="AJ22" s="124"/>
      <c r="AK22" s="139"/>
      <c r="AL22" s="139"/>
      <c r="AM22" s="139"/>
      <c r="AN22" s="445" t="s">
        <v>41</v>
      </c>
      <c r="AO22" s="445" t="s">
        <v>249</v>
      </c>
      <c r="AP22" s="139"/>
      <c r="AQ22" s="139"/>
      <c r="AR22" s="440" t="s">
        <v>251</v>
      </c>
      <c r="AS22" s="445" t="s">
        <v>41</v>
      </c>
      <c r="AT22" s="445"/>
      <c r="AU22" s="447" t="s">
        <v>253</v>
      </c>
      <c r="AV22" s="445" t="s">
        <v>252</v>
      </c>
      <c r="AW22" s="139"/>
    </row>
    <row r="23" spans="1:49" ht="7.5" customHeight="1" x14ac:dyDescent="0.25">
      <c r="A23" s="1"/>
      <c r="B23" s="254"/>
      <c r="C23" s="82"/>
      <c r="D23" s="173"/>
      <c r="E23" s="69"/>
      <c r="F23" s="68"/>
      <c r="G23" s="35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227"/>
      <c r="AH23" s="238"/>
      <c r="AI23" s="238"/>
      <c r="AJ23" s="124"/>
      <c r="AK23" s="139"/>
      <c r="AL23" s="139"/>
      <c r="AM23" s="139"/>
      <c r="AN23" s="445"/>
      <c r="AO23" s="445"/>
      <c r="AP23" s="445" t="s">
        <v>250</v>
      </c>
      <c r="AQ23" s="445" t="s">
        <v>247</v>
      </c>
      <c r="AR23" s="440"/>
      <c r="AS23" s="445"/>
      <c r="AT23" s="445"/>
      <c r="AU23" s="447"/>
      <c r="AV23" s="445"/>
      <c r="AW23" s="139"/>
    </row>
    <row r="24" spans="1:49" ht="15" customHeight="1" x14ac:dyDescent="0.25">
      <c r="A24" s="1" t="s">
        <v>222</v>
      </c>
      <c r="B24" s="254"/>
      <c r="C24" s="82"/>
      <c r="D24" s="173"/>
      <c r="E24" s="69"/>
      <c r="F24" s="68"/>
      <c r="G24" s="35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227"/>
      <c r="AH24" s="238"/>
      <c r="AI24" s="238"/>
      <c r="AJ24" s="124"/>
      <c r="AK24" s="326">
        <v>0.25</v>
      </c>
      <c r="AL24" s="326">
        <v>0.21</v>
      </c>
      <c r="AM24" s="445" t="s">
        <v>246</v>
      </c>
      <c r="AN24" s="445"/>
      <c r="AO24" s="445"/>
      <c r="AP24" s="445"/>
      <c r="AQ24" s="445"/>
      <c r="AR24" s="440"/>
      <c r="AS24" s="445"/>
      <c r="AT24" s="445"/>
      <c r="AU24" s="447"/>
      <c r="AV24" s="445"/>
      <c r="AW24" s="139"/>
    </row>
    <row r="25" spans="1:49" ht="15" customHeight="1" x14ac:dyDescent="0.25">
      <c r="A25" s="19" t="s">
        <v>258</v>
      </c>
      <c r="B25" s="255">
        <v>0.25</v>
      </c>
      <c r="C25" s="82"/>
      <c r="D25" s="173"/>
      <c r="E25" s="69"/>
      <c r="F25" s="68"/>
      <c r="G25" s="35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227"/>
      <c r="AH25" s="238"/>
      <c r="AI25" s="238"/>
      <c r="AJ25" s="327" t="s">
        <v>237</v>
      </c>
      <c r="AK25" s="130" t="s">
        <v>244</v>
      </c>
      <c r="AL25" s="130" t="s">
        <v>245</v>
      </c>
      <c r="AM25" s="446"/>
      <c r="AN25" s="446"/>
      <c r="AO25" s="446"/>
      <c r="AP25" s="446"/>
      <c r="AQ25" s="446"/>
      <c r="AR25" s="441"/>
      <c r="AS25" s="446"/>
      <c r="AT25" s="446"/>
      <c r="AU25" s="448"/>
      <c r="AV25" s="446"/>
      <c r="AW25" s="130"/>
    </row>
    <row r="26" spans="1:49" x14ac:dyDescent="0.25">
      <c r="A26" t="s">
        <v>218</v>
      </c>
      <c r="B26" s="255">
        <v>0.43601084729514705</v>
      </c>
      <c r="C26" s="82">
        <f>-$B26*$B25*C$22</f>
        <v>-446664.8630390602</v>
      </c>
      <c r="D26" s="173">
        <f t="shared" ref="D26:AF26" si="10">-$B26*$B25*D$22</f>
        <v>-560672.51554401556</v>
      </c>
      <c r="E26" s="69">
        <f>-$B26*$B25*E$22</f>
        <v>-723898.531699265</v>
      </c>
      <c r="F26" s="68">
        <f t="shared" si="10"/>
        <v>-946048.46889992896</v>
      </c>
      <c r="G26" s="358">
        <f t="shared" si="10"/>
        <v>-1112569.57434767</v>
      </c>
      <c r="H26" s="68">
        <f t="shared" si="10"/>
        <v>-1277799.3869230372</v>
      </c>
      <c r="I26" s="68">
        <f t="shared" si="10"/>
        <v>-1446333.7957499116</v>
      </c>
      <c r="J26" s="68">
        <f t="shared" si="10"/>
        <v>-1618238.8927533238</v>
      </c>
      <c r="K26" s="68">
        <f t="shared" si="10"/>
        <v>-1726364.0434127005</v>
      </c>
      <c r="L26" s="68">
        <f t="shared" si="10"/>
        <v>-1794356.0288325513</v>
      </c>
      <c r="M26" s="68">
        <f t="shared" si="10"/>
        <v>-1830243.1494092026</v>
      </c>
      <c r="N26" s="68">
        <f t="shared" si="10"/>
        <v>-1866848.0123973861</v>
      </c>
      <c r="O26" s="68">
        <f t="shared" si="10"/>
        <v>-1904184.9726453342</v>
      </c>
      <c r="P26" s="68">
        <f t="shared" si="10"/>
        <v>-1942268.6720982413</v>
      </c>
      <c r="Q26" s="68">
        <f t="shared" si="10"/>
        <v>-1981114.0455402059</v>
      </c>
      <c r="R26" s="68">
        <f t="shared" si="10"/>
        <v>-2020736.3264510105</v>
      </c>
      <c r="S26" s="68">
        <f t="shared" si="10"/>
        <v>-2061151.0529800307</v>
      </c>
      <c r="T26" s="68">
        <f t="shared" si="10"/>
        <v>-2102374.0740396311</v>
      </c>
      <c r="U26" s="68">
        <f t="shared" si="10"/>
        <v>-2144421.5555204237</v>
      </c>
      <c r="V26" s="68">
        <f t="shared" si="10"/>
        <v>-2187309.9866308323</v>
      </c>
      <c r="W26" s="68">
        <f t="shared" si="10"/>
        <v>-2231056.1863634489</v>
      </c>
      <c r="X26" s="68">
        <f t="shared" si="10"/>
        <v>-2275677.3100907179</v>
      </c>
      <c r="Y26" s="68">
        <f t="shared" si="10"/>
        <v>-2321190.8562925318</v>
      </c>
      <c r="Z26" s="68">
        <f t="shared" si="10"/>
        <v>-2367614.6734183826</v>
      </c>
      <c r="AA26" s="68">
        <f t="shared" si="10"/>
        <v>-2414966.96688675</v>
      </c>
      <c r="AB26" s="68">
        <f t="shared" si="10"/>
        <v>-2463266.3062244849</v>
      </c>
      <c r="AC26" s="68">
        <f t="shared" si="10"/>
        <v>-2512531.6323489752</v>
      </c>
      <c r="AD26" s="68">
        <f t="shared" si="10"/>
        <v>-2562782.264995954</v>
      </c>
      <c r="AE26" s="68">
        <f t="shared" si="10"/>
        <v>-2614037.9102958729</v>
      </c>
      <c r="AF26" s="68">
        <f t="shared" si="10"/>
        <v>-2666318.6685017911</v>
      </c>
      <c r="AG26" s="227" t="s">
        <v>224</v>
      </c>
      <c r="AH26" s="240" t="s">
        <v>235</v>
      </c>
      <c r="AI26" s="240"/>
      <c r="AJ26" s="152" t="s">
        <v>238</v>
      </c>
      <c r="AK26" s="328">
        <v>0.434253</v>
      </c>
      <c r="AL26" s="328">
        <v>4.6897000000000001E-2</v>
      </c>
      <c r="AM26" s="3">
        <v>2666421.52</v>
      </c>
      <c r="AN26" s="3">
        <f>-AM26*0.2</f>
        <v>-533284.304</v>
      </c>
      <c r="AO26" s="3">
        <f>AM26+AN26</f>
        <v>2133137.216</v>
      </c>
      <c r="AP26" s="3">
        <f>-(AO26*AK26*$AK$24)-(AO26*AL26*$AK$24)</f>
        <v>-256589.74286959998</v>
      </c>
      <c r="AQ26" s="3">
        <v>1274027.8600000001</v>
      </c>
      <c r="AR26" s="3">
        <f>(AM26-AQ26)</f>
        <v>1392393.66</v>
      </c>
      <c r="AS26" s="3">
        <f>-AR26*0.2</f>
        <v>-278478.73200000002</v>
      </c>
      <c r="AT26" s="3">
        <f>AR26+AS26</f>
        <v>1113914.9279999998</v>
      </c>
      <c r="AU26" s="3">
        <f>-(AT26*AK26*$AL$24)-(AT26*AL26*$AL$24)</f>
        <v>-112551.63519751198</v>
      </c>
      <c r="AV26" s="3">
        <f>AO26+AP26+AU26</f>
        <v>1763995.8379328882</v>
      </c>
      <c r="AW26" s="3">
        <f>(AM26*0.8)-(AM26*$AK$24*AK26)-(AM26*$AK$24*AL26)-(AR26*$AL$24*AK26)-(AR26*$AL$24*AL26)</f>
        <v>1671710.4934161101</v>
      </c>
    </row>
    <row r="27" spans="1:49" x14ac:dyDescent="0.25">
      <c r="A27" t="s">
        <v>219</v>
      </c>
      <c r="B27" s="323">
        <f>AJ42</f>
        <v>4.708428690072472E-2</v>
      </c>
      <c r="C27" s="82">
        <f>-$B27*$B25*C$22</f>
        <v>-48234.801244675604</v>
      </c>
      <c r="D27" s="173">
        <f>-$B27*$B25*D$22</f>
        <v>-60546.350493329337</v>
      </c>
      <c r="E27" s="173">
        <f>-$B27*$B25*E$22</f>
        <v>-78172.93162541218</v>
      </c>
      <c r="F27" s="82">
        <f>-$B27*$B25*F$22</f>
        <v>-102162.63610873562</v>
      </c>
      <c r="G27" s="346">
        <f>-$B27*$B25*G$22</f>
        <v>-120145.04996969127</v>
      </c>
      <c r="H27" s="82">
        <f t="shared" ref="H27:AF27" si="11">-$B27*$B25*H$22</f>
        <v>-137988.01866671836</v>
      </c>
      <c r="I27" s="82">
        <f t="shared" si="11"/>
        <v>-156187.84673768596</v>
      </c>
      <c r="J27" s="82">
        <f t="shared" si="11"/>
        <v>-174751.67137007293</v>
      </c>
      <c r="K27" s="82">
        <f t="shared" si="11"/>
        <v>-186427.97632077054</v>
      </c>
      <c r="L27" s="82">
        <f t="shared" si="11"/>
        <v>-193770.34903539036</v>
      </c>
      <c r="M27" s="82">
        <f t="shared" si="11"/>
        <v>-197645.75601609817</v>
      </c>
      <c r="N27" s="82">
        <f t="shared" si="11"/>
        <v>-201598.6711364201</v>
      </c>
      <c r="O27" s="82">
        <f t="shared" si="11"/>
        <v>-205630.64455914852</v>
      </c>
      <c r="P27" s="82">
        <f t="shared" si="11"/>
        <v>-209743.25745033156</v>
      </c>
      <c r="Q27" s="82">
        <f t="shared" si="11"/>
        <v>-213938.12259933815</v>
      </c>
      <c r="R27" s="82">
        <f t="shared" si="11"/>
        <v>-218216.88505132496</v>
      </c>
      <c r="S27" s="82">
        <f t="shared" si="11"/>
        <v>-222581.22275235146</v>
      </c>
      <c r="T27" s="82">
        <f t="shared" si="11"/>
        <v>-227032.84720739844</v>
      </c>
      <c r="U27" s="82">
        <f t="shared" si="11"/>
        <v>-231573.5041515464</v>
      </c>
      <c r="V27" s="82">
        <f t="shared" si="11"/>
        <v>-236204.97423457738</v>
      </c>
      <c r="W27" s="82">
        <f t="shared" si="11"/>
        <v>-240929.07371926893</v>
      </c>
      <c r="X27" s="82">
        <f t="shared" si="11"/>
        <v>-245747.6551936543</v>
      </c>
      <c r="Y27" s="82">
        <f t="shared" si="11"/>
        <v>-250662.60829752736</v>
      </c>
      <c r="Z27" s="82">
        <f t="shared" si="11"/>
        <v>-255675.8604634779</v>
      </c>
      <c r="AA27" s="82">
        <f t="shared" si="11"/>
        <v>-260789.37767274745</v>
      </c>
      <c r="AB27" s="82">
        <f t="shared" si="11"/>
        <v>-266005.1652262024</v>
      </c>
      <c r="AC27" s="82">
        <f t="shared" si="11"/>
        <v>-271325.26853072649</v>
      </c>
      <c r="AD27" s="82">
        <f t="shared" si="11"/>
        <v>-276751.77390134096</v>
      </c>
      <c r="AE27" s="82">
        <f t="shared" si="11"/>
        <v>-282286.80937936774</v>
      </c>
      <c r="AF27" s="82">
        <f t="shared" si="11"/>
        <v>-287932.54556695517</v>
      </c>
      <c r="AG27" s="227" t="s">
        <v>225</v>
      </c>
      <c r="AH27" s="240" t="s">
        <v>236</v>
      </c>
      <c r="AI27" s="240"/>
      <c r="AJ27" s="152" t="s">
        <v>239</v>
      </c>
      <c r="AK27" s="328">
        <v>0.43797799999999998</v>
      </c>
      <c r="AL27" s="328">
        <v>4.7299000000000001E-2</v>
      </c>
      <c r="AM27" s="3">
        <v>2264171.83</v>
      </c>
      <c r="AN27" s="3">
        <f t="shared" ref="AN27:AN36" si="12">-AM27*0.2</f>
        <v>-452834.36600000004</v>
      </c>
      <c r="AO27" s="3">
        <f t="shared" ref="AO27:AO36" si="13">AM27+AN27</f>
        <v>1811337.4640000002</v>
      </c>
      <c r="AP27" s="3">
        <f>-(AO27*AK27*$AK$24)-(AO27*AL27*$AK$24)</f>
        <v>-219750.10262938199</v>
      </c>
      <c r="AQ27" s="3">
        <v>671797.02</v>
      </c>
      <c r="AR27" s="3">
        <f>(AM27-AQ27)</f>
        <v>1592374.81</v>
      </c>
      <c r="AS27" s="3">
        <f t="shared" ref="AS27:AS36" si="14">-AR27*0.2</f>
        <v>-318474.96200000006</v>
      </c>
      <c r="AT27" s="3">
        <f t="shared" ref="AT27:AT36" si="15">AR27+AS27</f>
        <v>1273899.848</v>
      </c>
      <c r="AU27" s="3">
        <f>-(AT27*AK27*$AL$24)-(AT27*AL27*$AL$24)</f>
        <v>-129820.80227295816</v>
      </c>
      <c r="AV27" s="3">
        <f t="shared" ref="AV27:AV36" si="16">AO27+AP27+AU27</f>
        <v>1461766.55909766</v>
      </c>
      <c r="AW27" s="3">
        <f t="shared" ref="AW27:AW36" si="17">(AM27*0.8)-(AM27*$AK$24*AK27)-(AM27*$AK$24*AL27)-(AR27*$AL$24*AK27)-(AR27*$AL$24*AL27)</f>
        <v>1374373.8328720746</v>
      </c>
    </row>
    <row r="28" spans="1:49" ht="26.25" x14ac:dyDescent="0.25">
      <c r="A28" s="322" t="s">
        <v>234</v>
      </c>
      <c r="B28" s="323"/>
      <c r="C28" s="82">
        <f>(C20-(1274027.86+671797.02+115230.61+23706.97+1659.78))*0.8</f>
        <v>2428603.04</v>
      </c>
      <c r="D28" s="173">
        <f>(D20-(1274027.86+671797.02+115230.61+23706.97+1659.78))*0.8</f>
        <v>3474518.7846400002</v>
      </c>
      <c r="E28" s="173">
        <f t="shared" ref="E28:AF28" si="18">(E20-(1274027.86+671797.02+115230.61+23706.97+1659.78))*0.8</f>
        <v>4971967.9161728006</v>
      </c>
      <c r="F28" s="82">
        <f t="shared" si="18"/>
        <v>7009990.0303362571</v>
      </c>
      <c r="G28" s="346">
        <f t="shared" si="18"/>
        <v>8537668.5867829826</v>
      </c>
      <c r="H28" s="82">
        <f t="shared" si="18"/>
        <v>10053500.714358641</v>
      </c>
      <c r="I28" s="82">
        <f t="shared" si="18"/>
        <v>11599649.484485814</v>
      </c>
      <c r="J28" s="82">
        <f t="shared" si="18"/>
        <v>13176721.230015531</v>
      </c>
      <c r="K28" s="82">
        <f t="shared" si="18"/>
        <v>14168670.410455842</v>
      </c>
      <c r="L28" s="82">
        <f t="shared" si="18"/>
        <v>14792434.57450496</v>
      </c>
      <c r="M28" s="82">
        <f t="shared" si="18"/>
        <v>15121666.021835059</v>
      </c>
      <c r="N28" s="82">
        <f t="shared" si="18"/>
        <v>15457482.098111756</v>
      </c>
      <c r="O28" s="82">
        <f t="shared" si="18"/>
        <v>15800014.495913995</v>
      </c>
      <c r="P28" s="82">
        <f t="shared" si="18"/>
        <v>16149397.541672278</v>
      </c>
      <c r="Q28" s="82">
        <f t="shared" si="18"/>
        <v>16505768.248345722</v>
      </c>
      <c r="R28" s="82">
        <f t="shared" si="18"/>
        <v>16869266.369152635</v>
      </c>
      <c r="S28" s="82">
        <f t="shared" si="18"/>
        <v>17240034.452375691</v>
      </c>
      <c r="T28" s="82">
        <f t="shared" si="18"/>
        <v>17618217.897263207</v>
      </c>
      <c r="U28" s="82">
        <f t="shared" si="18"/>
        <v>18003965.011048466</v>
      </c>
      <c r="V28" s="82">
        <f t="shared" si="18"/>
        <v>18397427.067109436</v>
      </c>
      <c r="W28" s="82">
        <f t="shared" si="18"/>
        <v>18798758.364291627</v>
      </c>
      <c r="X28" s="82">
        <f t="shared" si="18"/>
        <v>19208116.28741746</v>
      </c>
      <c r="Y28" s="82">
        <f t="shared" si="18"/>
        <v>19625661.369005807</v>
      </c>
      <c r="Z28" s="82">
        <f t="shared" si="18"/>
        <v>20051557.352225926</v>
      </c>
      <c r="AA28" s="82">
        <f t="shared" si="18"/>
        <v>20485971.255110439</v>
      </c>
      <c r="AB28" s="82">
        <f t="shared" si="18"/>
        <v>20929073.436052646</v>
      </c>
      <c r="AC28" s="82">
        <f t="shared" si="18"/>
        <v>21381037.660613704</v>
      </c>
      <c r="AD28" s="82">
        <f t="shared" si="18"/>
        <v>21842041.169665977</v>
      </c>
      <c r="AE28" s="82">
        <f t="shared" si="18"/>
        <v>22312264.748899296</v>
      </c>
      <c r="AF28" s="82">
        <f t="shared" si="18"/>
        <v>22791892.799717277</v>
      </c>
      <c r="AG28" s="227" t="s">
        <v>296</v>
      </c>
      <c r="AH28" s="246" t="s">
        <v>260</v>
      </c>
      <c r="AI28" s="246"/>
      <c r="AJ28" s="152"/>
      <c r="AK28" s="328"/>
      <c r="AL28" s="328"/>
      <c r="AM28" s="3"/>
      <c r="AN28" s="3">
        <f t="shared" si="12"/>
        <v>0</v>
      </c>
      <c r="AO28" s="3">
        <f t="shared" si="13"/>
        <v>0</v>
      </c>
      <c r="AP28" s="3">
        <f t="shared" ref="AP28:AP29" si="19">-(AO28*AK28*$AK$24)-(AO28*AL28*$AK$24)</f>
        <v>0</v>
      </c>
      <c r="AQ28" s="3"/>
      <c r="AR28" s="3">
        <f t="shared" ref="AR28:AR29" si="20">(AM28-AQ28)</f>
        <v>0</v>
      </c>
      <c r="AS28" s="3">
        <f t="shared" si="14"/>
        <v>0</v>
      </c>
      <c r="AT28" s="3">
        <f t="shared" si="15"/>
        <v>0</v>
      </c>
      <c r="AU28" s="3">
        <f t="shared" ref="AU28:AU29" si="21">-(AT28*AK28*$AL$24)-(AT28*AL28*$AL$24)</f>
        <v>0</v>
      </c>
      <c r="AV28" s="3">
        <f t="shared" si="16"/>
        <v>0</v>
      </c>
      <c r="AW28" s="3">
        <f t="shared" si="17"/>
        <v>0</v>
      </c>
    </row>
    <row r="29" spans="1:49" x14ac:dyDescent="0.25">
      <c r="A29" s="317" t="s">
        <v>221</v>
      </c>
      <c r="B29" s="255">
        <v>0.21</v>
      </c>
      <c r="C29" s="82"/>
      <c r="D29" s="173"/>
      <c r="E29" s="173"/>
      <c r="F29" s="82"/>
      <c r="G29" s="346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227"/>
      <c r="AH29" s="240"/>
      <c r="AI29" s="240"/>
      <c r="AJ29" s="152" t="s">
        <v>240</v>
      </c>
      <c r="AK29" s="328">
        <v>0.43019800000000002</v>
      </c>
      <c r="AL29" s="328">
        <v>4.6459E-2</v>
      </c>
      <c r="AM29" s="3">
        <v>0</v>
      </c>
      <c r="AN29" s="3">
        <f t="shared" si="12"/>
        <v>0</v>
      </c>
      <c r="AO29" s="3">
        <f t="shared" si="13"/>
        <v>0</v>
      </c>
      <c r="AP29" s="3">
        <f t="shared" si="19"/>
        <v>0</v>
      </c>
      <c r="AQ29" s="3">
        <v>0</v>
      </c>
      <c r="AR29" s="3">
        <f t="shared" si="20"/>
        <v>0</v>
      </c>
      <c r="AS29" s="3">
        <f t="shared" si="14"/>
        <v>0</v>
      </c>
      <c r="AT29" s="3">
        <f t="shared" si="15"/>
        <v>0</v>
      </c>
      <c r="AU29" s="3">
        <f t="shared" si="21"/>
        <v>0</v>
      </c>
      <c r="AV29" s="3">
        <f t="shared" si="16"/>
        <v>0</v>
      </c>
      <c r="AW29" s="3">
        <f t="shared" si="17"/>
        <v>0</v>
      </c>
    </row>
    <row r="30" spans="1:49" x14ac:dyDescent="0.25">
      <c r="A30" s="316" t="s">
        <v>218</v>
      </c>
      <c r="B30" s="323">
        <f>AJ41</f>
        <v>0.43601084729514705</v>
      </c>
      <c r="C30" s="82">
        <f>-$B$30*$B$29*C28</f>
        <v>-222368.42653493368</v>
      </c>
      <c r="D30" s="173">
        <f t="shared" ref="D30:AF30" si="22">-$B$30*$B$29*D28</f>
        <v>-318134.85463909613</v>
      </c>
      <c r="E30" s="173">
        <f t="shared" si="22"/>
        <v>-455244.70820950577</v>
      </c>
      <c r="F30" s="82">
        <f t="shared" si="22"/>
        <v>-641850.65545806347</v>
      </c>
      <c r="G30" s="346">
        <f t="shared" si="22"/>
        <v>-781728.38403416588</v>
      </c>
      <c r="H30" s="82">
        <f t="shared" si="22"/>
        <v>-920521.42659747414</v>
      </c>
      <c r="I30" s="82">
        <f t="shared" si="22"/>
        <v>-1062090.3300120488</v>
      </c>
      <c r="J30" s="82">
        <f t="shared" si="22"/>
        <v>-1206490.6114949151</v>
      </c>
      <c r="K30" s="82">
        <f t="shared" si="22"/>
        <v>-1297315.7380487914</v>
      </c>
      <c r="L30" s="82">
        <f t="shared" si="22"/>
        <v>-1354429.0058014665</v>
      </c>
      <c r="M30" s="82">
        <f t="shared" si="22"/>
        <v>-1384574.1870858532</v>
      </c>
      <c r="N30" s="82">
        <f t="shared" si="22"/>
        <v>-1415322.2719959274</v>
      </c>
      <c r="O30" s="82">
        <f t="shared" si="22"/>
        <v>-1446685.3186042041</v>
      </c>
      <c r="P30" s="82">
        <f t="shared" si="22"/>
        <v>-1478675.626144646</v>
      </c>
      <c r="Q30" s="82">
        <f t="shared" si="22"/>
        <v>-1511305.7398358961</v>
      </c>
      <c r="R30" s="82">
        <f t="shared" si="22"/>
        <v>-1544588.4558009715</v>
      </c>
      <c r="S30" s="82">
        <f t="shared" si="22"/>
        <v>-1578536.8260853488</v>
      </c>
      <c r="T30" s="82">
        <f t="shared" si="22"/>
        <v>-1613164.1637754135</v>
      </c>
      <c r="U30" s="82">
        <f t="shared" si="22"/>
        <v>-1648484.0482192789</v>
      </c>
      <c r="V30" s="82">
        <f t="shared" si="22"/>
        <v>-1684510.3303520221</v>
      </c>
      <c r="W30" s="82">
        <f t="shared" si="22"/>
        <v>-1721257.1381274201</v>
      </c>
      <c r="X30" s="82">
        <f t="shared" si="22"/>
        <v>-1758738.8820583262</v>
      </c>
      <c r="Y30" s="82">
        <f t="shared" si="22"/>
        <v>-1796970.2608678499</v>
      </c>
      <c r="Z30" s="82">
        <f t="shared" si="22"/>
        <v>-1835966.2672535649</v>
      </c>
      <c r="AA30" s="82">
        <f t="shared" si="22"/>
        <v>-1875742.1937669932</v>
      </c>
      <c r="AB30" s="82">
        <f t="shared" si="22"/>
        <v>-1916313.6388106905</v>
      </c>
      <c r="AC30" s="82">
        <f t="shared" si="22"/>
        <v>-1957696.5127552622</v>
      </c>
      <c r="AD30" s="82">
        <f t="shared" si="22"/>
        <v>-1999907.044178725</v>
      </c>
      <c r="AE30" s="82">
        <f t="shared" si="22"/>
        <v>-2042961.7862306568</v>
      </c>
      <c r="AF30" s="82">
        <f t="shared" si="22"/>
        <v>-2086877.6231236272</v>
      </c>
      <c r="AG30" s="227" t="s">
        <v>226</v>
      </c>
      <c r="AH30" s="240" t="s">
        <v>298</v>
      </c>
      <c r="AI30" s="240"/>
      <c r="AJ30" s="152" t="s">
        <v>241</v>
      </c>
      <c r="AK30" s="328">
        <v>0.43019800000000002</v>
      </c>
      <c r="AL30" s="328">
        <v>4.6459E-2</v>
      </c>
      <c r="AM30" s="3">
        <v>1916.01</v>
      </c>
      <c r="AN30" s="3">
        <f t="shared" si="12"/>
        <v>-383.202</v>
      </c>
      <c r="AO30" s="3">
        <f t="shared" si="13"/>
        <v>1532.808</v>
      </c>
      <c r="AP30" s="3">
        <f>-(AO30*AK30*$AK$24)-(AO30*AL30*$AK$24)</f>
        <v>-182.655915714</v>
      </c>
      <c r="AQ30" s="3">
        <v>1659.78</v>
      </c>
      <c r="AR30" s="3">
        <f>(AM30-AQ30)</f>
        <v>256.23</v>
      </c>
      <c r="AS30" s="3">
        <f t="shared" si="14"/>
        <v>-51.246000000000009</v>
      </c>
      <c r="AT30" s="3">
        <f t="shared" si="15"/>
        <v>204.98400000000001</v>
      </c>
      <c r="AU30" s="3">
        <f>-(AT30*AK30*$AL$24)-(AT30*AL30*$AL$24)</f>
        <v>-20.518482282480001</v>
      </c>
      <c r="AV30" s="3">
        <f t="shared" si="16"/>
        <v>1329.6336020035201</v>
      </c>
      <c r="AW30" s="3">
        <f t="shared" si="17"/>
        <v>1278.8400025043998</v>
      </c>
    </row>
    <row r="31" spans="1:49" x14ac:dyDescent="0.25">
      <c r="A31" s="316" t="s">
        <v>219</v>
      </c>
      <c r="B31" s="323">
        <f>AJ42</f>
        <v>4.708428690072472E-2</v>
      </c>
      <c r="C31" s="346">
        <f>-$B$31*$B$29*C28</f>
        <v>-24013.298883699768</v>
      </c>
      <c r="D31" s="173">
        <f t="shared" ref="D31:AF31" si="23">-$B$31*$B$29*D28</f>
        <v>-34355.000252568898</v>
      </c>
      <c r="E31" s="173">
        <f t="shared" si="23"/>
        <v>-49161.328403518499</v>
      </c>
      <c r="F31" s="173">
        <f t="shared" si="23"/>
        <v>-69312.680169510189</v>
      </c>
      <c r="G31" s="346">
        <f t="shared" si="23"/>
        <v>-84417.907812712932</v>
      </c>
      <c r="H31" s="173">
        <f t="shared" si="23"/>
        <v>-99406.001518215664</v>
      </c>
      <c r="I31" s="173">
        <f t="shared" si="23"/>
        <v>-114693.85709782847</v>
      </c>
      <c r="J31" s="173">
        <f t="shared" si="23"/>
        <v>-130287.46978903354</v>
      </c>
      <c r="K31" s="173">
        <f t="shared" si="23"/>
        <v>-140095.5659476195</v>
      </c>
      <c r="L31" s="173">
        <f t="shared" si="23"/>
        <v>-146263.1590279002</v>
      </c>
      <c r="M31" s="173">
        <f t="shared" si="23"/>
        <v>-149518.50089169474</v>
      </c>
      <c r="N31" s="173">
        <f t="shared" si="23"/>
        <v>-152838.94959276516</v>
      </c>
      <c r="O31" s="173">
        <f t="shared" si="23"/>
        <v>-156225.80726785705</v>
      </c>
      <c r="P31" s="173">
        <f t="shared" si="23"/>
        <v>-159680.40209645077</v>
      </c>
      <c r="Q31" s="173">
        <f t="shared" si="23"/>
        <v>-163204.08882161631</v>
      </c>
      <c r="R31" s="173">
        <f t="shared" si="23"/>
        <v>-166798.24928128519</v>
      </c>
      <c r="S31" s="173">
        <f t="shared" si="23"/>
        <v>-170464.29295014747</v>
      </c>
      <c r="T31" s="173">
        <f t="shared" si="23"/>
        <v>-174203.65749238699</v>
      </c>
      <c r="U31" s="173">
        <f t="shared" si="23"/>
        <v>-178017.80932547126</v>
      </c>
      <c r="V31" s="173">
        <f t="shared" si="23"/>
        <v>-181908.24419521724</v>
      </c>
      <c r="W31" s="173">
        <f t="shared" si="23"/>
        <v>-185876.48776235816</v>
      </c>
      <c r="X31" s="173">
        <f t="shared" si="23"/>
        <v>-189924.09620084189</v>
      </c>
      <c r="Y31" s="173">
        <f t="shared" si="23"/>
        <v>-194052.65680809526</v>
      </c>
      <c r="Z31" s="173">
        <f t="shared" si="23"/>
        <v>-198263.78862749375</v>
      </c>
      <c r="AA31" s="173">
        <f t="shared" si="23"/>
        <v>-202559.14308328013</v>
      </c>
      <c r="AB31" s="173">
        <f t="shared" si="23"/>
        <v>-206940.40462818227</v>
      </c>
      <c r="AC31" s="173">
        <f t="shared" si="23"/>
        <v>-211409.2914039825</v>
      </c>
      <c r="AD31" s="173">
        <f t="shared" si="23"/>
        <v>-215967.5559152987</v>
      </c>
      <c r="AE31" s="173">
        <f t="shared" si="23"/>
        <v>-220616.98571684121</v>
      </c>
      <c r="AF31" s="173">
        <f t="shared" si="23"/>
        <v>-225359.40411441456</v>
      </c>
      <c r="AG31" s="227" t="s">
        <v>227</v>
      </c>
      <c r="AH31" s="240" t="s">
        <v>299</v>
      </c>
      <c r="AI31" s="240"/>
      <c r="AJ31" s="152" t="s">
        <v>242</v>
      </c>
      <c r="AK31" s="328">
        <v>0.42786000000000002</v>
      </c>
      <c r="AL31" s="328">
        <v>4.6205999999999997E-2</v>
      </c>
      <c r="AM31" s="3">
        <v>12727.39</v>
      </c>
      <c r="AN31" s="3">
        <f t="shared" si="12"/>
        <v>-2545.4780000000001</v>
      </c>
      <c r="AO31" s="3">
        <f t="shared" si="13"/>
        <v>10181.912</v>
      </c>
      <c r="AP31" s="3">
        <f>-(AO31*AK31*$AK$24)-(AO31*AL31*$AK$24)</f>
        <v>-1206.7245735480001</v>
      </c>
      <c r="AQ31" s="3">
        <v>23706.97</v>
      </c>
      <c r="AR31" s="3">
        <f>(AM31-AQ31)</f>
        <v>-10979.580000000002</v>
      </c>
      <c r="AS31" s="3">
        <f t="shared" si="14"/>
        <v>2195.9160000000006</v>
      </c>
      <c r="AT31" s="3">
        <f t="shared" si="15"/>
        <v>-8783.6640000000007</v>
      </c>
      <c r="AU31" s="3">
        <f>-(AT31*AK31*$AL$24)-(AT31*AL31*$AL$24)</f>
        <v>874.44765614304015</v>
      </c>
      <c r="AV31" s="3">
        <f t="shared" si="16"/>
        <v>9849.6350825950412</v>
      </c>
      <c r="AW31" s="3">
        <f t="shared" si="17"/>
        <v>9766.565853243801</v>
      </c>
    </row>
    <row r="32" spans="1:49" ht="26.25" x14ac:dyDescent="0.25">
      <c r="A32" s="322" t="s">
        <v>292</v>
      </c>
      <c r="B32" s="323"/>
      <c r="C32" s="82">
        <v>0</v>
      </c>
      <c r="D32" s="173">
        <v>0</v>
      </c>
      <c r="E32" s="173">
        <v>0</v>
      </c>
      <c r="F32" s="82">
        <v>0</v>
      </c>
      <c r="G32" s="346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f>O22-$N$22</f>
        <v>342532.39780223742</v>
      </c>
      <c r="P32" s="82">
        <f t="shared" ref="P32:AF32" si="24">P22-$N$22</f>
        <v>691915.44356052205</v>
      </c>
      <c r="Q32" s="82">
        <f t="shared" si="24"/>
        <v>1048286.1502339654</v>
      </c>
      <c r="R32" s="82">
        <f t="shared" si="24"/>
        <v>1411784.2710408829</v>
      </c>
      <c r="S32" s="82">
        <f t="shared" si="24"/>
        <v>1782552.3542639352</v>
      </c>
      <c r="T32" s="82">
        <f t="shared" si="24"/>
        <v>2160735.7991514467</v>
      </c>
      <c r="U32" s="82">
        <f t="shared" si="24"/>
        <v>2546482.9129367098</v>
      </c>
      <c r="V32" s="82">
        <f t="shared" si="24"/>
        <v>2939944.9689976834</v>
      </c>
      <c r="W32" s="82">
        <f t="shared" si="24"/>
        <v>3341276.2661798708</v>
      </c>
      <c r="X32" s="82">
        <f t="shared" si="24"/>
        <v>3750634.1893057041</v>
      </c>
      <c r="Y32" s="82">
        <f t="shared" si="24"/>
        <v>4168179.2708940506</v>
      </c>
      <c r="Z32" s="82">
        <f t="shared" si="24"/>
        <v>4594075.2541141659</v>
      </c>
      <c r="AA32" s="82">
        <f t="shared" si="24"/>
        <v>5028489.1569986828</v>
      </c>
      <c r="AB32" s="82">
        <f t="shared" si="24"/>
        <v>5471591.3379408903</v>
      </c>
      <c r="AC32" s="82">
        <f t="shared" si="24"/>
        <v>5923555.5625019483</v>
      </c>
      <c r="AD32" s="82">
        <f t="shared" si="24"/>
        <v>6384559.0715542175</v>
      </c>
      <c r="AE32" s="82">
        <f t="shared" si="24"/>
        <v>6854782.6507875361</v>
      </c>
      <c r="AF32" s="82">
        <f t="shared" si="24"/>
        <v>7334410.7016055249</v>
      </c>
      <c r="AG32" s="227" t="s">
        <v>297</v>
      </c>
      <c r="AH32" s="246" t="s">
        <v>295</v>
      </c>
      <c r="AI32" s="246"/>
      <c r="AJ32" s="152"/>
      <c r="AK32" s="328"/>
      <c r="AL32" s="328"/>
      <c r="AM32" s="3"/>
      <c r="AN32" s="3">
        <f t="shared" si="12"/>
        <v>0</v>
      </c>
      <c r="AO32" s="3">
        <f t="shared" si="13"/>
        <v>0</v>
      </c>
      <c r="AP32" s="3">
        <f t="shared" ref="AP32:AP33" si="25">-(AO32*AK32*$AK$24)-(AO32*AL32*$AK$24)</f>
        <v>0</v>
      </c>
      <c r="AQ32" s="3"/>
      <c r="AR32" s="3">
        <f t="shared" ref="AR32:AR33" si="26">(AM32-AQ32)</f>
        <v>0</v>
      </c>
      <c r="AS32" s="3">
        <f t="shared" si="14"/>
        <v>0</v>
      </c>
      <c r="AT32" s="3">
        <f t="shared" si="15"/>
        <v>0</v>
      </c>
      <c r="AU32" s="3">
        <f t="shared" ref="AU32:AU33" si="27">-(AT32*AK32*$AL$24)-(AT32*AL32*$AL$24)</f>
        <v>0</v>
      </c>
      <c r="AV32" s="3">
        <f t="shared" si="16"/>
        <v>0</v>
      </c>
      <c r="AW32" s="3">
        <f t="shared" si="17"/>
        <v>0</v>
      </c>
    </row>
    <row r="33" spans="1:49" x14ac:dyDescent="0.25">
      <c r="A33" s="317" t="s">
        <v>282</v>
      </c>
      <c r="B33" s="255">
        <v>0.14000000000000001</v>
      </c>
      <c r="C33" s="82"/>
      <c r="D33" s="173"/>
      <c r="E33" s="173"/>
      <c r="F33" s="82"/>
      <c r="G33" s="346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227"/>
      <c r="AH33" s="240"/>
      <c r="AI33" s="240"/>
      <c r="AJ33" s="152" t="s">
        <v>240</v>
      </c>
      <c r="AK33" s="328">
        <v>0.43019800000000002</v>
      </c>
      <c r="AL33" s="328">
        <v>4.6459E-2</v>
      </c>
      <c r="AM33" s="3">
        <v>0</v>
      </c>
      <c r="AN33" s="3">
        <f t="shared" si="12"/>
        <v>0</v>
      </c>
      <c r="AO33" s="3">
        <f t="shared" si="13"/>
        <v>0</v>
      </c>
      <c r="AP33" s="3">
        <f t="shared" si="25"/>
        <v>0</v>
      </c>
      <c r="AQ33" s="3">
        <v>0</v>
      </c>
      <c r="AR33" s="3">
        <f t="shared" si="26"/>
        <v>0</v>
      </c>
      <c r="AS33" s="3">
        <f t="shared" si="14"/>
        <v>0</v>
      </c>
      <c r="AT33" s="3">
        <f t="shared" si="15"/>
        <v>0</v>
      </c>
      <c r="AU33" s="3">
        <f t="shared" si="27"/>
        <v>0</v>
      </c>
      <c r="AV33" s="3">
        <f t="shared" si="16"/>
        <v>0</v>
      </c>
      <c r="AW33" s="3">
        <f t="shared" si="17"/>
        <v>0</v>
      </c>
    </row>
    <row r="34" spans="1:49" x14ac:dyDescent="0.25">
      <c r="A34" s="316" t="s">
        <v>218</v>
      </c>
      <c r="B34" s="323">
        <f>B30</f>
        <v>0.43601084729514705</v>
      </c>
      <c r="C34" s="82">
        <f>-$B$34*$B$33*C32</f>
        <v>0</v>
      </c>
      <c r="D34" s="173">
        <f>-$B$34*$B$33*D32</f>
        <v>0</v>
      </c>
      <c r="E34" s="173">
        <f t="shared" ref="E34:AF34" si="28">-$B$34*$B$33*E32</f>
        <v>0</v>
      </c>
      <c r="F34" s="82">
        <f t="shared" si="28"/>
        <v>0</v>
      </c>
      <c r="G34" s="346">
        <f t="shared" si="28"/>
        <v>0</v>
      </c>
      <c r="H34" s="82">
        <f t="shared" si="28"/>
        <v>0</v>
      </c>
      <c r="I34" s="82">
        <f t="shared" si="28"/>
        <v>0</v>
      </c>
      <c r="J34" s="82">
        <f t="shared" si="28"/>
        <v>0</v>
      </c>
      <c r="K34" s="82">
        <f t="shared" si="28"/>
        <v>0</v>
      </c>
      <c r="L34" s="82">
        <f t="shared" si="28"/>
        <v>0</v>
      </c>
      <c r="M34" s="82">
        <f t="shared" si="28"/>
        <v>0</v>
      </c>
      <c r="N34" s="82">
        <f>-$B$34*$B$33*N32</f>
        <v>0</v>
      </c>
      <c r="O34" s="82">
        <f t="shared" si="28"/>
        <v>-20908.697738850868</v>
      </c>
      <c r="P34" s="82">
        <f t="shared" si="28"/>
        <v>-42235.569432478907</v>
      </c>
      <c r="Q34" s="82">
        <f t="shared" si="28"/>
        <v>-63988.978559979078</v>
      </c>
      <c r="R34" s="82">
        <f t="shared" si="28"/>
        <v>-86177.455870029575</v>
      </c>
      <c r="S34" s="82">
        <f t="shared" si="28"/>
        <v>-108809.70272628087</v>
      </c>
      <c r="T34" s="82">
        <f t="shared" si="28"/>
        <v>-131894.59451965708</v>
      </c>
      <c r="U34" s="82">
        <f t="shared" si="28"/>
        <v>-155441.18414890088</v>
      </c>
      <c r="V34" s="82">
        <f t="shared" si="28"/>
        <v>-179458.70557072989</v>
      </c>
      <c r="W34" s="82">
        <f t="shared" si="28"/>
        <v>-203956.57742099513</v>
      </c>
      <c r="X34" s="82">
        <f t="shared" si="28"/>
        <v>-228944.4067082658</v>
      </c>
      <c r="Y34" s="82">
        <f t="shared" si="28"/>
        <v>-254431.99258128169</v>
      </c>
      <c r="Z34" s="82">
        <f t="shared" si="28"/>
        <v>-280429.33017175802</v>
      </c>
      <c r="AA34" s="82">
        <f t="shared" si="28"/>
        <v>-306946.61451404379</v>
      </c>
      <c r="AB34" s="82">
        <f t="shared" si="28"/>
        <v>-333994.24454317533</v>
      </c>
      <c r="AC34" s="82">
        <f t="shared" si="28"/>
        <v>-361582.8271728899</v>
      </c>
      <c r="AD34" s="82">
        <f t="shared" si="28"/>
        <v>-389723.18145519809</v>
      </c>
      <c r="AE34" s="82">
        <f t="shared" si="28"/>
        <v>-418426.34282315272</v>
      </c>
      <c r="AF34" s="82">
        <f t="shared" si="28"/>
        <v>-447703.56741846667</v>
      </c>
      <c r="AG34" s="227" t="s">
        <v>284</v>
      </c>
      <c r="AH34" s="240" t="s">
        <v>300</v>
      </c>
      <c r="AI34" s="240"/>
      <c r="AJ34" s="152" t="s">
        <v>241</v>
      </c>
      <c r="AK34" s="328">
        <v>0.43019800000000002</v>
      </c>
      <c r="AL34" s="328">
        <v>4.6459E-2</v>
      </c>
      <c r="AM34" s="3">
        <v>1916.01</v>
      </c>
      <c r="AN34" s="3">
        <f t="shared" si="12"/>
        <v>-383.202</v>
      </c>
      <c r="AO34" s="3">
        <f t="shared" si="13"/>
        <v>1532.808</v>
      </c>
      <c r="AP34" s="3">
        <f>-(AO34*AK34*$AK$24)-(AO34*AL34*$AK$24)</f>
        <v>-182.655915714</v>
      </c>
      <c r="AQ34" s="3">
        <v>1659.78</v>
      </c>
      <c r="AR34" s="3">
        <f>(AM34-AQ34)</f>
        <v>256.23</v>
      </c>
      <c r="AS34" s="3">
        <f t="shared" si="14"/>
        <v>-51.246000000000009</v>
      </c>
      <c r="AT34" s="3">
        <f t="shared" si="15"/>
        <v>204.98400000000001</v>
      </c>
      <c r="AU34" s="3">
        <f>-(AT34*AK34*$AL$24)-(AT34*AL34*$AL$24)</f>
        <v>-20.518482282480001</v>
      </c>
      <c r="AV34" s="3">
        <f t="shared" si="16"/>
        <v>1329.6336020035201</v>
      </c>
      <c r="AW34" s="3">
        <f t="shared" si="17"/>
        <v>1278.8400025043998</v>
      </c>
    </row>
    <row r="35" spans="1:49" x14ac:dyDescent="0.25">
      <c r="A35" s="316" t="s">
        <v>219</v>
      </c>
      <c r="B35" s="324">
        <f>B31</f>
        <v>4.708428690072472E-2</v>
      </c>
      <c r="C35" s="146">
        <f>-$B$35*$B$33*C32</f>
        <v>0</v>
      </c>
      <c r="D35" s="146">
        <f>-$B$35*$B$33*D32</f>
        <v>0</v>
      </c>
      <c r="E35" s="173">
        <f t="shared" ref="E35:AF35" si="29">-$B$35*$B$33*E32</f>
        <v>0</v>
      </c>
      <c r="F35" s="146">
        <f t="shared" si="29"/>
        <v>0</v>
      </c>
      <c r="G35" s="360">
        <f t="shared" si="29"/>
        <v>0</v>
      </c>
      <c r="H35" s="146">
        <f t="shared" si="29"/>
        <v>0</v>
      </c>
      <c r="I35" s="146">
        <f t="shared" si="29"/>
        <v>0</v>
      </c>
      <c r="J35" s="146">
        <f t="shared" si="29"/>
        <v>0</v>
      </c>
      <c r="K35" s="146">
        <f t="shared" si="29"/>
        <v>0</v>
      </c>
      <c r="L35" s="146">
        <f t="shared" si="29"/>
        <v>0</v>
      </c>
      <c r="M35" s="146">
        <f t="shared" si="29"/>
        <v>0</v>
      </c>
      <c r="N35" s="146">
        <f t="shared" si="29"/>
        <v>0</v>
      </c>
      <c r="O35" s="146">
        <f t="shared" si="29"/>
        <v>-2257.9051167279204</v>
      </c>
      <c r="P35" s="146">
        <f t="shared" si="29"/>
        <v>-4560.9683357904159</v>
      </c>
      <c r="Q35" s="146">
        <f t="shared" si="29"/>
        <v>-6910.0928192341144</v>
      </c>
      <c r="R35" s="146">
        <f t="shared" si="29"/>
        <v>-9306.1997923467225</v>
      </c>
      <c r="S35" s="146">
        <f t="shared" si="29"/>
        <v>-11750.22890492156</v>
      </c>
      <c r="T35" s="146">
        <f t="shared" si="29"/>
        <v>-14243.138599747881</v>
      </c>
      <c r="U35" s="146">
        <f t="shared" si="29"/>
        <v>-16785.906488470737</v>
      </c>
      <c r="V35" s="146">
        <f t="shared" si="29"/>
        <v>-19379.529734968084</v>
      </c>
      <c r="W35" s="146">
        <f t="shared" si="29"/>
        <v>-22025.025446395342</v>
      </c>
      <c r="X35" s="146">
        <f t="shared" si="29"/>
        <v>-24723.43107205116</v>
      </c>
      <c r="Y35" s="146">
        <f t="shared" si="29"/>
        <v>-27475.804810220074</v>
      </c>
      <c r="Z35" s="146">
        <f t="shared" si="29"/>
        <v>-30283.226023152372</v>
      </c>
      <c r="AA35" s="146">
        <f t="shared" si="29"/>
        <v>-33146.795660343319</v>
      </c>
      <c r="AB35" s="146">
        <f t="shared" si="29"/>
        <v>-36067.636690278079</v>
      </c>
      <c r="AC35" s="146">
        <f t="shared" si="29"/>
        <v>-39046.894540811583</v>
      </c>
      <c r="AD35" s="146">
        <f t="shared" si="29"/>
        <v>-42085.737548355683</v>
      </c>
      <c r="AE35" s="146">
        <f t="shared" si="29"/>
        <v>-45185.357416050698</v>
      </c>
      <c r="AF35" s="146">
        <f t="shared" si="29"/>
        <v>-48346.969681099639</v>
      </c>
      <c r="AG35" s="227" t="s">
        <v>285</v>
      </c>
      <c r="AH35" s="240" t="s">
        <v>301</v>
      </c>
      <c r="AI35" s="240"/>
      <c r="AJ35" s="152" t="s">
        <v>242</v>
      </c>
      <c r="AK35" s="328">
        <v>0.42786000000000002</v>
      </c>
      <c r="AL35" s="328">
        <v>4.6205999999999997E-2</v>
      </c>
      <c r="AM35" s="3">
        <v>12727.39</v>
      </c>
      <c r="AN35" s="3">
        <f t="shared" si="12"/>
        <v>-2545.4780000000001</v>
      </c>
      <c r="AO35" s="3">
        <f t="shared" si="13"/>
        <v>10181.912</v>
      </c>
      <c r="AP35" s="3">
        <f>-(AO35*AK35*$AK$24)-(AO35*AL35*$AK$24)</f>
        <v>-1206.7245735480001</v>
      </c>
      <c r="AQ35" s="3">
        <v>23706.97</v>
      </c>
      <c r="AR35" s="3">
        <f>(AM35-AQ35)</f>
        <v>-10979.580000000002</v>
      </c>
      <c r="AS35" s="3">
        <f t="shared" si="14"/>
        <v>2195.9160000000006</v>
      </c>
      <c r="AT35" s="3">
        <f t="shared" si="15"/>
        <v>-8783.6640000000007</v>
      </c>
      <c r="AU35" s="3">
        <f>-(AT35*AK35*$AL$24)-(AT35*AL35*$AL$24)</f>
        <v>874.44765614304015</v>
      </c>
      <c r="AV35" s="3">
        <f t="shared" si="16"/>
        <v>9849.6350825950412</v>
      </c>
      <c r="AW35" s="3">
        <f t="shared" si="17"/>
        <v>9766.565853243801</v>
      </c>
    </row>
    <row r="36" spans="1:49" x14ac:dyDescent="0.25">
      <c r="A36" s="1" t="s">
        <v>223</v>
      </c>
      <c r="B36" s="152"/>
      <c r="C36" s="114">
        <f>C22+SUM(C26:C27)+SUM(C30:C31)+SUM(C34:C35)</f>
        <v>3356459.4422976309</v>
      </c>
      <c r="D36" s="145">
        <f>D22+SUM(D26:D27)+SUM(D30:D31)+SUM(D34:D35)</f>
        <v>4169947.8557109907</v>
      </c>
      <c r="E36" s="71">
        <f>E22+SUM(E26:E27)+SUM(E30:E31)+SUM(E34:E35)</f>
        <v>5334628.208235099</v>
      </c>
      <c r="F36" s="111">
        <f t="shared" ref="F36:AF36" si="30">F22+SUM(F26:F27)+SUM(F30:F31)+SUM(F34:F35)</f>
        <v>6919753.3817000184</v>
      </c>
      <c r="G36" s="361">
        <f t="shared" si="30"/>
        <v>8107945.4626187421</v>
      </c>
      <c r="H36" s="111">
        <f t="shared" si="30"/>
        <v>9286923.6726531964</v>
      </c>
      <c r="I36" s="111">
        <f t="shared" si="30"/>
        <v>10489481.446888339</v>
      </c>
      <c r="J36" s="111">
        <f t="shared" si="30"/>
        <v>11716090.376608185</v>
      </c>
      <c r="K36" s="111">
        <f t="shared" si="30"/>
        <v>12487604.878725961</v>
      </c>
      <c r="L36" s="111">
        <f t="shared" si="30"/>
        <v>12972753.823807649</v>
      </c>
      <c r="M36" s="111">
        <f t="shared" si="30"/>
        <v>13228822.220432209</v>
      </c>
      <c r="N36" s="111">
        <f t="shared" si="30"/>
        <v>13490011.984989256</v>
      </c>
      <c r="O36" s="111">
        <f t="shared" si="30"/>
        <v>13733258.941981871</v>
      </c>
      <c r="P36" s="111">
        <f t="shared" si="30"/>
        <v>13981370.83811434</v>
      </c>
      <c r="Q36" s="111">
        <f t="shared" si="30"/>
        <v>14234444.972169453</v>
      </c>
      <c r="R36" s="111">
        <f t="shared" si="30"/>
        <v>14492580.58890567</v>
      </c>
      <c r="S36" s="111">
        <f t="shared" si="30"/>
        <v>14755878.917976608</v>
      </c>
      <c r="T36" s="111">
        <f t="shared" si="30"/>
        <v>15024443.213628968</v>
      </c>
      <c r="U36" s="111">
        <f t="shared" si="30"/>
        <v>15298378.795194373</v>
      </c>
      <c r="V36" s="111">
        <f t="shared" si="30"/>
        <v>15577793.088391094</v>
      </c>
      <c r="W36" s="111">
        <f t="shared" si="30"/>
        <v>15862795.667451739</v>
      </c>
      <c r="X36" s="111">
        <f t="shared" si="30"/>
        <v>16153498.2980936</v>
      </c>
      <c r="Y36" s="111">
        <f t="shared" si="30"/>
        <v>16450014.9813483</v>
      </c>
      <c r="Z36" s="111">
        <f t="shared" si="30"/>
        <v>16752461.998268092</v>
      </c>
      <c r="AA36" s="111">
        <f t="shared" si="30"/>
        <v>17060957.955526277</v>
      </c>
      <c r="AB36" s="111">
        <f t="shared" si="30"/>
        <v>17375623.831929632</v>
      </c>
      <c r="AC36" s="111">
        <f t="shared" si="30"/>
        <v>17696583.025861051</v>
      </c>
      <c r="AD36" s="111">
        <f t="shared" si="30"/>
        <v>18023961.403671101</v>
      </c>
      <c r="AE36" s="111">
        <f t="shared" si="30"/>
        <v>18357887.349037349</v>
      </c>
      <c r="AF36" s="111">
        <f t="shared" si="30"/>
        <v>18698491.813310925</v>
      </c>
      <c r="AG36" s="227" t="s">
        <v>182</v>
      </c>
      <c r="AH36" s="240" t="s">
        <v>286</v>
      </c>
      <c r="AI36" s="240"/>
      <c r="AJ36" s="152" t="s">
        <v>243</v>
      </c>
      <c r="AK36" s="328">
        <v>0.43797799999999998</v>
      </c>
      <c r="AL36" s="328">
        <v>4.7299000000000001E-2</v>
      </c>
      <c r="AM36" s="3">
        <v>176939.29</v>
      </c>
      <c r="AN36" s="3">
        <f t="shared" si="12"/>
        <v>-35387.858</v>
      </c>
      <c r="AO36" s="3">
        <f t="shared" si="13"/>
        <v>141551.432</v>
      </c>
      <c r="AP36" s="3">
        <f>-(AO36*AK36*$AK$24)-(AO36*AL36*$AK$24)</f>
        <v>-17172.913566666</v>
      </c>
      <c r="AQ36" s="3">
        <v>115230.61</v>
      </c>
      <c r="AR36" s="3">
        <f>(AM36-AQ36)</f>
        <v>61708.680000000008</v>
      </c>
      <c r="AS36" s="3">
        <f t="shared" si="14"/>
        <v>-12341.736000000003</v>
      </c>
      <c r="AT36" s="3">
        <f t="shared" si="15"/>
        <v>49366.944000000003</v>
      </c>
      <c r="AU36" s="3">
        <f>-(AT36*AK36*$AL$24)-(AT36*AL36*$AL$24)</f>
        <v>-5030.8949215324792</v>
      </c>
      <c r="AV36" s="3">
        <f t="shared" si="16"/>
        <v>119347.62351180152</v>
      </c>
      <c r="AW36" s="3">
        <f t="shared" si="17"/>
        <v>113796.67138975189</v>
      </c>
    </row>
    <row r="37" spans="1:49" ht="8.1" customHeight="1" x14ac:dyDescent="0.25">
      <c r="A37" s="1"/>
      <c r="B37" s="152"/>
      <c r="C37" s="114"/>
      <c r="D37" s="145"/>
      <c r="E37" s="134"/>
      <c r="F37" s="111"/>
      <c r="G37" s="36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227"/>
      <c r="AH37" s="238"/>
      <c r="AI37" s="238"/>
      <c r="AJ37" s="152"/>
    </row>
    <row r="38" spans="1:49" x14ac:dyDescent="0.25">
      <c r="A38" s="193" t="s">
        <v>167</v>
      </c>
      <c r="B38" s="194"/>
      <c r="C38" s="195"/>
      <c r="D38" s="300"/>
      <c r="E38" s="300"/>
      <c r="F38" s="195"/>
      <c r="G38" s="362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227"/>
      <c r="AH38" s="238"/>
      <c r="AI38" s="238"/>
      <c r="AJ38" s="152"/>
      <c r="AN38" s="8">
        <f>SUM(AN26:AN36)</f>
        <v>-1027363.8880000002</v>
      </c>
      <c r="AO38" s="8">
        <f>SUM(AO26:AO36)</f>
        <v>4109455.5520000006</v>
      </c>
      <c r="AP38" s="8">
        <f>SUM(AP26:AP36)</f>
        <v>-496291.52004417201</v>
      </c>
      <c r="AR38" s="8">
        <f t="shared" ref="AR38:AW38" si="31">SUM(AR26:AR36)</f>
        <v>3025030.4499999997</v>
      </c>
      <c r="AS38" s="8">
        <f t="shared" si="31"/>
        <v>-605006.09000000032</v>
      </c>
      <c r="AT38" s="8">
        <f t="shared" si="31"/>
        <v>2420024.3600000003</v>
      </c>
      <c r="AU38" s="8">
        <f t="shared" si="31"/>
        <v>-245695.47404428147</v>
      </c>
      <c r="AV38" s="8">
        <f t="shared" si="31"/>
        <v>3367468.5579115469</v>
      </c>
      <c r="AW38" s="8">
        <f t="shared" si="31"/>
        <v>3181971.8093894324</v>
      </c>
    </row>
    <row r="39" spans="1:49" ht="15" customHeight="1" x14ac:dyDescent="0.25">
      <c r="A39" s="179" t="s">
        <v>157</v>
      </c>
      <c r="B39" s="180">
        <v>0.25</v>
      </c>
      <c r="C39" s="181">
        <f>$B$39*C$36</f>
        <v>839114.86057440774</v>
      </c>
      <c r="D39" s="181">
        <f t="shared" ref="D39:L39" si="32">$B$39*D$36</f>
        <v>1042486.9639277477</v>
      </c>
      <c r="E39" s="181">
        <f t="shared" si="32"/>
        <v>1333657.0520587747</v>
      </c>
      <c r="F39" s="181">
        <f t="shared" si="32"/>
        <v>1729938.3454250046</v>
      </c>
      <c r="G39" s="363">
        <f t="shared" si="32"/>
        <v>2026986.3656546855</v>
      </c>
      <c r="H39" s="181">
        <f t="shared" si="32"/>
        <v>2321730.9181632991</v>
      </c>
      <c r="I39" s="181">
        <f t="shared" si="32"/>
        <v>2622370.3617220847</v>
      </c>
      <c r="J39" s="181">
        <f t="shared" si="32"/>
        <v>2929022.5941520464</v>
      </c>
      <c r="K39" s="181">
        <f t="shared" si="32"/>
        <v>3121901.2196814902</v>
      </c>
      <c r="L39" s="181">
        <f t="shared" si="32"/>
        <v>3243188.4559519123</v>
      </c>
      <c r="M39" s="181">
        <f>$B$39*M$36</f>
        <v>3307205.5551080522</v>
      </c>
      <c r="N39" s="181">
        <f t="shared" ref="N39:AF39" si="33">$B$39*N$36</f>
        <v>3372502.9962473139</v>
      </c>
      <c r="O39" s="181">
        <f t="shared" si="33"/>
        <v>3433314.7354954677</v>
      </c>
      <c r="P39" s="181">
        <f t="shared" si="33"/>
        <v>3495342.709528585</v>
      </c>
      <c r="Q39" s="181">
        <f t="shared" si="33"/>
        <v>3558611.2430423633</v>
      </c>
      <c r="R39" s="181">
        <f t="shared" si="33"/>
        <v>3623145.1472264174</v>
      </c>
      <c r="S39" s="181">
        <f t="shared" si="33"/>
        <v>3688969.7294941521</v>
      </c>
      <c r="T39" s="181">
        <f t="shared" si="33"/>
        <v>3756110.8034072421</v>
      </c>
      <c r="U39" s="181">
        <f t="shared" si="33"/>
        <v>3824594.6987985931</v>
      </c>
      <c r="V39" s="181">
        <f t="shared" si="33"/>
        <v>3894448.2720977734</v>
      </c>
      <c r="W39" s="181">
        <f t="shared" si="33"/>
        <v>3965698.9168629348</v>
      </c>
      <c r="X39" s="181">
        <f t="shared" si="33"/>
        <v>4038374.5745234</v>
      </c>
      <c r="Y39" s="181">
        <f t="shared" si="33"/>
        <v>4112503.7453370751</v>
      </c>
      <c r="Z39" s="181">
        <f t="shared" si="33"/>
        <v>4188115.499567023</v>
      </c>
      <c r="AA39" s="181">
        <f t="shared" si="33"/>
        <v>4265239.4888815694</v>
      </c>
      <c r="AB39" s="181">
        <f t="shared" si="33"/>
        <v>4343905.9579824079</v>
      </c>
      <c r="AC39" s="181">
        <f t="shared" si="33"/>
        <v>4424145.7564652627</v>
      </c>
      <c r="AD39" s="181">
        <f t="shared" si="33"/>
        <v>4505990.3509177752</v>
      </c>
      <c r="AE39" s="181">
        <f t="shared" si="33"/>
        <v>4589471.8372593373</v>
      </c>
      <c r="AF39" s="181">
        <f t="shared" si="33"/>
        <v>4674622.9533277312</v>
      </c>
      <c r="AG39" s="232"/>
      <c r="AH39" s="242" t="s">
        <v>169</v>
      </c>
      <c r="AI39" s="242"/>
      <c r="AJ39" s="124"/>
      <c r="AO39" t="s">
        <v>248</v>
      </c>
      <c r="AP39" s="80">
        <f>C26+C27</f>
        <v>-494899.66428373579</v>
      </c>
      <c r="AU39" s="80">
        <f>SUM(C30:C31)</f>
        <v>-246381.72541863343</v>
      </c>
      <c r="AV39" s="80">
        <f>C36</f>
        <v>3356459.4422976309</v>
      </c>
    </row>
    <row r="40" spans="1:49" ht="15" customHeight="1" x14ac:dyDescent="0.25">
      <c r="A40" s="179" t="s">
        <v>156</v>
      </c>
      <c r="B40" s="182">
        <v>0.05</v>
      </c>
      <c r="C40" s="181">
        <f>B40*C$36</f>
        <v>167822.97211488156</v>
      </c>
      <c r="D40" s="181">
        <f>B40*D$36</f>
        <v>208497.39278554954</v>
      </c>
      <c r="E40" s="181">
        <f>$B$40*E36</f>
        <v>266731.41041175497</v>
      </c>
      <c r="F40" s="181">
        <f t="shared" ref="F40:AF40" si="34">$B$40*F36</f>
        <v>345987.66908500093</v>
      </c>
      <c r="G40" s="363">
        <f t="shared" si="34"/>
        <v>405397.27313093713</v>
      </c>
      <c r="H40" s="181">
        <f t="shared" si="34"/>
        <v>464346.18363265984</v>
      </c>
      <c r="I40" s="181">
        <f t="shared" si="34"/>
        <v>524474.07234441699</v>
      </c>
      <c r="J40" s="181">
        <f t="shared" si="34"/>
        <v>585804.51883040927</v>
      </c>
      <c r="K40" s="181">
        <f t="shared" si="34"/>
        <v>624380.24393629807</v>
      </c>
      <c r="L40" s="181">
        <f t="shared" si="34"/>
        <v>648637.69119038247</v>
      </c>
      <c r="M40" s="181">
        <f t="shared" si="34"/>
        <v>661441.11102161044</v>
      </c>
      <c r="N40" s="181">
        <f t="shared" si="34"/>
        <v>674500.59924946283</v>
      </c>
      <c r="O40" s="181">
        <f t="shared" si="34"/>
        <v>686662.94709909358</v>
      </c>
      <c r="P40" s="181">
        <f t="shared" si="34"/>
        <v>699068.54190571699</v>
      </c>
      <c r="Q40" s="181">
        <f t="shared" si="34"/>
        <v>711722.24860847276</v>
      </c>
      <c r="R40" s="181">
        <f t="shared" si="34"/>
        <v>724629.02944528358</v>
      </c>
      <c r="S40" s="181">
        <f t="shared" si="34"/>
        <v>737793.94589883042</v>
      </c>
      <c r="T40" s="181">
        <f t="shared" si="34"/>
        <v>751222.16068144841</v>
      </c>
      <c r="U40" s="181">
        <f t="shared" si="34"/>
        <v>764918.93975971872</v>
      </c>
      <c r="V40" s="181">
        <f t="shared" si="34"/>
        <v>778889.65441955475</v>
      </c>
      <c r="W40" s="181">
        <f t="shared" si="34"/>
        <v>793139.78337258706</v>
      </c>
      <c r="X40" s="181">
        <f t="shared" si="34"/>
        <v>807674.9149046801</v>
      </c>
      <c r="Y40" s="181">
        <f t="shared" si="34"/>
        <v>822500.74906741502</v>
      </c>
      <c r="Z40" s="181">
        <f t="shared" si="34"/>
        <v>837623.09991340467</v>
      </c>
      <c r="AA40" s="181">
        <f t="shared" si="34"/>
        <v>853047.89777631394</v>
      </c>
      <c r="AB40" s="181">
        <f t="shared" si="34"/>
        <v>868781.1915964816</v>
      </c>
      <c r="AC40" s="181">
        <f t="shared" si="34"/>
        <v>884829.15129305259</v>
      </c>
      <c r="AD40" s="181">
        <f t="shared" si="34"/>
        <v>901198.07018355513</v>
      </c>
      <c r="AE40" s="181">
        <f t="shared" si="34"/>
        <v>917894.36745186755</v>
      </c>
      <c r="AF40" s="181">
        <f t="shared" si="34"/>
        <v>934924.59066554625</v>
      </c>
      <c r="AG40" s="233"/>
      <c r="AH40" s="243" t="s">
        <v>170</v>
      </c>
      <c r="AI40" s="243"/>
      <c r="AJ40" s="152"/>
      <c r="AP40" s="8">
        <f>AP38-AP39</f>
        <v>-1391.855760436214</v>
      </c>
      <c r="AU40" s="8">
        <f>AU39-AU38</f>
        <v>-686.25137435196666</v>
      </c>
      <c r="AV40" s="8">
        <f>AV39-AV38</f>
        <v>-11009.115613915958</v>
      </c>
    </row>
    <row r="41" spans="1:49" ht="15" customHeight="1" x14ac:dyDescent="0.25">
      <c r="A41" s="179" t="s">
        <v>58</v>
      </c>
      <c r="B41" s="182">
        <v>0.35</v>
      </c>
      <c r="C41" s="181">
        <f>B41*C$36</f>
        <v>1174760.8048041707</v>
      </c>
      <c r="D41" s="181">
        <f>B41*(D$36)</f>
        <v>1459481.7494988467</v>
      </c>
      <c r="E41" s="181">
        <f>$B$41*(E36)</f>
        <v>1867119.8728822845</v>
      </c>
      <c r="F41" s="181">
        <f t="shared" ref="F41:AF41" si="35">$B$41*(F36)</f>
        <v>2421913.6835950064</v>
      </c>
      <c r="G41" s="363">
        <f t="shared" si="35"/>
        <v>2837780.9119165596</v>
      </c>
      <c r="H41" s="181">
        <f t="shared" si="35"/>
        <v>3250423.2854286185</v>
      </c>
      <c r="I41" s="181">
        <f t="shared" si="35"/>
        <v>3671318.5064109182</v>
      </c>
      <c r="J41" s="181">
        <f t="shared" si="35"/>
        <v>4100631.6318128644</v>
      </c>
      <c r="K41" s="181">
        <f t="shared" si="35"/>
        <v>4370661.7075540861</v>
      </c>
      <c r="L41" s="181">
        <f t="shared" si="35"/>
        <v>4540463.8383326773</v>
      </c>
      <c r="M41" s="181">
        <f t="shared" si="35"/>
        <v>4630087.7771512726</v>
      </c>
      <c r="N41" s="181">
        <f t="shared" si="35"/>
        <v>4721504.1947462391</v>
      </c>
      <c r="O41" s="181">
        <f t="shared" si="35"/>
        <v>4806640.6296936544</v>
      </c>
      <c r="P41" s="181">
        <f t="shared" si="35"/>
        <v>4893479.793340019</v>
      </c>
      <c r="Q41" s="181">
        <f t="shared" si="35"/>
        <v>4982055.7402593084</v>
      </c>
      <c r="R41" s="181">
        <f t="shared" si="35"/>
        <v>5072403.2061169837</v>
      </c>
      <c r="S41" s="181">
        <f t="shared" si="35"/>
        <v>5164557.6212918125</v>
      </c>
      <c r="T41" s="181">
        <f t="shared" si="35"/>
        <v>5258555.1247701384</v>
      </c>
      <c r="U41" s="181">
        <f t="shared" si="35"/>
        <v>5354432.5783180296</v>
      </c>
      <c r="V41" s="181">
        <f t="shared" si="35"/>
        <v>5452227.5809368826</v>
      </c>
      <c r="W41" s="181">
        <f t="shared" si="35"/>
        <v>5551978.483608108</v>
      </c>
      <c r="X41" s="181">
        <f t="shared" si="35"/>
        <v>5653724.4043327598</v>
      </c>
      <c r="Y41" s="181">
        <f t="shared" si="35"/>
        <v>5757505.2434719047</v>
      </c>
      <c r="Z41" s="181">
        <f t="shared" si="35"/>
        <v>5863361.6993938321</v>
      </c>
      <c r="AA41" s="181">
        <f t="shared" si="35"/>
        <v>5971335.2844341965</v>
      </c>
      <c r="AB41" s="181">
        <f t="shared" si="35"/>
        <v>6081468.3411753708</v>
      </c>
      <c r="AC41" s="181">
        <f t="shared" si="35"/>
        <v>6193804.0590513675</v>
      </c>
      <c r="AD41" s="181">
        <f t="shared" si="35"/>
        <v>6308386.4912848845</v>
      </c>
      <c r="AE41" s="181">
        <f t="shared" si="35"/>
        <v>6425260.5721630715</v>
      </c>
      <c r="AF41" s="181">
        <f t="shared" si="35"/>
        <v>6544472.1346588237</v>
      </c>
      <c r="AG41" s="335"/>
      <c r="AH41" s="240" t="s">
        <v>171</v>
      </c>
      <c r="AI41" s="240"/>
      <c r="AJ41" s="325">
        <f>B26</f>
        <v>0.43601084729514705</v>
      </c>
      <c r="AU41" s="329" t="s">
        <v>255</v>
      </c>
    </row>
    <row r="42" spans="1:49" x14ac:dyDescent="0.25">
      <c r="A42" s="179" t="s">
        <v>165</v>
      </c>
      <c r="B42" s="183">
        <v>0.35</v>
      </c>
      <c r="C42" s="181">
        <f>B42*C36</f>
        <v>1174760.8048041707</v>
      </c>
      <c r="D42" s="181">
        <f>B42*D36</f>
        <v>1459481.7494988467</v>
      </c>
      <c r="E42" s="181">
        <f>$B$42*E36</f>
        <v>1867119.8728822845</v>
      </c>
      <c r="F42" s="181">
        <f t="shared" ref="F42:AF42" si="36">$B$42*F36</f>
        <v>2421913.6835950064</v>
      </c>
      <c r="G42" s="363">
        <f t="shared" si="36"/>
        <v>2837780.9119165596</v>
      </c>
      <c r="H42" s="181">
        <f t="shared" si="36"/>
        <v>3250423.2854286185</v>
      </c>
      <c r="I42" s="181">
        <f t="shared" si="36"/>
        <v>3671318.5064109182</v>
      </c>
      <c r="J42" s="181">
        <f t="shared" si="36"/>
        <v>4100631.6318128644</v>
      </c>
      <c r="K42" s="181">
        <f t="shared" si="36"/>
        <v>4370661.7075540861</v>
      </c>
      <c r="L42" s="181">
        <f t="shared" si="36"/>
        <v>4540463.8383326773</v>
      </c>
      <c r="M42" s="181">
        <f t="shared" si="36"/>
        <v>4630087.7771512726</v>
      </c>
      <c r="N42" s="181">
        <f t="shared" si="36"/>
        <v>4721504.1947462391</v>
      </c>
      <c r="O42" s="181">
        <f t="shared" si="36"/>
        <v>4806640.6296936544</v>
      </c>
      <c r="P42" s="181">
        <f t="shared" si="36"/>
        <v>4893479.793340019</v>
      </c>
      <c r="Q42" s="181">
        <f t="shared" si="36"/>
        <v>4982055.7402593084</v>
      </c>
      <c r="R42" s="181">
        <f t="shared" si="36"/>
        <v>5072403.2061169837</v>
      </c>
      <c r="S42" s="181">
        <f t="shared" si="36"/>
        <v>5164557.6212918125</v>
      </c>
      <c r="T42" s="181">
        <f t="shared" si="36"/>
        <v>5258555.1247701384</v>
      </c>
      <c r="U42" s="181">
        <f t="shared" si="36"/>
        <v>5354432.5783180296</v>
      </c>
      <c r="V42" s="181">
        <f t="shared" si="36"/>
        <v>5452227.5809368826</v>
      </c>
      <c r="W42" s="181">
        <f t="shared" si="36"/>
        <v>5551978.483608108</v>
      </c>
      <c r="X42" s="181">
        <f t="shared" si="36"/>
        <v>5653724.4043327598</v>
      </c>
      <c r="Y42" s="181">
        <f t="shared" si="36"/>
        <v>5757505.2434719047</v>
      </c>
      <c r="Z42" s="181">
        <f t="shared" si="36"/>
        <v>5863361.6993938321</v>
      </c>
      <c r="AA42" s="181">
        <f t="shared" si="36"/>
        <v>5971335.2844341965</v>
      </c>
      <c r="AB42" s="181">
        <f t="shared" si="36"/>
        <v>6081468.3411753708</v>
      </c>
      <c r="AC42" s="181">
        <f t="shared" si="36"/>
        <v>6193804.0590513675</v>
      </c>
      <c r="AD42" s="181">
        <f t="shared" si="36"/>
        <v>6308386.4912848845</v>
      </c>
      <c r="AE42" s="181">
        <f t="shared" si="36"/>
        <v>6425260.5721630715</v>
      </c>
      <c r="AF42" s="181">
        <f t="shared" si="36"/>
        <v>6544472.1346588237</v>
      </c>
      <c r="AG42" s="335" t="s">
        <v>164</v>
      </c>
      <c r="AH42" s="240" t="s">
        <v>194</v>
      </c>
      <c r="AI42" s="240"/>
      <c r="AJ42" s="325">
        <f>SUMPRODUCT(AL26:AL36,AM26:AM36)/SUM(AM26:AM36)</f>
        <v>4.708428690072472E-2</v>
      </c>
    </row>
    <row r="43" spans="1:49" x14ac:dyDescent="0.25">
      <c r="A43" s="197" t="s">
        <v>158</v>
      </c>
      <c r="B43" s="196">
        <f>SUM(B39:B42)</f>
        <v>0.99999999999999989</v>
      </c>
      <c r="C43" s="191">
        <f>SUM(C39:C42)</f>
        <v>3356459.4422976309</v>
      </c>
      <c r="D43" s="191">
        <f t="shared" ref="D43:AF43" si="37">SUM(D39:D42)</f>
        <v>4169947.8557109907</v>
      </c>
      <c r="E43" s="191">
        <f t="shared" si="37"/>
        <v>5334628.208235098</v>
      </c>
      <c r="F43" s="191">
        <f t="shared" si="37"/>
        <v>6919753.3817000184</v>
      </c>
      <c r="G43" s="364">
        <f t="shared" si="37"/>
        <v>8107945.4626187421</v>
      </c>
      <c r="H43" s="191">
        <f t="shared" si="37"/>
        <v>9286923.6726531964</v>
      </c>
      <c r="I43" s="191">
        <f t="shared" si="37"/>
        <v>10489481.446888339</v>
      </c>
      <c r="J43" s="191">
        <f t="shared" si="37"/>
        <v>11716090.376608185</v>
      </c>
      <c r="K43" s="191">
        <f t="shared" si="37"/>
        <v>12487604.878725961</v>
      </c>
      <c r="L43" s="191">
        <f t="shared" si="37"/>
        <v>12972753.823807649</v>
      </c>
      <c r="M43" s="191">
        <f t="shared" si="37"/>
        <v>13228822.220432207</v>
      </c>
      <c r="N43" s="191">
        <f t="shared" si="37"/>
        <v>13490011.984989254</v>
      </c>
      <c r="O43" s="191">
        <f t="shared" si="37"/>
        <v>13733258.941981871</v>
      </c>
      <c r="P43" s="191">
        <f t="shared" si="37"/>
        <v>13981370.83811434</v>
      </c>
      <c r="Q43" s="191">
        <f t="shared" si="37"/>
        <v>14234444.972169453</v>
      </c>
      <c r="R43" s="191">
        <f t="shared" si="37"/>
        <v>14492580.588905668</v>
      </c>
      <c r="S43" s="191">
        <f t="shared" si="37"/>
        <v>14755878.917976607</v>
      </c>
      <c r="T43" s="191">
        <f t="shared" si="37"/>
        <v>15024443.213628966</v>
      </c>
      <c r="U43" s="191">
        <f t="shared" si="37"/>
        <v>15298378.795194371</v>
      </c>
      <c r="V43" s="191">
        <f t="shared" si="37"/>
        <v>15577793.088391094</v>
      </c>
      <c r="W43" s="191">
        <f t="shared" si="37"/>
        <v>15862795.667451737</v>
      </c>
      <c r="X43" s="191">
        <f t="shared" si="37"/>
        <v>16153498.298093602</v>
      </c>
      <c r="Y43" s="191">
        <f t="shared" si="37"/>
        <v>16450014.981348298</v>
      </c>
      <c r="Z43" s="191">
        <f t="shared" si="37"/>
        <v>16752461.99826809</v>
      </c>
      <c r="AA43" s="191">
        <f t="shared" si="37"/>
        <v>17060957.955526277</v>
      </c>
      <c r="AB43" s="191">
        <f t="shared" si="37"/>
        <v>17375623.831929632</v>
      </c>
      <c r="AC43" s="191">
        <f t="shared" si="37"/>
        <v>17696583.025861051</v>
      </c>
      <c r="AD43" s="191">
        <f t="shared" si="37"/>
        <v>18023961.403671101</v>
      </c>
      <c r="AE43" s="191">
        <f t="shared" si="37"/>
        <v>18357887.349037349</v>
      </c>
      <c r="AF43" s="191">
        <f t="shared" si="37"/>
        <v>18698491.813310925</v>
      </c>
      <c r="AG43" s="227"/>
      <c r="AH43" s="238"/>
      <c r="AI43" s="238"/>
      <c r="AJ43" s="152"/>
    </row>
    <row r="44" spans="1:49" ht="8.1" customHeight="1" x14ac:dyDescent="0.25">
      <c r="A44" s="141"/>
      <c r="B44" s="174"/>
      <c r="C44" s="136"/>
      <c r="D44" s="136"/>
      <c r="E44" s="136"/>
      <c r="F44" s="136"/>
      <c r="G44" s="365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227"/>
      <c r="AH44" s="238"/>
      <c r="AI44" s="238"/>
      <c r="AJ44" s="152"/>
    </row>
    <row r="45" spans="1:49" x14ac:dyDescent="0.25">
      <c r="A45" s="184" t="s">
        <v>159</v>
      </c>
      <c r="B45" s="439" t="s">
        <v>200</v>
      </c>
      <c r="C45" s="185"/>
      <c r="D45" s="185"/>
      <c r="E45" s="185"/>
      <c r="F45" s="185"/>
      <c r="G45" s="366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227"/>
      <c r="AH45" s="238"/>
      <c r="AI45" s="238"/>
      <c r="AJ45" s="152"/>
    </row>
    <row r="46" spans="1:49" x14ac:dyDescent="0.25">
      <c r="A46" s="186" t="s">
        <v>165</v>
      </c>
      <c r="B46" s="439"/>
      <c r="C46" s="185">
        <f>C42</f>
        <v>1174760.8048041707</v>
      </c>
      <c r="D46" s="185">
        <f t="shared" ref="D46:AF46" si="38">D42</f>
        <v>1459481.7494988467</v>
      </c>
      <c r="E46" s="185">
        <f t="shared" si="38"/>
        <v>1867119.8728822845</v>
      </c>
      <c r="F46" s="185">
        <f t="shared" si="38"/>
        <v>2421913.6835950064</v>
      </c>
      <c r="G46" s="366">
        <f t="shared" si="38"/>
        <v>2837780.9119165596</v>
      </c>
      <c r="H46" s="185">
        <f t="shared" si="38"/>
        <v>3250423.2854286185</v>
      </c>
      <c r="I46" s="185">
        <f t="shared" si="38"/>
        <v>3671318.5064109182</v>
      </c>
      <c r="J46" s="185">
        <f t="shared" si="38"/>
        <v>4100631.6318128644</v>
      </c>
      <c r="K46" s="185">
        <f t="shared" si="38"/>
        <v>4370661.7075540861</v>
      </c>
      <c r="L46" s="185">
        <f t="shared" si="38"/>
        <v>4540463.8383326773</v>
      </c>
      <c r="M46" s="185">
        <f t="shared" si="38"/>
        <v>4630087.7771512726</v>
      </c>
      <c r="N46" s="185">
        <f t="shared" si="38"/>
        <v>4721504.1947462391</v>
      </c>
      <c r="O46" s="185">
        <f t="shared" si="38"/>
        <v>4806640.6296936544</v>
      </c>
      <c r="P46" s="185">
        <f t="shared" si="38"/>
        <v>4893479.793340019</v>
      </c>
      <c r="Q46" s="185">
        <f t="shared" si="38"/>
        <v>4982055.7402593084</v>
      </c>
      <c r="R46" s="185">
        <f t="shared" si="38"/>
        <v>5072403.2061169837</v>
      </c>
      <c r="S46" s="185">
        <f t="shared" si="38"/>
        <v>5164557.6212918125</v>
      </c>
      <c r="T46" s="185">
        <f t="shared" si="38"/>
        <v>5258555.1247701384</v>
      </c>
      <c r="U46" s="185">
        <f t="shared" si="38"/>
        <v>5354432.5783180296</v>
      </c>
      <c r="V46" s="185">
        <f t="shared" si="38"/>
        <v>5452227.5809368826</v>
      </c>
      <c r="W46" s="185">
        <f t="shared" si="38"/>
        <v>5551978.483608108</v>
      </c>
      <c r="X46" s="185">
        <f t="shared" si="38"/>
        <v>5653724.4043327598</v>
      </c>
      <c r="Y46" s="185">
        <f t="shared" si="38"/>
        <v>5757505.2434719047</v>
      </c>
      <c r="Z46" s="185">
        <f t="shared" si="38"/>
        <v>5863361.6993938321</v>
      </c>
      <c r="AA46" s="185">
        <f t="shared" si="38"/>
        <v>5971335.2844341965</v>
      </c>
      <c r="AB46" s="185">
        <f t="shared" si="38"/>
        <v>6081468.3411753708</v>
      </c>
      <c r="AC46" s="185">
        <f t="shared" si="38"/>
        <v>6193804.0590513675</v>
      </c>
      <c r="AD46" s="185">
        <f t="shared" si="38"/>
        <v>6308386.4912848845</v>
      </c>
      <c r="AE46" s="185">
        <f t="shared" si="38"/>
        <v>6425260.5721630715</v>
      </c>
      <c r="AF46" s="185">
        <f t="shared" si="38"/>
        <v>6544472.1346588237</v>
      </c>
      <c r="AG46" s="227" t="s">
        <v>164</v>
      </c>
      <c r="AH46" s="238" t="s">
        <v>164</v>
      </c>
      <c r="AI46" s="238"/>
      <c r="AJ46" s="152"/>
    </row>
    <row r="47" spans="1:49" x14ac:dyDescent="0.25">
      <c r="A47" s="186" t="str">
        <f>CONCATENATE("Less: 10% of Incremental FORA Share after 7/1/2012 (goes to ",A4,")")</f>
        <v>Less: 10% of Incremental FORA Share after 7/1/2012 (goes to Marina)</v>
      </c>
      <c r="B47" s="263">
        <v>590877</v>
      </c>
      <c r="C47" s="185">
        <f t="shared" ref="C47:AF47" si="39">IF(C46&gt;0,-(0.1*(C46-$B$47)),0)</f>
        <v>-58388.38048041708</v>
      </c>
      <c r="D47" s="185">
        <f t="shared" si="39"/>
        <v>-86860.47494988468</v>
      </c>
      <c r="E47" s="185">
        <f t="shared" si="39"/>
        <v>-127624.28728822846</v>
      </c>
      <c r="F47" s="185">
        <f t="shared" si="39"/>
        <v>-183103.66835950065</v>
      </c>
      <c r="G47" s="366">
        <f t="shared" si="39"/>
        <v>-224690.39119165597</v>
      </c>
      <c r="H47" s="185">
        <f t="shared" si="39"/>
        <v>-265954.62854286184</v>
      </c>
      <c r="I47" s="185">
        <f t="shared" si="39"/>
        <v>-308044.15064109181</v>
      </c>
      <c r="J47" s="185">
        <f t="shared" si="39"/>
        <v>-350975.46318128647</v>
      </c>
      <c r="K47" s="185">
        <f t="shared" si="39"/>
        <v>-377978.47075540863</v>
      </c>
      <c r="L47" s="185">
        <f t="shared" si="39"/>
        <v>-394958.68383326777</v>
      </c>
      <c r="M47" s="185">
        <f t="shared" si="39"/>
        <v>-403921.07771512726</v>
      </c>
      <c r="N47" s="185">
        <f t="shared" si="39"/>
        <v>-413062.71947462391</v>
      </c>
      <c r="O47" s="185">
        <f t="shared" si="39"/>
        <v>-421576.36296936544</v>
      </c>
      <c r="P47" s="185">
        <f t="shared" si="39"/>
        <v>-430260.27933400194</v>
      </c>
      <c r="Q47" s="185">
        <f t="shared" si="39"/>
        <v>-439117.87402593088</v>
      </c>
      <c r="R47" s="185">
        <f t="shared" si="39"/>
        <v>-448152.62061169837</v>
      </c>
      <c r="S47" s="185">
        <f t="shared" si="39"/>
        <v>-457368.06212918129</v>
      </c>
      <c r="T47" s="185">
        <f t="shared" si="39"/>
        <v>-466767.81247701385</v>
      </c>
      <c r="U47" s="185">
        <f t="shared" si="39"/>
        <v>-476355.55783180299</v>
      </c>
      <c r="V47" s="185">
        <f t="shared" si="39"/>
        <v>-486135.05809368828</v>
      </c>
      <c r="W47" s="185">
        <f t="shared" si="39"/>
        <v>-496110.14836081082</v>
      </c>
      <c r="X47" s="185">
        <f t="shared" si="39"/>
        <v>-506284.74043327599</v>
      </c>
      <c r="Y47" s="185">
        <f t="shared" si="39"/>
        <v>-516662.8243471905</v>
      </c>
      <c r="Z47" s="185">
        <f t="shared" si="39"/>
        <v>-527248.46993938321</v>
      </c>
      <c r="AA47" s="185">
        <f t="shared" si="39"/>
        <v>-538045.82844341965</v>
      </c>
      <c r="AB47" s="185">
        <f t="shared" si="39"/>
        <v>-549059.13411753706</v>
      </c>
      <c r="AC47" s="185">
        <f t="shared" si="39"/>
        <v>-560292.70590513677</v>
      </c>
      <c r="AD47" s="185">
        <f t="shared" si="39"/>
        <v>-571750.94912848843</v>
      </c>
      <c r="AE47" s="185">
        <f t="shared" si="39"/>
        <v>-583438.35721630719</v>
      </c>
      <c r="AF47" s="185">
        <f t="shared" si="39"/>
        <v>-595359.5134658824</v>
      </c>
      <c r="AG47" s="227" t="s">
        <v>148</v>
      </c>
      <c r="AH47" s="238"/>
      <c r="AI47" s="238"/>
      <c r="AJ47" s="152"/>
    </row>
    <row r="48" spans="1:49" ht="15" customHeight="1" x14ac:dyDescent="0.25">
      <c r="A48" s="186" t="s">
        <v>80</v>
      </c>
      <c r="B48" s="188"/>
      <c r="C48" s="189">
        <f t="shared" ref="C48:AF48" si="40">C42+C47</f>
        <v>1116372.4243237537</v>
      </c>
      <c r="D48" s="189">
        <f t="shared" si="40"/>
        <v>1372621.274548962</v>
      </c>
      <c r="E48" s="189">
        <f t="shared" si="40"/>
        <v>1739495.5855940559</v>
      </c>
      <c r="F48" s="189">
        <f t="shared" si="40"/>
        <v>2238810.0152355055</v>
      </c>
      <c r="G48" s="367">
        <f t="shared" si="40"/>
        <v>2613090.5207249038</v>
      </c>
      <c r="H48" s="189">
        <f t="shared" si="40"/>
        <v>2984468.6568857566</v>
      </c>
      <c r="I48" s="189">
        <f t="shared" si="40"/>
        <v>3363274.3557698266</v>
      </c>
      <c r="J48" s="189">
        <f t="shared" si="40"/>
        <v>3749656.1686315779</v>
      </c>
      <c r="K48" s="189">
        <f t="shared" si="40"/>
        <v>3992683.2367986776</v>
      </c>
      <c r="L48" s="189">
        <f t="shared" si="40"/>
        <v>4145505.1544994097</v>
      </c>
      <c r="M48" s="189">
        <f t="shared" si="40"/>
        <v>4226166.6994361449</v>
      </c>
      <c r="N48" s="189">
        <f t="shared" si="40"/>
        <v>4308441.4752716152</v>
      </c>
      <c r="O48" s="189">
        <f t="shared" si="40"/>
        <v>4385064.2667242885</v>
      </c>
      <c r="P48" s="189">
        <f t="shared" si="40"/>
        <v>4463219.5140060168</v>
      </c>
      <c r="Q48" s="189">
        <f t="shared" si="40"/>
        <v>4542937.8662333777</v>
      </c>
      <c r="R48" s="189">
        <f t="shared" si="40"/>
        <v>4624250.5855052853</v>
      </c>
      <c r="S48" s="189">
        <f t="shared" si="40"/>
        <v>4707189.5591626316</v>
      </c>
      <c r="T48" s="189">
        <f t="shared" si="40"/>
        <v>4791787.3122931244</v>
      </c>
      <c r="U48" s="189">
        <f t="shared" si="40"/>
        <v>4878077.0204862263</v>
      </c>
      <c r="V48" s="189">
        <f t="shared" si="40"/>
        <v>4966092.5228431942</v>
      </c>
      <c r="W48" s="189">
        <f t="shared" si="40"/>
        <v>5055868.3352472968</v>
      </c>
      <c r="X48" s="189">
        <f t="shared" si="40"/>
        <v>5147439.6638994841</v>
      </c>
      <c r="Y48" s="189">
        <f t="shared" si="40"/>
        <v>5240842.4191247141</v>
      </c>
      <c r="Z48" s="189">
        <f t="shared" si="40"/>
        <v>5336113.2294544484</v>
      </c>
      <c r="AA48" s="189">
        <f t="shared" si="40"/>
        <v>5433289.4559907764</v>
      </c>
      <c r="AB48" s="189">
        <f t="shared" si="40"/>
        <v>5532409.2070578337</v>
      </c>
      <c r="AC48" s="189">
        <f t="shared" si="40"/>
        <v>5633511.3531462308</v>
      </c>
      <c r="AD48" s="189">
        <f t="shared" si="40"/>
        <v>5736635.5421563964</v>
      </c>
      <c r="AE48" s="189">
        <f t="shared" si="40"/>
        <v>5841822.2149467645</v>
      </c>
      <c r="AF48" s="189">
        <f t="shared" si="40"/>
        <v>5949112.6211929414</v>
      </c>
      <c r="AG48" s="227" t="s">
        <v>183</v>
      </c>
      <c r="AH48" s="240" t="s">
        <v>195</v>
      </c>
      <c r="AI48" s="240"/>
      <c r="AJ48" s="152"/>
    </row>
    <row r="49" spans="1:36" ht="15" customHeight="1" x14ac:dyDescent="0.25">
      <c r="A49" s="186" t="str">
        <f>CONCATENATE("Less: ",$A$4," Portion of FORA Remediation Bonds Debt Service")</f>
        <v>Less: Marina Portion of FORA Remediation Bonds Debt Service</v>
      </c>
      <c r="B49" s="186"/>
      <c r="C49" s="185">
        <v>0</v>
      </c>
      <c r="D49" s="185">
        <f>-'DS (Base Case)'!N52</f>
        <v>-802343.68905899988</v>
      </c>
      <c r="E49" s="185">
        <f>-'DS (Base Case)'!O52</f>
        <v>-803087.0778480001</v>
      </c>
      <c r="F49" s="185">
        <f>-'DS (Base Case)'!P52</f>
        <v>-803312.60248800006</v>
      </c>
      <c r="G49" s="366">
        <f>-'DS (Base Case)'!Q52</f>
        <v>-803216.22743999993</v>
      </c>
      <c r="H49" s="185">
        <f>-'DS (Base Case)'!R52</f>
        <v>-802753.03943999985</v>
      </c>
      <c r="I49" s="185">
        <f>-'DS (Base Case)'!S52</f>
        <v>-803921.99018999992</v>
      </c>
      <c r="J49" s="185">
        <f>-'DS (Base Case)'!T52</f>
        <v>-802026.31343999994</v>
      </c>
      <c r="K49" s="185">
        <f>-'DS (Base Case)'!U52</f>
        <v>-801330.21375</v>
      </c>
      <c r="L49" s="185">
        <f>-'DS (Base Case)'!V52</f>
        <v>-804001.89012</v>
      </c>
      <c r="M49" s="185">
        <f>-'DS (Base Case)'!W52</f>
        <v>-802211.74836000009</v>
      </c>
      <c r="N49" s="185">
        <f>-'DS (Base Case)'!X52</f>
        <v>-803763.50801999995</v>
      </c>
      <c r="O49" s="185">
        <f>-'DS (Base Case)'!Y52</f>
        <v>-802493.41457999998</v>
      </c>
      <c r="P49" s="185">
        <f>-'DS (Base Case)'!Z52</f>
        <v>-802467.26043000002</v>
      </c>
      <c r="Q49" s="185">
        <f>-'DS (Base Case)'!AA52</f>
        <v>-803572.12352999998</v>
      </c>
      <c r="R49" s="185">
        <f>-'DS (Base Case)'!AB52</f>
        <v>-803839.65453000006</v>
      </c>
      <c r="S49" s="185">
        <f>-'DS (Base Case)'!AC52</f>
        <v>-801225.59714999993</v>
      </c>
      <c r="T49" s="185">
        <f>-'DS (Base Case)'!AD52</f>
        <v>-801864.47714999993</v>
      </c>
      <c r="U49" s="185">
        <f>-'DS (Base Case)'!AE52</f>
        <v>-803585.46014999994</v>
      </c>
      <c r="V49" s="185">
        <f>-'DS (Base Case)'!AF52</f>
        <v>-804403.62584999995</v>
      </c>
      <c r="W49" s="185">
        <f>-'DS (Base Case)'!AG52</f>
        <v>-802433.47964999999</v>
      </c>
      <c r="X49" s="185">
        <f>-'DS (Base Case)'!AH52</f>
        <v>-803775.92625000002</v>
      </c>
      <c r="Y49" s="185">
        <f>-'DS (Base Case)'!AI52</f>
        <v>-802225.64399999997</v>
      </c>
      <c r="Z49" s="185">
        <f>-'DS (Base Case)'!AJ52</f>
        <v>-803917.67775000003</v>
      </c>
      <c r="AA49" s="185">
        <f>-'DS (Base Case)'!AK52</f>
        <v>-802643.11214999994</v>
      </c>
      <c r="AB49" s="185">
        <f>-'DS (Base Case)'!AL52</f>
        <v>-802512.94034999993</v>
      </c>
      <c r="AC49" s="185">
        <f>-'DS (Base Case)'!AM52</f>
        <v>-803403.97829999996</v>
      </c>
      <c r="AD49" s="185">
        <f>-'DS (Base Case)'!AN52</f>
        <v>-803302.75575000001</v>
      </c>
      <c r="AE49" s="185">
        <f>-'DS (Base Case)'!AO52</f>
        <v>-804147.67455</v>
      </c>
      <c r="AF49" s="185">
        <f>-'DS (Base Case)'!AP52</f>
        <v>-801902.01134999993</v>
      </c>
      <c r="AG49" s="227" t="s">
        <v>147</v>
      </c>
      <c r="AH49" s="238" t="s">
        <v>147</v>
      </c>
      <c r="AI49" s="238"/>
      <c r="AJ49" s="152"/>
    </row>
    <row r="50" spans="1:36" ht="15" customHeight="1" x14ac:dyDescent="0.25">
      <c r="A50" s="192" t="s">
        <v>166</v>
      </c>
      <c r="B50" s="187"/>
      <c r="C50" s="190">
        <f>SUM(C48:C49)</f>
        <v>1116372.4243237537</v>
      </c>
      <c r="D50" s="190">
        <f t="shared" ref="D50:AF50" si="41">SUM(D48:D49)</f>
        <v>570277.58548996213</v>
      </c>
      <c r="E50" s="190">
        <f t="shared" si="41"/>
        <v>936408.50774605584</v>
      </c>
      <c r="F50" s="190">
        <f t="shared" si="41"/>
        <v>1435497.4127475056</v>
      </c>
      <c r="G50" s="368">
        <f t="shared" si="41"/>
        <v>1809874.2932849037</v>
      </c>
      <c r="H50" s="190">
        <f t="shared" si="41"/>
        <v>2181715.6174457567</v>
      </c>
      <c r="I50" s="190">
        <f t="shared" si="41"/>
        <v>2559352.3655798268</v>
      </c>
      <c r="J50" s="190">
        <f t="shared" si="41"/>
        <v>2947629.8551915782</v>
      </c>
      <c r="K50" s="190">
        <f t="shared" si="41"/>
        <v>3191353.0230486775</v>
      </c>
      <c r="L50" s="190">
        <f t="shared" si="41"/>
        <v>3341503.2643794096</v>
      </c>
      <c r="M50" s="190">
        <f t="shared" si="41"/>
        <v>3423954.9510761448</v>
      </c>
      <c r="N50" s="190">
        <f t="shared" si="41"/>
        <v>3504677.9672516151</v>
      </c>
      <c r="O50" s="190">
        <f t="shared" si="41"/>
        <v>3582570.8521442884</v>
      </c>
      <c r="P50" s="190">
        <f t="shared" si="41"/>
        <v>3660752.253576017</v>
      </c>
      <c r="Q50" s="190">
        <f t="shared" si="41"/>
        <v>3739365.7427033777</v>
      </c>
      <c r="R50" s="190">
        <f t="shared" si="41"/>
        <v>3820410.9309752854</v>
      </c>
      <c r="S50" s="190">
        <f t="shared" si="41"/>
        <v>3905963.9620126318</v>
      </c>
      <c r="T50" s="190">
        <f t="shared" si="41"/>
        <v>3989922.8351431247</v>
      </c>
      <c r="U50" s="190">
        <f t="shared" si="41"/>
        <v>4074491.5603362266</v>
      </c>
      <c r="V50" s="190">
        <f t="shared" si="41"/>
        <v>4161688.8969931942</v>
      </c>
      <c r="W50" s="190">
        <f t="shared" si="41"/>
        <v>4253434.8555972967</v>
      </c>
      <c r="X50" s="190">
        <f t="shared" si="41"/>
        <v>4343663.7376494836</v>
      </c>
      <c r="Y50" s="190">
        <f t="shared" si="41"/>
        <v>4438616.7751247138</v>
      </c>
      <c r="Z50" s="190">
        <f t="shared" si="41"/>
        <v>4532195.5517044486</v>
      </c>
      <c r="AA50" s="190">
        <f t="shared" si="41"/>
        <v>4630646.343840776</v>
      </c>
      <c r="AB50" s="190">
        <f t="shared" si="41"/>
        <v>4729896.2667078339</v>
      </c>
      <c r="AC50" s="190">
        <f t="shared" si="41"/>
        <v>4830107.3748462312</v>
      </c>
      <c r="AD50" s="190">
        <f t="shared" si="41"/>
        <v>4933332.786406396</v>
      </c>
      <c r="AE50" s="190">
        <f t="shared" si="41"/>
        <v>5037674.5403967649</v>
      </c>
      <c r="AF50" s="190">
        <f t="shared" si="41"/>
        <v>5147210.6098429412</v>
      </c>
      <c r="AG50" s="227" t="s">
        <v>184</v>
      </c>
      <c r="AH50" s="240" t="s">
        <v>196</v>
      </c>
      <c r="AI50" s="240"/>
      <c r="AJ50" s="152"/>
    </row>
    <row r="51" spans="1:36" ht="8.1" customHeight="1" x14ac:dyDescent="0.25">
      <c r="A51" s="171"/>
      <c r="B51" s="172"/>
      <c r="C51" s="136"/>
      <c r="D51" s="136"/>
      <c r="E51" s="136"/>
      <c r="F51" s="136"/>
      <c r="G51" s="365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227"/>
      <c r="AH51" s="238"/>
      <c r="AI51" s="238"/>
      <c r="AJ51" s="152"/>
    </row>
    <row r="52" spans="1:36" ht="15" customHeight="1" x14ac:dyDescent="0.25">
      <c r="A52" s="198" t="s">
        <v>168</v>
      </c>
      <c r="B52" s="199"/>
      <c r="C52" s="135"/>
      <c r="D52" s="135"/>
      <c r="E52" s="135"/>
      <c r="F52" s="135"/>
      <c r="G52" s="369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227"/>
      <c r="AH52" s="238"/>
      <c r="AI52" s="238"/>
      <c r="AJ52" s="152"/>
    </row>
    <row r="53" spans="1:36" ht="15" customHeight="1" x14ac:dyDescent="0.25">
      <c r="A53" s="200" t="s">
        <v>161</v>
      </c>
      <c r="B53" s="201">
        <v>0.38</v>
      </c>
      <c r="C53" s="135">
        <v>0</v>
      </c>
      <c r="D53" s="135">
        <v>0</v>
      </c>
      <c r="E53" s="135">
        <v>0</v>
      </c>
      <c r="F53" s="135">
        <v>0</v>
      </c>
      <c r="G53" s="369">
        <f>G50*$B$53</f>
        <v>687752.2314482634</v>
      </c>
      <c r="H53" s="135">
        <f t="shared" ref="H53:L53" si="42">H50*$B$53</f>
        <v>829051.93462938757</v>
      </c>
      <c r="I53" s="135">
        <f t="shared" si="42"/>
        <v>972553.89892033418</v>
      </c>
      <c r="J53" s="135">
        <f t="shared" si="42"/>
        <v>1120099.3449727998</v>
      </c>
      <c r="K53" s="135">
        <f t="shared" si="42"/>
        <v>1212714.1487584976</v>
      </c>
      <c r="L53" s="135">
        <f t="shared" si="42"/>
        <v>1269771.2404641756</v>
      </c>
      <c r="M53" s="135">
        <f>M50*$B$53</f>
        <v>1301102.8814089349</v>
      </c>
      <c r="N53" s="135">
        <f t="shared" ref="N53:AE53" si="43">N50*$B$53</f>
        <v>1331777.6275556139</v>
      </c>
      <c r="O53" s="135">
        <f t="shared" si="43"/>
        <v>1361376.9238148297</v>
      </c>
      <c r="P53" s="135">
        <f t="shared" si="43"/>
        <v>1391085.8563588865</v>
      </c>
      <c r="Q53" s="135">
        <f t="shared" si="43"/>
        <v>1420958.9822272835</v>
      </c>
      <c r="R53" s="135">
        <f t="shared" si="43"/>
        <v>1451756.1537706084</v>
      </c>
      <c r="S53" s="135">
        <f t="shared" si="43"/>
        <v>1484266.3055648</v>
      </c>
      <c r="T53" s="135">
        <f t="shared" si="43"/>
        <v>1516170.6773543875</v>
      </c>
      <c r="U53" s="135">
        <f t="shared" si="43"/>
        <v>1548306.7929277662</v>
      </c>
      <c r="V53" s="135">
        <f t="shared" si="43"/>
        <v>1581441.7808574138</v>
      </c>
      <c r="W53" s="135">
        <f t="shared" si="43"/>
        <v>1616305.2451269727</v>
      </c>
      <c r="X53" s="135">
        <f t="shared" si="43"/>
        <v>1650592.2203068037</v>
      </c>
      <c r="Y53" s="135">
        <f t="shared" si="43"/>
        <v>1686674.3745473912</v>
      </c>
      <c r="Z53" s="135">
        <f t="shared" si="43"/>
        <v>1722234.3096476905</v>
      </c>
      <c r="AA53" s="135">
        <f t="shared" si="43"/>
        <v>1759645.610659495</v>
      </c>
      <c r="AB53" s="135">
        <f t="shared" si="43"/>
        <v>1797360.5813489768</v>
      </c>
      <c r="AC53" s="135">
        <f t="shared" si="43"/>
        <v>1835440.8024415679</v>
      </c>
      <c r="AD53" s="135">
        <f t="shared" si="43"/>
        <v>1874666.4588344304</v>
      </c>
      <c r="AE53" s="135">
        <f t="shared" si="43"/>
        <v>1914316.3253507707</v>
      </c>
      <c r="AF53" s="135">
        <f>AF50*$B$53</f>
        <v>1955940.0317403176</v>
      </c>
      <c r="AG53" s="234"/>
      <c r="AH53" s="244" t="s">
        <v>172</v>
      </c>
      <c r="AI53" s="244"/>
      <c r="AJ53" s="124"/>
    </row>
    <row r="54" spans="1:36" ht="15" customHeight="1" x14ac:dyDescent="0.25">
      <c r="A54" s="200" t="s">
        <v>162</v>
      </c>
      <c r="B54" s="202">
        <v>0.08</v>
      </c>
      <c r="C54" s="135">
        <v>0</v>
      </c>
      <c r="D54" s="135">
        <v>0</v>
      </c>
      <c r="E54" s="135">
        <v>0</v>
      </c>
      <c r="F54" s="135">
        <v>0</v>
      </c>
      <c r="G54" s="369">
        <f t="shared" ref="G54:AF54" si="44">G50*$B$54</f>
        <v>144789.94346279229</v>
      </c>
      <c r="H54" s="135">
        <f t="shared" si="44"/>
        <v>174537.24939566053</v>
      </c>
      <c r="I54" s="135">
        <f t="shared" si="44"/>
        <v>204748.18924638614</v>
      </c>
      <c r="J54" s="135">
        <f t="shared" si="44"/>
        <v>235810.38841532625</v>
      </c>
      <c r="K54" s="135">
        <f t="shared" si="44"/>
        <v>255308.24184389421</v>
      </c>
      <c r="L54" s="135">
        <f t="shared" si="44"/>
        <v>267320.26115035277</v>
      </c>
      <c r="M54" s="135">
        <f t="shared" si="44"/>
        <v>273916.39608609158</v>
      </c>
      <c r="N54" s="135">
        <f t="shared" si="44"/>
        <v>280374.23738012923</v>
      </c>
      <c r="O54" s="135">
        <f t="shared" si="44"/>
        <v>286605.6681715431</v>
      </c>
      <c r="P54" s="135">
        <f t="shared" si="44"/>
        <v>292860.18028608139</v>
      </c>
      <c r="Q54" s="135">
        <f t="shared" si="44"/>
        <v>299149.25941627024</v>
      </c>
      <c r="R54" s="135">
        <f t="shared" si="44"/>
        <v>305632.87447802286</v>
      </c>
      <c r="S54" s="135">
        <f t="shared" si="44"/>
        <v>312477.11696101056</v>
      </c>
      <c r="T54" s="135">
        <f t="shared" si="44"/>
        <v>319193.82681145001</v>
      </c>
      <c r="U54" s="135">
        <f t="shared" si="44"/>
        <v>325959.32482689811</v>
      </c>
      <c r="V54" s="135">
        <f t="shared" si="44"/>
        <v>332935.11175945553</v>
      </c>
      <c r="W54" s="135">
        <f t="shared" si="44"/>
        <v>340274.78844778374</v>
      </c>
      <c r="X54" s="135">
        <f t="shared" si="44"/>
        <v>347493.09901195869</v>
      </c>
      <c r="Y54" s="135">
        <f t="shared" si="44"/>
        <v>355089.34200997709</v>
      </c>
      <c r="Z54" s="135">
        <f t="shared" si="44"/>
        <v>362575.6441363559</v>
      </c>
      <c r="AA54" s="135">
        <f t="shared" si="44"/>
        <v>370451.70750726206</v>
      </c>
      <c r="AB54" s="135">
        <f t="shared" si="44"/>
        <v>378391.70133662672</v>
      </c>
      <c r="AC54" s="135">
        <f t="shared" si="44"/>
        <v>386408.58998769848</v>
      </c>
      <c r="AD54" s="135">
        <f t="shared" si="44"/>
        <v>394666.6229125117</v>
      </c>
      <c r="AE54" s="135">
        <f t="shared" si="44"/>
        <v>403013.96323174122</v>
      </c>
      <c r="AF54" s="135">
        <f t="shared" si="44"/>
        <v>411776.84878743533</v>
      </c>
      <c r="AG54" s="233"/>
      <c r="AH54" s="243" t="s">
        <v>173</v>
      </c>
      <c r="AI54" s="243"/>
      <c r="AJ54" s="152"/>
    </row>
    <row r="55" spans="1:36" ht="15" customHeight="1" x14ac:dyDescent="0.25">
      <c r="A55" s="200" t="s">
        <v>163</v>
      </c>
      <c r="B55" s="203">
        <v>0.54</v>
      </c>
      <c r="C55" s="135">
        <v>0</v>
      </c>
      <c r="D55" s="135">
        <v>0</v>
      </c>
      <c r="E55" s="135">
        <v>0</v>
      </c>
      <c r="F55" s="135">
        <v>0</v>
      </c>
      <c r="G55" s="369">
        <f t="shared" ref="G55:AF55" si="45">$B$55*G50</f>
        <v>977332.11837384803</v>
      </c>
      <c r="H55" s="135">
        <f t="shared" si="45"/>
        <v>1178126.4334207086</v>
      </c>
      <c r="I55" s="135">
        <f t="shared" si="45"/>
        <v>1382050.2774131065</v>
      </c>
      <c r="J55" s="135">
        <f t="shared" si="45"/>
        <v>1591720.1218034523</v>
      </c>
      <c r="K55" s="135">
        <f t="shared" si="45"/>
        <v>1723330.632446286</v>
      </c>
      <c r="L55" s="135">
        <f t="shared" si="45"/>
        <v>1804411.7627648814</v>
      </c>
      <c r="M55" s="135">
        <f t="shared" si="45"/>
        <v>1848935.6735811182</v>
      </c>
      <c r="N55" s="135">
        <f t="shared" si="45"/>
        <v>1892526.1023158722</v>
      </c>
      <c r="O55" s="135">
        <f t="shared" si="45"/>
        <v>1934588.2601579158</v>
      </c>
      <c r="P55" s="135">
        <f t="shared" si="45"/>
        <v>1976806.2169310492</v>
      </c>
      <c r="Q55" s="135">
        <f t="shared" si="45"/>
        <v>2019257.5010598241</v>
      </c>
      <c r="R55" s="135">
        <f t="shared" si="45"/>
        <v>2063021.9027266542</v>
      </c>
      <c r="S55" s="135">
        <f t="shared" si="45"/>
        <v>2109220.5394868213</v>
      </c>
      <c r="T55" s="135">
        <f t="shared" si="45"/>
        <v>2154558.3309772876</v>
      </c>
      <c r="U55" s="135">
        <f t="shared" si="45"/>
        <v>2200225.4425815623</v>
      </c>
      <c r="V55" s="135">
        <f t="shared" si="45"/>
        <v>2247312.0043763248</v>
      </c>
      <c r="W55" s="135">
        <f t="shared" si="45"/>
        <v>2296854.8220225405</v>
      </c>
      <c r="X55" s="135">
        <f t="shared" si="45"/>
        <v>2345578.4183307211</v>
      </c>
      <c r="Y55" s="135">
        <f t="shared" si="45"/>
        <v>2396853.0585673456</v>
      </c>
      <c r="Z55" s="135">
        <f t="shared" si="45"/>
        <v>2447385.5979204024</v>
      </c>
      <c r="AA55" s="135">
        <f t="shared" si="45"/>
        <v>2500549.025674019</v>
      </c>
      <c r="AB55" s="135">
        <f t="shared" si="45"/>
        <v>2554143.9840222304</v>
      </c>
      <c r="AC55" s="135">
        <f t="shared" si="45"/>
        <v>2608257.9824169651</v>
      </c>
      <c r="AD55" s="135">
        <f t="shared" si="45"/>
        <v>2663999.7046594541</v>
      </c>
      <c r="AE55" s="135">
        <f t="shared" si="45"/>
        <v>2720344.2518142532</v>
      </c>
      <c r="AF55" s="135">
        <f t="shared" si="45"/>
        <v>2779493.7293151882</v>
      </c>
      <c r="AG55" s="227" t="s">
        <v>185</v>
      </c>
      <c r="AH55" s="240" t="s">
        <v>188</v>
      </c>
      <c r="AI55" s="240"/>
      <c r="AJ55" s="152"/>
    </row>
    <row r="56" spans="1:36" ht="15" customHeight="1" x14ac:dyDescent="0.25">
      <c r="A56" s="220" t="s">
        <v>160</v>
      </c>
      <c r="B56" s="221">
        <f>SUM(B53:B55)</f>
        <v>1</v>
      </c>
      <c r="C56" s="222">
        <f>SUM(C53:C55)</f>
        <v>0</v>
      </c>
      <c r="D56" s="222">
        <f t="shared" ref="D56:AF56" si="46">SUM(D53:D55)</f>
        <v>0</v>
      </c>
      <c r="E56" s="222">
        <f t="shared" si="46"/>
        <v>0</v>
      </c>
      <c r="F56" s="222">
        <f t="shared" si="46"/>
        <v>0</v>
      </c>
      <c r="G56" s="370">
        <f t="shared" si="46"/>
        <v>1809874.2932849037</v>
      </c>
      <c r="H56" s="222">
        <f t="shared" si="46"/>
        <v>2181715.6174457567</v>
      </c>
      <c r="I56" s="222">
        <f t="shared" si="46"/>
        <v>2559352.3655798268</v>
      </c>
      <c r="J56" s="222">
        <f t="shared" si="46"/>
        <v>2947629.8551915782</v>
      </c>
      <c r="K56" s="222">
        <f t="shared" si="46"/>
        <v>3191353.0230486775</v>
      </c>
      <c r="L56" s="222">
        <f t="shared" si="46"/>
        <v>3341503.2643794096</v>
      </c>
      <c r="M56" s="222">
        <f t="shared" si="46"/>
        <v>3423954.9510761448</v>
      </c>
      <c r="N56" s="222">
        <f t="shared" si="46"/>
        <v>3504677.9672516156</v>
      </c>
      <c r="O56" s="222">
        <f t="shared" si="46"/>
        <v>3582570.8521442888</v>
      </c>
      <c r="P56" s="222">
        <f t="shared" si="46"/>
        <v>3660752.253576017</v>
      </c>
      <c r="Q56" s="222">
        <f t="shared" si="46"/>
        <v>3739365.7427033782</v>
      </c>
      <c r="R56" s="222">
        <f t="shared" si="46"/>
        <v>3820410.9309752854</v>
      </c>
      <c r="S56" s="222">
        <f t="shared" si="46"/>
        <v>3905963.9620126318</v>
      </c>
      <c r="T56" s="222">
        <f t="shared" si="46"/>
        <v>3989922.8351431252</v>
      </c>
      <c r="U56" s="222">
        <f t="shared" si="46"/>
        <v>4074491.5603362266</v>
      </c>
      <c r="V56" s="222">
        <f t="shared" si="46"/>
        <v>4161688.8969931942</v>
      </c>
      <c r="W56" s="222">
        <f t="shared" si="46"/>
        <v>4253434.8555972967</v>
      </c>
      <c r="X56" s="222">
        <f t="shared" si="46"/>
        <v>4343663.7376494836</v>
      </c>
      <c r="Y56" s="222">
        <f t="shared" si="46"/>
        <v>4438616.7751247138</v>
      </c>
      <c r="Z56" s="222">
        <f t="shared" si="46"/>
        <v>4532195.5517044486</v>
      </c>
      <c r="AA56" s="222">
        <f t="shared" si="46"/>
        <v>4630646.343840776</v>
      </c>
      <c r="AB56" s="222">
        <f t="shared" si="46"/>
        <v>4729896.2667078339</v>
      </c>
      <c r="AC56" s="222">
        <f t="shared" si="46"/>
        <v>4830107.3748462312</v>
      </c>
      <c r="AD56" s="222">
        <f t="shared" si="46"/>
        <v>4933332.786406396</v>
      </c>
      <c r="AE56" s="222">
        <f t="shared" si="46"/>
        <v>5037674.5403967649</v>
      </c>
      <c r="AF56" s="222">
        <f t="shared" si="46"/>
        <v>5147210.6098429412</v>
      </c>
      <c r="AG56" s="227"/>
      <c r="AH56" s="238"/>
      <c r="AI56" s="238"/>
      <c r="AJ56" s="152"/>
    </row>
    <row r="57" spans="1:36" ht="8.1" customHeight="1" x14ac:dyDescent="0.25">
      <c r="A57" s="140"/>
      <c r="B57" s="101"/>
      <c r="C57" s="136"/>
      <c r="D57" s="136"/>
      <c r="E57" s="136"/>
      <c r="F57" s="205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227"/>
      <c r="AH57" s="238"/>
      <c r="AI57" s="238"/>
      <c r="AJ57" s="152"/>
    </row>
    <row r="58" spans="1:36" ht="15" customHeight="1" x14ac:dyDescent="0.25">
      <c r="A58" s="150" t="str">
        <f>CONCATENATE("Increase in ",A4," General Fund Revenues")</f>
        <v>Increase in Marina General Fund Revenues</v>
      </c>
      <c r="B58" s="251" t="s">
        <v>198</v>
      </c>
      <c r="C58" s="136"/>
      <c r="D58" s="136"/>
      <c r="E58" s="136"/>
      <c r="F58" s="205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227"/>
      <c r="AH58" s="238"/>
      <c r="AI58" s="238"/>
      <c r="AJ58" s="152"/>
    </row>
    <row r="59" spans="1:36" ht="30" customHeight="1" x14ac:dyDescent="0.25">
      <c r="A59" s="178" t="s">
        <v>199</v>
      </c>
      <c r="B59" s="252">
        <f>Scenarios!B7</f>
        <v>0.2</v>
      </c>
      <c r="C59" s="177">
        <v>0</v>
      </c>
      <c r="D59" s="177">
        <v>0</v>
      </c>
      <c r="E59" s="177">
        <f>E55*$B$59</f>
        <v>0</v>
      </c>
      <c r="F59" s="224">
        <f>F55*$B$59</f>
        <v>0</v>
      </c>
      <c r="G59" s="177">
        <f t="shared" ref="G59:L59" si="47">G55*$B$59</f>
        <v>195466.42367476961</v>
      </c>
      <c r="H59" s="177">
        <f t="shared" si="47"/>
        <v>235625.28668414173</v>
      </c>
      <c r="I59" s="177">
        <f t="shared" si="47"/>
        <v>276410.0554826213</v>
      </c>
      <c r="J59" s="177">
        <f t="shared" si="47"/>
        <v>318344.0243606905</v>
      </c>
      <c r="K59" s="177">
        <f t="shared" si="47"/>
        <v>344666.12648925721</v>
      </c>
      <c r="L59" s="177">
        <f t="shared" si="47"/>
        <v>360882.35255297628</v>
      </c>
      <c r="M59" s="177">
        <f>M55*$B$59</f>
        <v>369787.13471622369</v>
      </c>
      <c r="N59" s="177">
        <f t="shared" ref="N59:AF59" si="48">N55*$B$59</f>
        <v>378505.22046317445</v>
      </c>
      <c r="O59" s="177">
        <f t="shared" si="48"/>
        <v>386917.65203158319</v>
      </c>
      <c r="P59" s="177">
        <f t="shared" si="48"/>
        <v>395361.24338620988</v>
      </c>
      <c r="Q59" s="177">
        <f t="shared" si="48"/>
        <v>403851.50021196483</v>
      </c>
      <c r="R59" s="177">
        <f t="shared" si="48"/>
        <v>412604.38054533087</v>
      </c>
      <c r="S59" s="177">
        <f t="shared" si="48"/>
        <v>421844.1078973643</v>
      </c>
      <c r="T59" s="177">
        <f t="shared" si="48"/>
        <v>430911.66619545757</v>
      </c>
      <c r="U59" s="177">
        <f t="shared" si="48"/>
        <v>440045.08851631248</v>
      </c>
      <c r="V59" s="177">
        <f t="shared" si="48"/>
        <v>449462.40087526501</v>
      </c>
      <c r="W59" s="177">
        <f t="shared" si="48"/>
        <v>459370.96440450812</v>
      </c>
      <c r="X59" s="177">
        <f t="shared" si="48"/>
        <v>469115.68366614426</v>
      </c>
      <c r="Y59" s="177">
        <f t="shared" si="48"/>
        <v>479370.61171346914</v>
      </c>
      <c r="Z59" s="177">
        <f t="shared" si="48"/>
        <v>489477.11958408053</v>
      </c>
      <c r="AA59" s="177">
        <f t="shared" si="48"/>
        <v>500109.80513480381</v>
      </c>
      <c r="AB59" s="177">
        <f t="shared" si="48"/>
        <v>510828.79680444609</v>
      </c>
      <c r="AC59" s="177">
        <f t="shared" si="48"/>
        <v>521651.59648339305</v>
      </c>
      <c r="AD59" s="177">
        <f t="shared" si="48"/>
        <v>532799.94093189086</v>
      </c>
      <c r="AE59" s="177">
        <f t="shared" si="48"/>
        <v>544068.8503628507</v>
      </c>
      <c r="AF59" s="177">
        <f t="shared" si="48"/>
        <v>555898.74586303765</v>
      </c>
      <c r="AG59" s="235" t="s">
        <v>186</v>
      </c>
      <c r="AH59" s="245" t="s">
        <v>187</v>
      </c>
      <c r="AI59" s="245"/>
      <c r="AJ59" s="152"/>
    </row>
    <row r="60" spans="1:36" ht="15" hidden="1" customHeight="1" x14ac:dyDescent="0.25">
      <c r="A60" s="151" t="str">
        <f>CONCATENATE("Add Back In: 10% of Incremental FORA Share sent to ",A4)</f>
        <v>Add Back In: 10% of Incremental FORA Share sent to Marina</v>
      </c>
      <c r="B60" s="142"/>
      <c r="C60" s="145">
        <f t="shared" ref="C60:M60" si="49">-C47</f>
        <v>58388.38048041708</v>
      </c>
      <c r="D60" s="145">
        <f t="shared" si="49"/>
        <v>86860.47494988468</v>
      </c>
      <c r="E60" s="145">
        <f t="shared" si="49"/>
        <v>127624.28728822846</v>
      </c>
      <c r="F60" s="145">
        <f t="shared" si="49"/>
        <v>183103.66835950065</v>
      </c>
      <c r="G60" s="145">
        <f t="shared" si="49"/>
        <v>224690.39119165597</v>
      </c>
      <c r="H60" s="145">
        <f t="shared" si="49"/>
        <v>265954.62854286184</v>
      </c>
      <c r="I60" s="145">
        <f t="shared" si="49"/>
        <v>308044.15064109181</v>
      </c>
      <c r="J60" s="145">
        <f t="shared" si="49"/>
        <v>350975.46318128647</v>
      </c>
      <c r="K60" s="145">
        <f t="shared" si="49"/>
        <v>377978.47075540863</v>
      </c>
      <c r="L60" s="145">
        <f t="shared" si="49"/>
        <v>394958.68383326777</v>
      </c>
      <c r="M60" s="145">
        <f t="shared" si="49"/>
        <v>403921.07771512726</v>
      </c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227" t="s">
        <v>148</v>
      </c>
      <c r="AH60" s="238"/>
      <c r="AI60" s="238"/>
      <c r="AJ60" s="26"/>
    </row>
    <row r="61" spans="1:36" x14ac:dyDescent="0.25">
      <c r="A61" s="161" t="str">
        <f>CONCATENATE("Increase in Net Property Taxes Received by ",A4," General Fund *****")</f>
        <v>Increase in Net Property Taxes Received by Marina General Fund *****</v>
      </c>
      <c r="B61" s="161"/>
      <c r="C61" s="162">
        <f>C59</f>
        <v>0</v>
      </c>
      <c r="D61" s="351">
        <f t="shared" ref="D61:AF61" si="50">D59</f>
        <v>0</v>
      </c>
      <c r="E61" s="351">
        <f>E59</f>
        <v>0</v>
      </c>
      <c r="F61" s="162">
        <f>F59</f>
        <v>0</v>
      </c>
      <c r="G61" s="162">
        <f t="shared" si="50"/>
        <v>195466.42367476961</v>
      </c>
      <c r="H61" s="162">
        <f t="shared" si="50"/>
        <v>235625.28668414173</v>
      </c>
      <c r="I61" s="162">
        <f t="shared" si="50"/>
        <v>276410.0554826213</v>
      </c>
      <c r="J61" s="162">
        <f t="shared" si="50"/>
        <v>318344.0243606905</v>
      </c>
      <c r="K61" s="162">
        <f t="shared" si="50"/>
        <v>344666.12648925721</v>
      </c>
      <c r="L61" s="162">
        <f t="shared" si="50"/>
        <v>360882.35255297628</v>
      </c>
      <c r="M61" s="162">
        <f t="shared" si="50"/>
        <v>369787.13471622369</v>
      </c>
      <c r="N61" s="162">
        <f t="shared" si="50"/>
        <v>378505.22046317445</v>
      </c>
      <c r="O61" s="162">
        <f t="shared" si="50"/>
        <v>386917.65203158319</v>
      </c>
      <c r="P61" s="162">
        <f t="shared" si="50"/>
        <v>395361.24338620988</v>
      </c>
      <c r="Q61" s="162">
        <f t="shared" si="50"/>
        <v>403851.50021196483</v>
      </c>
      <c r="R61" s="162">
        <f t="shared" si="50"/>
        <v>412604.38054533087</v>
      </c>
      <c r="S61" s="162">
        <f t="shared" si="50"/>
        <v>421844.1078973643</v>
      </c>
      <c r="T61" s="162">
        <f t="shared" si="50"/>
        <v>430911.66619545757</v>
      </c>
      <c r="U61" s="162">
        <f t="shared" si="50"/>
        <v>440045.08851631248</v>
      </c>
      <c r="V61" s="162">
        <f t="shared" si="50"/>
        <v>449462.40087526501</v>
      </c>
      <c r="W61" s="162">
        <f t="shared" si="50"/>
        <v>459370.96440450812</v>
      </c>
      <c r="X61" s="162">
        <f t="shared" si="50"/>
        <v>469115.68366614426</v>
      </c>
      <c r="Y61" s="162">
        <f t="shared" si="50"/>
        <v>479370.61171346914</v>
      </c>
      <c r="Z61" s="162">
        <f t="shared" si="50"/>
        <v>489477.11958408053</v>
      </c>
      <c r="AA61" s="162">
        <f t="shared" si="50"/>
        <v>500109.80513480381</v>
      </c>
      <c r="AB61" s="162">
        <f t="shared" si="50"/>
        <v>510828.79680444609</v>
      </c>
      <c r="AC61" s="162">
        <f t="shared" si="50"/>
        <v>521651.59648339305</v>
      </c>
      <c r="AD61" s="162">
        <f t="shared" si="50"/>
        <v>532799.94093189086</v>
      </c>
      <c r="AE61" s="162">
        <f t="shared" si="50"/>
        <v>544068.8503628507</v>
      </c>
      <c r="AF61" s="162">
        <f t="shared" si="50"/>
        <v>555898.74586303765</v>
      </c>
      <c r="AG61" s="335"/>
      <c r="AH61" s="240" t="s">
        <v>216</v>
      </c>
      <c r="AI61" s="240"/>
    </row>
    <row r="62" spans="1:36" x14ac:dyDescent="0.25">
      <c r="A62" s="1" t="s">
        <v>103</v>
      </c>
      <c r="C62" s="109">
        <f>NPV(Assumptions!D4,'3 - Marina'!D61:AF61)+'3 - Marina'!C61</f>
        <v>5206398.107004419</v>
      </c>
      <c r="E62" s="352"/>
      <c r="AG62" s="227"/>
      <c r="AH62" s="238"/>
      <c r="AI62" s="238"/>
    </row>
    <row r="63" spans="1:36" x14ac:dyDescent="0.25">
      <c r="D63" s="80"/>
      <c r="AG63" s="227"/>
      <c r="AH63" s="238"/>
      <c r="AI63" s="238"/>
    </row>
    <row r="64" spans="1:36" x14ac:dyDescent="0.25">
      <c r="A64" s="19" t="s">
        <v>321</v>
      </c>
      <c r="D64" s="80"/>
      <c r="AG64" s="227"/>
      <c r="AH64" s="238"/>
      <c r="AI64" s="238"/>
    </row>
    <row r="65" spans="1:35" x14ac:dyDescent="0.25">
      <c r="A65" s="19" t="s">
        <v>95</v>
      </c>
      <c r="E65" s="80"/>
      <c r="AG65" s="227"/>
      <c r="AH65" s="238"/>
      <c r="AI65" s="238"/>
    </row>
    <row r="66" spans="1:35" x14ac:dyDescent="0.25">
      <c r="A66" s="19" t="s">
        <v>175</v>
      </c>
      <c r="E66" s="80"/>
      <c r="AG66" s="227"/>
      <c r="AH66" s="238"/>
      <c r="AI66" s="238"/>
    </row>
    <row r="67" spans="1:35" x14ac:dyDescent="0.25">
      <c r="A67" s="19" t="s">
        <v>259</v>
      </c>
      <c r="E67" s="80"/>
      <c r="AG67" s="227"/>
      <c r="AH67" s="238"/>
      <c r="AI67" s="238"/>
    </row>
    <row r="68" spans="1:35" x14ac:dyDescent="0.25">
      <c r="A68" s="19" t="s">
        <v>174</v>
      </c>
      <c r="AG68" s="227"/>
      <c r="AH68" s="238"/>
      <c r="AI68" s="238"/>
    </row>
    <row r="69" spans="1:35" x14ac:dyDescent="0.25">
      <c r="A69" s="19"/>
      <c r="AG69" s="227"/>
      <c r="AH69" s="238"/>
      <c r="AI69" s="238"/>
    </row>
    <row r="70" spans="1:35" ht="15.75" x14ac:dyDescent="0.25">
      <c r="A70" s="65"/>
      <c r="AG70" s="227"/>
      <c r="AH70" s="238"/>
      <c r="AI70" s="238"/>
    </row>
    <row r="71" spans="1:35" x14ac:dyDescent="0.25">
      <c r="AG71" s="227"/>
      <c r="AH71" s="238"/>
      <c r="AI71" s="238"/>
    </row>
    <row r="72" spans="1:35" x14ac:dyDescent="0.25">
      <c r="AG72" s="236"/>
      <c r="AH72" s="246"/>
      <c r="AI72" s="246"/>
    </row>
  </sheetData>
  <mergeCells count="13">
    <mergeCell ref="AU22:AU25"/>
    <mergeCell ref="AV22:AV25"/>
    <mergeCell ref="AP23:AP25"/>
    <mergeCell ref="AQ23:AQ25"/>
    <mergeCell ref="AM24:AM25"/>
    <mergeCell ref="C6:F6"/>
    <mergeCell ref="B45:B46"/>
    <mergeCell ref="AH10:AH12"/>
    <mergeCell ref="AT21:AT25"/>
    <mergeCell ref="AN22:AN25"/>
    <mergeCell ref="AO22:AO25"/>
    <mergeCell ref="AR22:AR25"/>
    <mergeCell ref="AS22:AS25"/>
  </mergeCells>
  <pageMargins left="0.25" right="0.25" top="0.75" bottom="0.75" header="0.3" footer="0.3"/>
  <pageSetup scale="55" orientation="landscape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AJ69"/>
  <sheetViews>
    <sheetView showGridLines="0" zoomScale="85" zoomScaleNormal="85" workbookViewId="0">
      <selection activeCell="G2" sqref="G2"/>
    </sheetView>
  </sheetViews>
  <sheetFormatPr defaultColWidth="8.85546875" defaultRowHeight="15" x14ac:dyDescent="0.25"/>
  <cols>
    <col min="1" max="1" width="63.28515625" customWidth="1"/>
    <col min="2" max="2" width="15.28515625" customWidth="1"/>
    <col min="3" max="32" width="13.28515625" customWidth="1"/>
    <col min="33" max="33" width="4.28515625" style="226" bestFit="1" customWidth="1"/>
    <col min="34" max="34" width="16.7109375" style="237" customWidth="1"/>
    <col min="35" max="35" width="13.85546875" customWidth="1"/>
  </cols>
  <sheetData>
    <row r="1" spans="1:36" ht="18.75" x14ac:dyDescent="0.3">
      <c r="A1" s="53" t="s">
        <v>56</v>
      </c>
    </row>
    <row r="2" spans="1:36" ht="18.75" x14ac:dyDescent="0.3">
      <c r="A2" s="54" t="s">
        <v>128</v>
      </c>
    </row>
    <row r="3" spans="1:36" ht="18.75" x14ac:dyDescent="0.3">
      <c r="A3" s="54"/>
    </row>
    <row r="4" spans="1:36" ht="18.75" x14ac:dyDescent="0.3">
      <c r="A4" s="160" t="s">
        <v>3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</row>
    <row r="5" spans="1:36" x14ac:dyDescent="0.25">
      <c r="A5" s="52"/>
      <c r="AI5" s="264"/>
    </row>
    <row r="6" spans="1:36" x14ac:dyDescent="0.25">
      <c r="A6" s="52"/>
      <c r="B6" s="257"/>
      <c r="C6" s="442" t="s">
        <v>59</v>
      </c>
      <c r="D6" s="442"/>
      <c r="E6" s="442"/>
      <c r="F6" s="442"/>
      <c r="G6" s="350" t="s">
        <v>60</v>
      </c>
      <c r="H6" s="350"/>
      <c r="I6" s="350"/>
      <c r="J6" s="350"/>
      <c r="K6" s="350"/>
      <c r="L6" s="350"/>
      <c r="M6" s="350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I6" s="265"/>
    </row>
    <row r="7" spans="1:36" x14ac:dyDescent="0.25">
      <c r="A7" s="258" t="s">
        <v>92</v>
      </c>
      <c r="B7" s="259" t="s">
        <v>9</v>
      </c>
      <c r="C7" s="97">
        <v>201819</v>
      </c>
      <c r="D7" s="97">
        <f t="shared" ref="D7:AF7" si="0">C7+101</f>
        <v>201920</v>
      </c>
      <c r="E7" s="97">
        <f t="shared" si="0"/>
        <v>202021</v>
      </c>
      <c r="F7" s="97">
        <f t="shared" si="0"/>
        <v>202122</v>
      </c>
      <c r="G7" s="337">
        <f t="shared" si="0"/>
        <v>202223</v>
      </c>
      <c r="H7" s="337">
        <f t="shared" si="0"/>
        <v>202324</v>
      </c>
      <c r="I7" s="337">
        <f t="shared" si="0"/>
        <v>202425</v>
      </c>
      <c r="J7" s="337">
        <f t="shared" si="0"/>
        <v>202526</v>
      </c>
      <c r="K7" s="337">
        <f>J7+101</f>
        <v>202627</v>
      </c>
      <c r="L7" s="337">
        <f t="shared" si="0"/>
        <v>202728</v>
      </c>
      <c r="M7" s="337">
        <f t="shared" si="0"/>
        <v>202829</v>
      </c>
      <c r="N7" s="337">
        <f t="shared" si="0"/>
        <v>202930</v>
      </c>
      <c r="O7" s="337">
        <f t="shared" si="0"/>
        <v>203031</v>
      </c>
      <c r="P7" s="337">
        <f t="shared" si="0"/>
        <v>203132</v>
      </c>
      <c r="Q7" s="337">
        <f t="shared" si="0"/>
        <v>203233</v>
      </c>
      <c r="R7" s="337">
        <f t="shared" si="0"/>
        <v>203334</v>
      </c>
      <c r="S7" s="337">
        <f t="shared" si="0"/>
        <v>203435</v>
      </c>
      <c r="T7" s="337">
        <f t="shared" si="0"/>
        <v>203536</v>
      </c>
      <c r="U7" s="337">
        <f t="shared" si="0"/>
        <v>203637</v>
      </c>
      <c r="V7" s="337">
        <f t="shared" si="0"/>
        <v>203738</v>
      </c>
      <c r="W7" s="337">
        <f t="shared" si="0"/>
        <v>203839</v>
      </c>
      <c r="X7" s="337">
        <f t="shared" si="0"/>
        <v>203940</v>
      </c>
      <c r="Y7" s="337">
        <f t="shared" si="0"/>
        <v>204041</v>
      </c>
      <c r="Z7" s="337">
        <f t="shared" si="0"/>
        <v>204142</v>
      </c>
      <c r="AA7" s="337">
        <f t="shared" si="0"/>
        <v>204243</v>
      </c>
      <c r="AB7" s="337">
        <f t="shared" si="0"/>
        <v>204344</v>
      </c>
      <c r="AC7" s="337">
        <f t="shared" si="0"/>
        <v>204445</v>
      </c>
      <c r="AD7" s="337">
        <f t="shared" si="0"/>
        <v>204546</v>
      </c>
      <c r="AE7" s="337">
        <f t="shared" si="0"/>
        <v>204647</v>
      </c>
      <c r="AF7" s="337">
        <f t="shared" si="0"/>
        <v>204748</v>
      </c>
      <c r="AG7" s="227"/>
      <c r="AH7" s="238"/>
      <c r="AI7" s="265"/>
    </row>
    <row r="8" spans="1:36" x14ac:dyDescent="0.25">
      <c r="A8" s="139" t="s">
        <v>43</v>
      </c>
      <c r="B8" s="260">
        <v>533000</v>
      </c>
      <c r="C8" s="247">
        <v>192</v>
      </c>
      <c r="D8" s="247">
        <v>235</v>
      </c>
      <c r="E8" s="419">
        <v>50</v>
      </c>
      <c r="F8" s="61">
        <v>60</v>
      </c>
      <c r="G8" s="419">
        <v>85</v>
      </c>
      <c r="H8" s="419">
        <v>85</v>
      </c>
      <c r="I8" s="419">
        <v>85</v>
      </c>
      <c r="J8" s="419">
        <v>54</v>
      </c>
      <c r="K8" s="419">
        <v>72</v>
      </c>
      <c r="L8" s="419">
        <v>60</v>
      </c>
      <c r="M8" s="419">
        <v>220</v>
      </c>
      <c r="N8" s="419">
        <v>220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60">
        <v>0</v>
      </c>
      <c r="AD8" s="60">
        <v>0</v>
      </c>
      <c r="AE8" s="60">
        <v>0</v>
      </c>
      <c r="AF8" s="60">
        <v>0</v>
      </c>
      <c r="AG8" s="227"/>
      <c r="AH8" s="238"/>
      <c r="AI8" s="265"/>
    </row>
    <row r="9" spans="1:36" x14ac:dyDescent="0.25">
      <c r="A9" s="139" t="s">
        <v>44</v>
      </c>
      <c r="B9" s="261">
        <v>220</v>
      </c>
      <c r="C9" s="247">
        <v>0</v>
      </c>
      <c r="D9" s="247">
        <v>23000</v>
      </c>
      <c r="E9" s="60">
        <v>0</v>
      </c>
      <c r="F9" s="61">
        <v>0</v>
      </c>
      <c r="G9" s="60">
        <v>50000</v>
      </c>
      <c r="H9" s="60">
        <v>50000</v>
      </c>
      <c r="I9" s="60">
        <v>50000</v>
      </c>
      <c r="J9" s="60">
        <v>50000</v>
      </c>
      <c r="K9" s="60">
        <v>50000</v>
      </c>
      <c r="L9" s="60">
        <v>50000</v>
      </c>
      <c r="M9" s="60">
        <v>50000</v>
      </c>
      <c r="N9" s="60">
        <v>50000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60">
        <v>0</v>
      </c>
      <c r="AD9" s="60">
        <v>0</v>
      </c>
      <c r="AE9" s="60">
        <v>0</v>
      </c>
      <c r="AF9" s="60">
        <v>0</v>
      </c>
      <c r="AG9" s="227"/>
      <c r="AH9" s="238"/>
      <c r="AI9" s="265"/>
    </row>
    <row r="10" spans="1:36" x14ac:dyDescent="0.25">
      <c r="A10" s="139" t="s">
        <v>45</v>
      </c>
      <c r="B10" s="261">
        <v>90</v>
      </c>
      <c r="C10" s="247">
        <v>0</v>
      </c>
      <c r="D10" s="247">
        <v>0</v>
      </c>
      <c r="E10" s="60">
        <v>0</v>
      </c>
      <c r="F10" s="61">
        <v>0</v>
      </c>
      <c r="G10" s="60">
        <v>0</v>
      </c>
      <c r="H10" s="60">
        <v>10000</v>
      </c>
      <c r="I10" s="60">
        <v>10000</v>
      </c>
      <c r="J10" s="60">
        <v>10000</v>
      </c>
      <c r="K10" s="60">
        <v>40000</v>
      </c>
      <c r="L10" s="60">
        <v>30000</v>
      </c>
      <c r="M10" s="60">
        <v>10000</v>
      </c>
      <c r="N10" s="60">
        <v>10000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C10" s="60">
        <v>0</v>
      </c>
      <c r="AD10" s="60">
        <v>0</v>
      </c>
      <c r="AE10" s="60">
        <v>0</v>
      </c>
      <c r="AF10" s="60">
        <v>0</v>
      </c>
      <c r="AG10" s="334"/>
      <c r="AH10" s="444" t="s">
        <v>197</v>
      </c>
      <c r="AI10" s="265"/>
    </row>
    <row r="11" spans="1:36" ht="15" customHeight="1" x14ac:dyDescent="0.25">
      <c r="A11" s="139" t="s">
        <v>46</v>
      </c>
      <c r="B11" s="261">
        <v>265</v>
      </c>
      <c r="C11" s="247">
        <v>0</v>
      </c>
      <c r="D11" s="247">
        <v>20000</v>
      </c>
      <c r="E11" s="60">
        <v>40000</v>
      </c>
      <c r="F11" s="61">
        <v>150000</v>
      </c>
      <c r="G11" s="60">
        <v>30000</v>
      </c>
      <c r="H11" s="60">
        <v>40000</v>
      </c>
      <c r="I11" s="60">
        <v>50000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60">
        <v>0</v>
      </c>
      <c r="AD11" s="60">
        <v>0</v>
      </c>
      <c r="AE11" s="60">
        <v>0</v>
      </c>
      <c r="AF11" s="60">
        <v>0</v>
      </c>
      <c r="AG11" s="334"/>
      <c r="AH11" s="444"/>
      <c r="AI11" s="143"/>
    </row>
    <row r="12" spans="1:36" ht="26.25" x14ac:dyDescent="0.25">
      <c r="A12" s="139" t="s">
        <v>47</v>
      </c>
      <c r="B12" s="262">
        <v>162000</v>
      </c>
      <c r="C12" s="249">
        <v>0</v>
      </c>
      <c r="D12" s="249">
        <v>0</v>
      </c>
      <c r="E12" s="60">
        <v>0</v>
      </c>
      <c r="F12" s="61">
        <v>600</v>
      </c>
      <c r="G12" s="60">
        <v>330</v>
      </c>
      <c r="H12" s="60">
        <v>344</v>
      </c>
      <c r="I12" s="60">
        <v>0</v>
      </c>
      <c r="J12" s="60">
        <v>0</v>
      </c>
      <c r="K12" s="60">
        <v>0</v>
      </c>
      <c r="L12" s="60">
        <v>100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60">
        <v>0</v>
      </c>
      <c r="AD12" s="60">
        <v>0</v>
      </c>
      <c r="AE12" s="60">
        <v>0</v>
      </c>
      <c r="AF12" s="60">
        <v>0</v>
      </c>
      <c r="AG12" s="334" t="s">
        <v>189</v>
      </c>
      <c r="AH12" s="444"/>
      <c r="AI12" s="152"/>
    </row>
    <row r="13" spans="1:36" x14ac:dyDescent="0.25">
      <c r="A13" s="37" t="s">
        <v>49</v>
      </c>
      <c r="B13" s="24"/>
      <c r="C13" s="318">
        <v>1622985</v>
      </c>
      <c r="D13" s="136">
        <v>165612790</v>
      </c>
      <c r="E13" s="302">
        <f>SUMPRODUCT($B$8:$B$12,E8:E12)</f>
        <v>37250000</v>
      </c>
      <c r="F13" s="378">
        <f>SUMPRODUCT($B$8:$B$12,F8:F12)</f>
        <v>168930000</v>
      </c>
      <c r="G13" s="302">
        <f t="shared" ref="G13:AF13" si="1">SUMPRODUCT($B$8:$B$12,G8:G12)</f>
        <v>117715000</v>
      </c>
      <c r="H13" s="302">
        <f t="shared" si="1"/>
        <v>123533000</v>
      </c>
      <c r="I13" s="302">
        <f t="shared" si="1"/>
        <v>70455000</v>
      </c>
      <c r="J13" s="302">
        <f t="shared" si="1"/>
        <v>40682000</v>
      </c>
      <c r="K13" s="302">
        <f t="shared" si="1"/>
        <v>52976000</v>
      </c>
      <c r="L13" s="302">
        <f t="shared" si="1"/>
        <v>61880000</v>
      </c>
      <c r="M13" s="302">
        <f t="shared" si="1"/>
        <v>129160000</v>
      </c>
      <c r="N13" s="302">
        <f t="shared" si="1"/>
        <v>129160000</v>
      </c>
      <c r="O13" s="302">
        <f t="shared" si="1"/>
        <v>0</v>
      </c>
      <c r="P13" s="302">
        <f t="shared" si="1"/>
        <v>0</v>
      </c>
      <c r="Q13" s="302">
        <f t="shared" si="1"/>
        <v>0</v>
      </c>
      <c r="R13" s="302">
        <f t="shared" si="1"/>
        <v>0</v>
      </c>
      <c r="S13" s="302">
        <f t="shared" si="1"/>
        <v>0</v>
      </c>
      <c r="T13" s="302">
        <f t="shared" si="1"/>
        <v>0</v>
      </c>
      <c r="U13" s="302">
        <f t="shared" si="1"/>
        <v>0</v>
      </c>
      <c r="V13" s="302">
        <f t="shared" si="1"/>
        <v>0</v>
      </c>
      <c r="W13" s="302">
        <f t="shared" si="1"/>
        <v>0</v>
      </c>
      <c r="X13" s="302">
        <f t="shared" si="1"/>
        <v>0</v>
      </c>
      <c r="Y13" s="302">
        <f t="shared" si="1"/>
        <v>0</v>
      </c>
      <c r="Z13" s="302">
        <f t="shared" si="1"/>
        <v>0</v>
      </c>
      <c r="AA13" s="302">
        <f t="shared" si="1"/>
        <v>0</v>
      </c>
      <c r="AB13" s="302">
        <f t="shared" si="1"/>
        <v>0</v>
      </c>
      <c r="AC13" s="302">
        <f t="shared" si="1"/>
        <v>0</v>
      </c>
      <c r="AD13" s="302">
        <f t="shared" si="1"/>
        <v>0</v>
      </c>
      <c r="AE13" s="302">
        <f t="shared" si="1"/>
        <v>0</v>
      </c>
      <c r="AF13" s="302">
        <f t="shared" si="1"/>
        <v>0</v>
      </c>
      <c r="AG13" s="229" t="s">
        <v>143</v>
      </c>
      <c r="AH13" s="239"/>
      <c r="AI13" s="143"/>
      <c r="AJ13" s="24"/>
    </row>
    <row r="14" spans="1:36" x14ac:dyDescent="0.25">
      <c r="A14" t="s">
        <v>97</v>
      </c>
      <c r="C14" s="319">
        <f>C16-C13-C15</f>
        <v>366312020.5882355</v>
      </c>
      <c r="D14" s="136">
        <f>C16</f>
        <v>375261246</v>
      </c>
      <c r="E14" s="175">
        <f>D16</f>
        <v>548379260.91999996</v>
      </c>
      <c r="F14" s="293">
        <f>E16</f>
        <v>596596846.13839996</v>
      </c>
      <c r="G14" s="144">
        <f t="shared" ref="G14:AF14" si="2">F16</f>
        <v>777458783.06116796</v>
      </c>
      <c r="H14" s="144">
        <f t="shared" si="2"/>
        <v>910722958.72239137</v>
      </c>
      <c r="I14" s="144">
        <f t="shared" si="2"/>
        <v>1052470417.8968391</v>
      </c>
      <c r="J14" s="144">
        <f t="shared" si="2"/>
        <v>1143974826.254776</v>
      </c>
      <c r="K14" s="144">
        <f t="shared" si="2"/>
        <v>1207536322.7798715</v>
      </c>
      <c r="L14" s="144">
        <f t="shared" si="2"/>
        <v>1284663049.2354689</v>
      </c>
      <c r="M14" s="144">
        <f t="shared" si="2"/>
        <v>1372236310.2201781</v>
      </c>
      <c r="N14" s="144">
        <f t="shared" si="2"/>
        <v>1528841036.4245818</v>
      </c>
      <c r="O14" s="144">
        <f t="shared" si="2"/>
        <v>1688577857.1530733</v>
      </c>
      <c r="P14" s="144">
        <f t="shared" si="2"/>
        <v>1722349414.2961347</v>
      </c>
      <c r="Q14" s="144">
        <f t="shared" si="2"/>
        <v>1756796402.5820575</v>
      </c>
      <c r="R14" s="144">
        <f t="shared" si="2"/>
        <v>1791932330.6336987</v>
      </c>
      <c r="S14" s="144">
        <f t="shared" si="2"/>
        <v>1827770977.2463727</v>
      </c>
      <c r="T14" s="144">
        <f t="shared" si="2"/>
        <v>1864326396.7913001</v>
      </c>
      <c r="U14" s="144">
        <f t="shared" si="2"/>
        <v>1901612924.7271261</v>
      </c>
      <c r="V14" s="144">
        <f t="shared" si="2"/>
        <v>1939645183.2216687</v>
      </c>
      <c r="W14" s="144">
        <f t="shared" si="2"/>
        <v>1978438086.8861022</v>
      </c>
      <c r="X14" s="144">
        <f t="shared" si="2"/>
        <v>2018006848.6238244</v>
      </c>
      <c r="Y14" s="144">
        <f t="shared" si="2"/>
        <v>2058366985.5963008</v>
      </c>
      <c r="Z14" s="144">
        <f t="shared" si="2"/>
        <v>2099534325.3082268</v>
      </c>
      <c r="AA14" s="144">
        <f t="shared" si="2"/>
        <v>2141525011.8143914</v>
      </c>
      <c r="AB14" s="144">
        <f t="shared" si="2"/>
        <v>2184355512.0506792</v>
      </c>
      <c r="AC14" s="144">
        <f t="shared" si="2"/>
        <v>2228042622.2916927</v>
      </c>
      <c r="AD14" s="144">
        <f t="shared" si="2"/>
        <v>2272603474.7375264</v>
      </c>
      <c r="AE14" s="144">
        <f t="shared" si="2"/>
        <v>2318055544.2322769</v>
      </c>
      <c r="AF14" s="144">
        <f t="shared" si="2"/>
        <v>2364416655.1169224</v>
      </c>
      <c r="AG14" s="227" t="s">
        <v>145</v>
      </c>
      <c r="AH14" s="238"/>
      <c r="AI14" s="152"/>
    </row>
    <row r="15" spans="1:36" x14ac:dyDescent="0.25">
      <c r="A15" t="s">
        <v>94</v>
      </c>
      <c r="B15" s="8"/>
      <c r="C15" s="320">
        <v>7326240.4117645184</v>
      </c>
      <c r="D15" s="132">
        <f>D14*0.02</f>
        <v>7505224.9199999999</v>
      </c>
      <c r="E15" s="136">
        <f>E14*0.02</f>
        <v>10967585.2184</v>
      </c>
      <c r="F15" s="206">
        <f t="shared" ref="F15:AF15" si="3">F14*0.02</f>
        <v>11931936.922767999</v>
      </c>
      <c r="G15" s="132">
        <f t="shared" si="3"/>
        <v>15549175.661223359</v>
      </c>
      <c r="H15" s="132">
        <f t="shared" si="3"/>
        <v>18214459.174447827</v>
      </c>
      <c r="I15" s="132">
        <f t="shared" si="3"/>
        <v>21049408.357936785</v>
      </c>
      <c r="J15" s="132">
        <f t="shared" si="3"/>
        <v>22879496.525095519</v>
      </c>
      <c r="K15" s="132">
        <f t="shared" si="3"/>
        <v>24150726.45559743</v>
      </c>
      <c r="L15" s="132">
        <f t="shared" si="3"/>
        <v>25693260.984709378</v>
      </c>
      <c r="M15" s="132">
        <f t="shared" si="3"/>
        <v>27444726.204403564</v>
      </c>
      <c r="N15" s="132">
        <f t="shared" si="3"/>
        <v>30576820.728491634</v>
      </c>
      <c r="O15" s="132">
        <f t="shared" si="3"/>
        <v>33771557.143061467</v>
      </c>
      <c r="P15" s="132">
        <f t="shared" si="3"/>
        <v>34446988.285922691</v>
      </c>
      <c r="Q15" s="132">
        <f t="shared" si="3"/>
        <v>35135928.051641151</v>
      </c>
      <c r="R15" s="132">
        <f t="shared" si="3"/>
        <v>35838646.612673976</v>
      </c>
      <c r="S15" s="132">
        <f t="shared" si="3"/>
        <v>36555419.544927455</v>
      </c>
      <c r="T15" s="132">
        <f t="shared" si="3"/>
        <v>37286527.935826004</v>
      </c>
      <c r="U15" s="132">
        <f t="shared" si="3"/>
        <v>38032258.494542524</v>
      </c>
      <c r="V15" s="132">
        <f t="shared" si="3"/>
        <v>38792903.664433375</v>
      </c>
      <c r="W15" s="132">
        <f t="shared" si="3"/>
        <v>39568761.737722047</v>
      </c>
      <c r="X15" s="132">
        <f t="shared" si="3"/>
        <v>40360136.97247649</v>
      </c>
      <c r="Y15" s="132">
        <f t="shared" si="3"/>
        <v>41167339.711926021</v>
      </c>
      <c r="Z15" s="132">
        <f t="shared" si="3"/>
        <v>41990686.506164536</v>
      </c>
      <c r="AA15" s="132">
        <f t="shared" si="3"/>
        <v>42830500.236287825</v>
      </c>
      <c r="AB15" s="132">
        <f t="shared" si="3"/>
        <v>43687110.241013587</v>
      </c>
      <c r="AC15" s="132">
        <f t="shared" si="3"/>
        <v>44560852.445833854</v>
      </c>
      <c r="AD15" s="132">
        <f t="shared" si="3"/>
        <v>45452069.49475053</v>
      </c>
      <c r="AE15" s="132">
        <f t="shared" si="3"/>
        <v>46361110.884645537</v>
      </c>
      <c r="AF15" s="132">
        <f t="shared" si="3"/>
        <v>47288333.102338448</v>
      </c>
      <c r="AG15" s="227" t="s">
        <v>146</v>
      </c>
      <c r="AH15" s="238"/>
      <c r="AI15" s="152"/>
    </row>
    <row r="16" spans="1:36" x14ac:dyDescent="0.25">
      <c r="A16" t="s">
        <v>203</v>
      </c>
      <c r="C16" s="82">
        <f>C20/B20</f>
        <v>375261246</v>
      </c>
      <c r="D16" s="173">
        <f t="shared" ref="D16:AF16" si="4">D13+D14+D15</f>
        <v>548379260.91999996</v>
      </c>
      <c r="E16" s="303">
        <f t="shared" si="4"/>
        <v>596596846.13839996</v>
      </c>
      <c r="F16" s="207">
        <f t="shared" si="4"/>
        <v>777458783.06116796</v>
      </c>
      <c r="G16" s="82">
        <f t="shared" si="4"/>
        <v>910722958.72239137</v>
      </c>
      <c r="H16" s="82">
        <f t="shared" si="4"/>
        <v>1052470417.8968391</v>
      </c>
      <c r="I16" s="82">
        <f t="shared" si="4"/>
        <v>1143974826.254776</v>
      </c>
      <c r="J16" s="82">
        <f t="shared" si="4"/>
        <v>1207536322.7798715</v>
      </c>
      <c r="K16" s="82">
        <f t="shared" si="4"/>
        <v>1284663049.2354689</v>
      </c>
      <c r="L16" s="82">
        <f t="shared" si="4"/>
        <v>1372236310.2201781</v>
      </c>
      <c r="M16" s="82">
        <f t="shared" si="4"/>
        <v>1528841036.4245818</v>
      </c>
      <c r="N16" s="82">
        <f t="shared" si="4"/>
        <v>1688577857.1530733</v>
      </c>
      <c r="O16" s="82">
        <f t="shared" si="4"/>
        <v>1722349414.2961347</v>
      </c>
      <c r="P16" s="82">
        <f t="shared" si="4"/>
        <v>1756796402.5820575</v>
      </c>
      <c r="Q16" s="82">
        <f t="shared" si="4"/>
        <v>1791932330.6336987</v>
      </c>
      <c r="R16" s="82">
        <f t="shared" si="4"/>
        <v>1827770977.2463727</v>
      </c>
      <c r="S16" s="82">
        <f t="shared" si="4"/>
        <v>1864326396.7913001</v>
      </c>
      <c r="T16" s="82">
        <f t="shared" si="4"/>
        <v>1901612924.7271261</v>
      </c>
      <c r="U16" s="82">
        <f t="shared" si="4"/>
        <v>1939645183.2216687</v>
      </c>
      <c r="V16" s="82">
        <f t="shared" si="4"/>
        <v>1978438086.8861022</v>
      </c>
      <c r="W16" s="82">
        <f t="shared" si="4"/>
        <v>2018006848.6238244</v>
      </c>
      <c r="X16" s="82">
        <f t="shared" si="4"/>
        <v>2058366985.5963008</v>
      </c>
      <c r="Y16" s="82">
        <f t="shared" si="4"/>
        <v>2099534325.3082268</v>
      </c>
      <c r="Z16" s="82">
        <f t="shared" si="4"/>
        <v>2141525011.8143914</v>
      </c>
      <c r="AA16" s="82">
        <f t="shared" si="4"/>
        <v>2184355512.0506792</v>
      </c>
      <c r="AB16" s="82">
        <f t="shared" si="4"/>
        <v>2228042622.2916927</v>
      </c>
      <c r="AC16" s="82">
        <f t="shared" si="4"/>
        <v>2272603474.7375264</v>
      </c>
      <c r="AD16" s="82">
        <f t="shared" si="4"/>
        <v>2318055544.2322769</v>
      </c>
      <c r="AE16" s="82">
        <f t="shared" si="4"/>
        <v>2364416655.1169224</v>
      </c>
      <c r="AF16" s="82">
        <f t="shared" si="4"/>
        <v>2411704988.2192607</v>
      </c>
      <c r="AG16" s="335" t="s">
        <v>176</v>
      </c>
      <c r="AH16" s="240" t="s">
        <v>190</v>
      </c>
      <c r="AI16" s="152"/>
    </row>
    <row r="17" spans="1:35" x14ac:dyDescent="0.25">
      <c r="A17" t="s">
        <v>12</v>
      </c>
      <c r="C17" s="146">
        <f t="shared" ref="C17:AF17" si="5">-$B$6</f>
        <v>0</v>
      </c>
      <c r="D17" s="146">
        <f t="shared" si="5"/>
        <v>0</v>
      </c>
      <c r="E17" s="69">
        <f t="shared" si="5"/>
        <v>0</v>
      </c>
      <c r="F17" s="294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  <c r="Z17" s="56">
        <f t="shared" si="5"/>
        <v>0</v>
      </c>
      <c r="AA17" s="56">
        <f t="shared" si="5"/>
        <v>0</v>
      </c>
      <c r="AB17" s="56">
        <f t="shared" si="5"/>
        <v>0</v>
      </c>
      <c r="AC17" s="56">
        <f t="shared" si="5"/>
        <v>0</v>
      </c>
      <c r="AD17" s="56">
        <f t="shared" si="5"/>
        <v>0</v>
      </c>
      <c r="AE17" s="56">
        <f t="shared" si="5"/>
        <v>0</v>
      </c>
      <c r="AF17" s="56">
        <f t="shared" si="5"/>
        <v>0</v>
      </c>
      <c r="AG17" s="227" t="s">
        <v>144</v>
      </c>
      <c r="AH17" s="238" t="s">
        <v>144</v>
      </c>
      <c r="AI17" s="152"/>
    </row>
    <row r="18" spans="1:35" x14ac:dyDescent="0.25">
      <c r="A18" s="1" t="s">
        <v>51</v>
      </c>
      <c r="C18" s="96">
        <f>C20/B20</f>
        <v>375261246</v>
      </c>
      <c r="D18" s="299">
        <f t="shared" ref="D18:AF18" si="6">SUM(D16:D17)</f>
        <v>548379260.91999996</v>
      </c>
      <c r="E18" s="353">
        <f t="shared" si="6"/>
        <v>596596846.13839996</v>
      </c>
      <c r="F18" s="295">
        <f t="shared" si="6"/>
        <v>777458783.06116796</v>
      </c>
      <c r="G18" s="70">
        <f t="shared" si="6"/>
        <v>910722958.72239137</v>
      </c>
      <c r="H18" s="70">
        <f t="shared" si="6"/>
        <v>1052470417.8968391</v>
      </c>
      <c r="I18" s="70">
        <f t="shared" si="6"/>
        <v>1143974826.254776</v>
      </c>
      <c r="J18" s="70">
        <f t="shared" si="6"/>
        <v>1207536322.7798715</v>
      </c>
      <c r="K18" s="70">
        <f t="shared" si="6"/>
        <v>1284663049.2354689</v>
      </c>
      <c r="L18" s="70">
        <f t="shared" si="6"/>
        <v>1372236310.2201781</v>
      </c>
      <c r="M18" s="70">
        <f t="shared" si="6"/>
        <v>1528841036.4245818</v>
      </c>
      <c r="N18" s="70">
        <f t="shared" si="6"/>
        <v>1688577857.1530733</v>
      </c>
      <c r="O18" s="70">
        <f t="shared" si="6"/>
        <v>1722349414.2961347</v>
      </c>
      <c r="P18" s="70">
        <f t="shared" si="6"/>
        <v>1756796402.5820575</v>
      </c>
      <c r="Q18" s="70">
        <f t="shared" si="6"/>
        <v>1791932330.6336987</v>
      </c>
      <c r="R18" s="70">
        <f t="shared" si="6"/>
        <v>1827770977.2463727</v>
      </c>
      <c r="S18" s="70">
        <f t="shared" si="6"/>
        <v>1864326396.7913001</v>
      </c>
      <c r="T18" s="70">
        <f t="shared" si="6"/>
        <v>1901612924.7271261</v>
      </c>
      <c r="U18" s="70">
        <f t="shared" si="6"/>
        <v>1939645183.2216687</v>
      </c>
      <c r="V18" s="70">
        <f t="shared" si="6"/>
        <v>1978438086.8861022</v>
      </c>
      <c r="W18" s="70">
        <f t="shared" si="6"/>
        <v>2018006848.6238244</v>
      </c>
      <c r="X18" s="70">
        <f t="shared" si="6"/>
        <v>2058366985.5963008</v>
      </c>
      <c r="Y18" s="70">
        <f t="shared" si="6"/>
        <v>2099534325.3082268</v>
      </c>
      <c r="Z18" s="70">
        <f t="shared" si="6"/>
        <v>2141525011.8143914</v>
      </c>
      <c r="AA18" s="70">
        <f t="shared" si="6"/>
        <v>2184355512.0506792</v>
      </c>
      <c r="AB18" s="70">
        <f t="shared" si="6"/>
        <v>2228042622.2916927</v>
      </c>
      <c r="AC18" s="70">
        <f t="shared" si="6"/>
        <v>2272603474.7375264</v>
      </c>
      <c r="AD18" s="70">
        <f t="shared" si="6"/>
        <v>2318055544.2322769</v>
      </c>
      <c r="AE18" s="70">
        <f t="shared" si="6"/>
        <v>2364416655.1169224</v>
      </c>
      <c r="AF18" s="70">
        <f t="shared" si="6"/>
        <v>2411704988.2192607</v>
      </c>
      <c r="AG18" s="227" t="s">
        <v>177</v>
      </c>
      <c r="AH18" s="238" t="s">
        <v>191</v>
      </c>
      <c r="AI18" s="152"/>
    </row>
    <row r="19" spans="1:35" ht="8.1" customHeight="1" x14ac:dyDescent="0.25">
      <c r="C19" s="82"/>
      <c r="D19" s="173"/>
      <c r="E19" s="69"/>
      <c r="F19" s="296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227"/>
      <c r="AH19" s="238"/>
      <c r="AI19" s="152"/>
    </row>
    <row r="20" spans="1:35" x14ac:dyDescent="0.25">
      <c r="A20" t="s">
        <v>42</v>
      </c>
      <c r="B20" s="253">
        <v>0.01</v>
      </c>
      <c r="C20" s="82">
        <f>440.8+3752171.66</f>
        <v>3752612.46</v>
      </c>
      <c r="D20" s="173">
        <f>D18*B20</f>
        <v>5483792.6091999998</v>
      </c>
      <c r="E20" s="69">
        <f t="shared" ref="E20:L20" si="7">1%*E18</f>
        <v>5965968.4613839993</v>
      </c>
      <c r="F20" s="296">
        <f t="shared" si="7"/>
        <v>7774587.8306116797</v>
      </c>
      <c r="G20" s="68">
        <f t="shared" si="7"/>
        <v>9107229.5872239135</v>
      </c>
      <c r="H20" s="68">
        <f t="shared" si="7"/>
        <v>10524704.178968392</v>
      </c>
      <c r="I20" s="68">
        <f t="shared" si="7"/>
        <v>11439748.262547759</v>
      </c>
      <c r="J20" s="68">
        <f t="shared" si="7"/>
        <v>12075363.227798715</v>
      </c>
      <c r="K20" s="68">
        <f t="shared" si="7"/>
        <v>12846630.492354689</v>
      </c>
      <c r="L20" s="68">
        <f t="shared" si="7"/>
        <v>13722363.102201782</v>
      </c>
      <c r="M20" s="68">
        <f>1%*M18</f>
        <v>15288410.364245817</v>
      </c>
      <c r="N20" s="68">
        <f t="shared" ref="N20:AF20" si="8">1%*N18</f>
        <v>16885778.571530733</v>
      </c>
      <c r="O20" s="68">
        <f t="shared" si="8"/>
        <v>17223494.142961346</v>
      </c>
      <c r="P20" s="68">
        <f t="shared" si="8"/>
        <v>17567964.025820576</v>
      </c>
      <c r="Q20" s="68">
        <f t="shared" si="8"/>
        <v>17919323.306336988</v>
      </c>
      <c r="R20" s="68">
        <f t="shared" si="8"/>
        <v>18277709.772463728</v>
      </c>
      <c r="S20" s="68">
        <f t="shared" si="8"/>
        <v>18643263.967913002</v>
      </c>
      <c r="T20" s="68">
        <f t="shared" si="8"/>
        <v>19016129.247271262</v>
      </c>
      <c r="U20" s="68">
        <f t="shared" si="8"/>
        <v>19396451.832216688</v>
      </c>
      <c r="V20" s="68">
        <f t="shared" si="8"/>
        <v>19784380.868861023</v>
      </c>
      <c r="W20" s="68">
        <f t="shared" si="8"/>
        <v>20180068.486238245</v>
      </c>
      <c r="X20" s="68">
        <f t="shared" si="8"/>
        <v>20583669.85596301</v>
      </c>
      <c r="Y20" s="68">
        <f t="shared" si="8"/>
        <v>20995343.253082268</v>
      </c>
      <c r="Z20" s="68">
        <f t="shared" si="8"/>
        <v>21415250.118143912</v>
      </c>
      <c r="AA20" s="68">
        <f t="shared" si="8"/>
        <v>21843555.120506793</v>
      </c>
      <c r="AB20" s="68">
        <f t="shared" si="8"/>
        <v>22280426.222916927</v>
      </c>
      <c r="AC20" s="68">
        <f t="shared" si="8"/>
        <v>22726034.747375265</v>
      </c>
      <c r="AD20" s="68">
        <f t="shared" si="8"/>
        <v>23180555.442322768</v>
      </c>
      <c r="AE20" s="68">
        <f t="shared" si="8"/>
        <v>23644166.551169224</v>
      </c>
      <c r="AF20" s="68">
        <f t="shared" si="8"/>
        <v>24117049.882192608</v>
      </c>
      <c r="AG20" s="227" t="s">
        <v>178</v>
      </c>
      <c r="AH20" s="240" t="s">
        <v>192</v>
      </c>
      <c r="AI20" s="152"/>
    </row>
    <row r="21" spans="1:35" x14ac:dyDescent="0.25">
      <c r="A21" t="s">
        <v>41</v>
      </c>
      <c r="B21" s="176">
        <v>0.2</v>
      </c>
      <c r="C21" s="173">
        <f t="shared" ref="C21:L21" si="9">-$B21*C20</f>
        <v>-750522.49200000009</v>
      </c>
      <c r="D21" s="173">
        <f t="shared" si="9"/>
        <v>-1096758.5218400001</v>
      </c>
      <c r="E21" s="69">
        <f t="shared" si="9"/>
        <v>-1193193.6922767998</v>
      </c>
      <c r="F21" s="296">
        <f t="shared" si="9"/>
        <v>-1554917.5661223361</v>
      </c>
      <c r="G21" s="69">
        <f t="shared" si="9"/>
        <v>-1821445.9174447828</v>
      </c>
      <c r="H21" s="69">
        <f t="shared" si="9"/>
        <v>-2104940.8357936786</v>
      </c>
      <c r="I21" s="69">
        <f t="shared" si="9"/>
        <v>-2287949.652509552</v>
      </c>
      <c r="J21" s="69">
        <f t="shared" si="9"/>
        <v>-2415072.645559743</v>
      </c>
      <c r="K21" s="69">
        <f t="shared" si="9"/>
        <v>-2569326.0984709379</v>
      </c>
      <c r="L21" s="69">
        <f t="shared" si="9"/>
        <v>-2744472.6204403564</v>
      </c>
      <c r="M21" s="69">
        <f>-$B21*M20</f>
        <v>-3057682.0728491638</v>
      </c>
      <c r="N21" s="69">
        <f t="shared" ref="N21:AF21" si="10">-$B21*N20</f>
        <v>-3377155.7143061468</v>
      </c>
      <c r="O21" s="69">
        <f t="shared" si="10"/>
        <v>-3444698.8285922692</v>
      </c>
      <c r="P21" s="69">
        <f t="shared" si="10"/>
        <v>-3513592.8051641155</v>
      </c>
      <c r="Q21" s="69">
        <f t="shared" si="10"/>
        <v>-3583864.6612673979</v>
      </c>
      <c r="R21" s="69">
        <f t="shared" si="10"/>
        <v>-3655541.9544927459</v>
      </c>
      <c r="S21" s="69">
        <f t="shared" si="10"/>
        <v>-3728652.7935826005</v>
      </c>
      <c r="T21" s="69">
        <f t="shared" si="10"/>
        <v>-3803225.8494542525</v>
      </c>
      <c r="U21" s="69">
        <f t="shared" si="10"/>
        <v>-3879290.3664433379</v>
      </c>
      <c r="V21" s="69">
        <f t="shared" si="10"/>
        <v>-3956876.1737722047</v>
      </c>
      <c r="W21" s="69">
        <f t="shared" si="10"/>
        <v>-4036013.6972476491</v>
      </c>
      <c r="X21" s="69">
        <f t="shared" si="10"/>
        <v>-4116733.9711926021</v>
      </c>
      <c r="Y21" s="69">
        <f t="shared" si="10"/>
        <v>-4199068.650616454</v>
      </c>
      <c r="Z21" s="69">
        <f t="shared" si="10"/>
        <v>-4283050.0236287825</v>
      </c>
      <c r="AA21" s="69">
        <f t="shared" si="10"/>
        <v>-4368711.0241013588</v>
      </c>
      <c r="AB21" s="69">
        <f t="shared" si="10"/>
        <v>-4456085.244583386</v>
      </c>
      <c r="AC21" s="69">
        <f t="shared" si="10"/>
        <v>-4545206.9494750528</v>
      </c>
      <c r="AD21" s="69">
        <f t="shared" si="10"/>
        <v>-4636111.0884645535</v>
      </c>
      <c r="AE21" s="69">
        <f t="shared" si="10"/>
        <v>-4728833.3102338454</v>
      </c>
      <c r="AF21" s="69">
        <f t="shared" si="10"/>
        <v>-4823409.9764385214</v>
      </c>
      <c r="AG21" s="231" t="s">
        <v>179</v>
      </c>
      <c r="AH21" s="241" t="s">
        <v>193</v>
      </c>
      <c r="AI21" s="152"/>
    </row>
    <row r="22" spans="1:35" x14ac:dyDescent="0.25">
      <c r="A22" s="1" t="s">
        <v>69</v>
      </c>
      <c r="B22" s="254"/>
      <c r="C22" s="204">
        <f>C20+C21</f>
        <v>3002089.9679999999</v>
      </c>
      <c r="D22" s="112">
        <f t="shared" ref="D22:AF22" si="11">D20+D21</f>
        <v>4387034.0873600002</v>
      </c>
      <c r="E22" s="71">
        <f t="shared" si="11"/>
        <v>4772774.7691071993</v>
      </c>
      <c r="F22" s="297">
        <f t="shared" si="11"/>
        <v>6219670.2644893434</v>
      </c>
      <c r="G22" s="71">
        <f t="shared" si="11"/>
        <v>7285783.6697791312</v>
      </c>
      <c r="H22" s="71">
        <f t="shared" si="11"/>
        <v>8419763.3431747146</v>
      </c>
      <c r="I22" s="71">
        <f t="shared" si="11"/>
        <v>9151798.6100382078</v>
      </c>
      <c r="J22" s="71">
        <f t="shared" si="11"/>
        <v>9660290.5822389722</v>
      </c>
      <c r="K22" s="71">
        <f t="shared" si="11"/>
        <v>10277304.393883752</v>
      </c>
      <c r="L22" s="71">
        <f t="shared" si="11"/>
        <v>10977890.481761426</v>
      </c>
      <c r="M22" s="71">
        <f t="shared" si="11"/>
        <v>12230728.291396653</v>
      </c>
      <c r="N22" s="71">
        <f t="shared" si="11"/>
        <v>13508622.857224587</v>
      </c>
      <c r="O22" s="71">
        <f t="shared" si="11"/>
        <v>13778795.314369077</v>
      </c>
      <c r="P22" s="71">
        <f t="shared" si="11"/>
        <v>14054371.22065646</v>
      </c>
      <c r="Q22" s="71">
        <f t="shared" si="11"/>
        <v>14335458.64506959</v>
      </c>
      <c r="R22" s="71">
        <f t="shared" si="11"/>
        <v>14622167.817970982</v>
      </c>
      <c r="S22" s="71">
        <f t="shared" si="11"/>
        <v>14914611.174330402</v>
      </c>
      <c r="T22" s="71">
        <f t="shared" si="11"/>
        <v>15212903.39781701</v>
      </c>
      <c r="U22" s="71">
        <f t="shared" si="11"/>
        <v>15517161.46577335</v>
      </c>
      <c r="V22" s="71">
        <f t="shared" si="11"/>
        <v>15827504.695088819</v>
      </c>
      <c r="W22" s="71">
        <f t="shared" si="11"/>
        <v>16144054.788990596</v>
      </c>
      <c r="X22" s="71">
        <f t="shared" si="11"/>
        <v>16466935.884770408</v>
      </c>
      <c r="Y22" s="71">
        <f t="shared" si="11"/>
        <v>16796274.602465816</v>
      </c>
      <c r="Z22" s="71">
        <f t="shared" si="11"/>
        <v>17132200.09451513</v>
      </c>
      <c r="AA22" s="71">
        <f t="shared" si="11"/>
        <v>17474844.096405435</v>
      </c>
      <c r="AB22" s="71">
        <f t="shared" si="11"/>
        <v>17824340.97833354</v>
      </c>
      <c r="AC22" s="71">
        <f t="shared" si="11"/>
        <v>18180827.797900211</v>
      </c>
      <c r="AD22" s="71">
        <f t="shared" si="11"/>
        <v>18544444.353858214</v>
      </c>
      <c r="AE22" s="71">
        <f t="shared" si="11"/>
        <v>18915333.240935378</v>
      </c>
      <c r="AF22" s="71">
        <f t="shared" si="11"/>
        <v>19293639.905754086</v>
      </c>
      <c r="AG22" s="227" t="s">
        <v>180</v>
      </c>
      <c r="AH22" s="238" t="s">
        <v>150</v>
      </c>
      <c r="AI22" s="152"/>
    </row>
    <row r="23" spans="1:35" ht="8.1" customHeight="1" x14ac:dyDescent="0.25">
      <c r="A23" s="1"/>
      <c r="B23" s="254"/>
      <c r="C23" s="82"/>
      <c r="D23" s="173"/>
      <c r="E23" s="69"/>
      <c r="F23" s="296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227"/>
      <c r="AH23" s="238"/>
      <c r="AI23" s="152"/>
    </row>
    <row r="24" spans="1:35" x14ac:dyDescent="0.25">
      <c r="A24" s="1" t="s">
        <v>222</v>
      </c>
      <c r="B24" s="255"/>
      <c r="C24" s="82"/>
      <c r="D24" s="173"/>
      <c r="E24" s="69"/>
      <c r="F24" s="296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227"/>
      <c r="AH24" s="240"/>
      <c r="AI24" s="152"/>
    </row>
    <row r="25" spans="1:35" x14ac:dyDescent="0.25">
      <c r="A25" s="19" t="s">
        <v>220</v>
      </c>
      <c r="B25" s="255">
        <v>0.25</v>
      </c>
      <c r="C25" s="82"/>
      <c r="D25" s="173"/>
      <c r="E25" s="69"/>
      <c r="F25" s="296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227"/>
      <c r="AH25" s="240"/>
      <c r="AI25" s="152"/>
    </row>
    <row r="26" spans="1:35" x14ac:dyDescent="0.25">
      <c r="A26" t="s">
        <v>218</v>
      </c>
      <c r="B26" s="255">
        <v>0.41253499999999999</v>
      </c>
      <c r="C26" s="82">
        <f>-$B$26*C$22*$B$25</f>
        <v>-309616.79623722</v>
      </c>
      <c r="D26" s="173">
        <f t="shared" ref="D26:L26" si="12">-$B$26*D$22*$B$25</f>
        <v>-452451.27680726442</v>
      </c>
      <c r="E26" s="69">
        <f t="shared" si="12"/>
        <v>-492234.15984340961</v>
      </c>
      <c r="F26" s="296">
        <f t="shared" si="12"/>
        <v>-641457.91814027785</v>
      </c>
      <c r="G26" s="68">
        <f t="shared" si="12"/>
        <v>-751410.19155308348</v>
      </c>
      <c r="H26" s="68">
        <f t="shared" si="12"/>
        <v>-868361.76769414521</v>
      </c>
      <c r="I26" s="68">
        <f t="shared" si="12"/>
        <v>-943859.30989802803</v>
      </c>
      <c r="J26" s="68">
        <f t="shared" si="12"/>
        <v>-996301.99383598857</v>
      </c>
      <c r="K26" s="68">
        <f t="shared" si="12"/>
        <v>-1059936.9420327083</v>
      </c>
      <c r="L26" s="68">
        <f t="shared" si="12"/>
        <v>-1132191.0124733625</v>
      </c>
      <c r="M26" s="68">
        <f>-$B$26*M$22*$B$25</f>
        <v>-1261400.8739228295</v>
      </c>
      <c r="N26" s="68">
        <f t="shared" ref="N26:AF26" si="13">-$B$26*N$22*$B$25</f>
        <v>-1393194.9326012863</v>
      </c>
      <c r="O26" s="68">
        <f t="shared" si="13"/>
        <v>-1421058.8312533118</v>
      </c>
      <c r="P26" s="68">
        <f t="shared" si="13"/>
        <v>-1449480.007878378</v>
      </c>
      <c r="Q26" s="68">
        <f t="shared" si="13"/>
        <v>-1478469.6080359458</v>
      </c>
      <c r="R26" s="68">
        <f t="shared" si="13"/>
        <v>-1508039.0001966646</v>
      </c>
      <c r="S26" s="68">
        <f t="shared" si="13"/>
        <v>-1538199.7802005981</v>
      </c>
      <c r="T26" s="68">
        <f t="shared" si="13"/>
        <v>-1568963.77580461</v>
      </c>
      <c r="U26" s="68">
        <f t="shared" si="13"/>
        <v>-1600343.0513207021</v>
      </c>
      <c r="V26" s="68">
        <f t="shared" si="13"/>
        <v>-1632349.9123471165</v>
      </c>
      <c r="W26" s="68">
        <f t="shared" si="13"/>
        <v>-1664996.9105940589</v>
      </c>
      <c r="X26" s="68">
        <f t="shared" si="13"/>
        <v>-1698296.84880594</v>
      </c>
      <c r="Y26" s="68">
        <f t="shared" si="13"/>
        <v>-1732262.7857820587</v>
      </c>
      <c r="Z26" s="68">
        <f t="shared" si="13"/>
        <v>-1766908.0414976997</v>
      </c>
      <c r="AA26" s="68">
        <f t="shared" si="13"/>
        <v>-1802246.202327654</v>
      </c>
      <c r="AB26" s="68">
        <f t="shared" si="13"/>
        <v>-1838291.1263742067</v>
      </c>
      <c r="AC26" s="68">
        <f t="shared" si="13"/>
        <v>-1875056.9489016908</v>
      </c>
      <c r="AD26" s="68">
        <f t="shared" si="13"/>
        <v>-1912558.0878797246</v>
      </c>
      <c r="AE26" s="68">
        <f t="shared" si="13"/>
        <v>-1950809.249637319</v>
      </c>
      <c r="AF26" s="68">
        <f t="shared" si="13"/>
        <v>-1989825.4346300655</v>
      </c>
      <c r="AG26" s="227" t="s">
        <v>224</v>
      </c>
      <c r="AH26" s="240" t="s">
        <v>256</v>
      </c>
      <c r="AI26" s="152"/>
    </row>
    <row r="27" spans="1:35" x14ac:dyDescent="0.25">
      <c r="A27" t="s">
        <v>219</v>
      </c>
      <c r="B27" s="255">
        <v>4.4551E-2</v>
      </c>
      <c r="C27" s="82">
        <f>-$B$27*C$22*$B$25</f>
        <v>-33436.527541092</v>
      </c>
      <c r="D27" s="173">
        <f t="shared" ref="D27:AF27" si="14">-$B$27*D$22*$B$25</f>
        <v>-48861.688906493844</v>
      </c>
      <c r="E27" s="69">
        <f t="shared" si="14"/>
        <v>-53157.972184623708</v>
      </c>
      <c r="F27" s="296">
        <f t="shared" si="14"/>
        <v>-69273.132488316187</v>
      </c>
      <c r="G27" s="68">
        <f t="shared" si="14"/>
        <v>-81147.237068082526</v>
      </c>
      <c r="H27" s="68">
        <f t="shared" si="14"/>
        <v>-93777.219175444174</v>
      </c>
      <c r="I27" s="68">
        <f t="shared" si="14"/>
        <v>-101930.44496895304</v>
      </c>
      <c r="J27" s="68">
        <f t="shared" si="14"/>
        <v>-107593.90143233212</v>
      </c>
      <c r="K27" s="68">
        <f t="shared" si="14"/>
        <v>-114466.04701297876</v>
      </c>
      <c r="L27" s="68">
        <f t="shared" si="14"/>
        <v>-122268.99971323831</v>
      </c>
      <c r="M27" s="68">
        <f t="shared" si="14"/>
        <v>-136222.79402750309</v>
      </c>
      <c r="N27" s="68">
        <f t="shared" si="14"/>
        <v>-150455.66422805315</v>
      </c>
      <c r="O27" s="68">
        <f t="shared" si="14"/>
        <v>-153464.77751261418</v>
      </c>
      <c r="P27" s="68">
        <f t="shared" si="14"/>
        <v>-156534.07306286649</v>
      </c>
      <c r="Q27" s="68">
        <f t="shared" si="14"/>
        <v>-159664.75452412383</v>
      </c>
      <c r="R27" s="68">
        <f t="shared" si="14"/>
        <v>-162858.04961460631</v>
      </c>
      <c r="S27" s="68">
        <f t="shared" si="14"/>
        <v>-166115.21060689844</v>
      </c>
      <c r="T27" s="68">
        <f t="shared" si="14"/>
        <v>-169437.51481903641</v>
      </c>
      <c r="U27" s="68">
        <f t="shared" si="14"/>
        <v>-172826.26511541713</v>
      </c>
      <c r="V27" s="68">
        <f t="shared" si="14"/>
        <v>-176282.79041772548</v>
      </c>
      <c r="W27" s="68">
        <f t="shared" si="14"/>
        <v>-179808.44622608001</v>
      </c>
      <c r="X27" s="68">
        <f t="shared" si="14"/>
        <v>-183404.6151506016</v>
      </c>
      <c r="Y27" s="68">
        <f t="shared" si="14"/>
        <v>-187072.70745361364</v>
      </c>
      <c r="Z27" s="68">
        <f t="shared" si="14"/>
        <v>-190814.1616026859</v>
      </c>
      <c r="AA27" s="68">
        <f t="shared" si="14"/>
        <v>-194630.44483473964</v>
      </c>
      <c r="AB27" s="68">
        <f t="shared" si="14"/>
        <v>-198523.0537314344</v>
      </c>
      <c r="AC27" s="68">
        <f t="shared" si="14"/>
        <v>-202493.51480606309</v>
      </c>
      <c r="AD27" s="68">
        <f t="shared" si="14"/>
        <v>-206543.38510218431</v>
      </c>
      <c r="AE27" s="68">
        <f t="shared" si="14"/>
        <v>-210674.25280422802</v>
      </c>
      <c r="AF27" s="68">
        <f t="shared" si="14"/>
        <v>-214887.73786031257</v>
      </c>
      <c r="AG27" s="227" t="s">
        <v>225</v>
      </c>
      <c r="AH27" s="240" t="s">
        <v>257</v>
      </c>
      <c r="AI27" s="152"/>
    </row>
    <row r="28" spans="1:35" ht="26.25" x14ac:dyDescent="0.25">
      <c r="A28" s="322" t="s">
        <v>234</v>
      </c>
      <c r="B28" s="255"/>
      <c r="C28" s="82">
        <f>(C20-(8009.1+2870848.25))*0.8</f>
        <v>699004.08799999999</v>
      </c>
      <c r="D28" s="173">
        <f t="shared" ref="D28:AF28" si="15">(D20-(8009.1+2870848.25))*0.8</f>
        <v>2083948.2073599999</v>
      </c>
      <c r="E28" s="69">
        <f t="shared" si="15"/>
        <v>2469688.8891071994</v>
      </c>
      <c r="F28" s="296">
        <f t="shared" si="15"/>
        <v>3916584.3844893444</v>
      </c>
      <c r="G28" s="68">
        <f t="shared" si="15"/>
        <v>4982697.7897791313</v>
      </c>
      <c r="H28" s="68">
        <f t="shared" si="15"/>
        <v>6116677.4631747147</v>
      </c>
      <c r="I28" s="68">
        <f t="shared" si="15"/>
        <v>6848712.730038208</v>
      </c>
      <c r="J28" s="68">
        <f t="shared" si="15"/>
        <v>7357204.7022389732</v>
      </c>
      <c r="K28" s="68">
        <f t="shared" si="15"/>
        <v>7974218.5138837518</v>
      </c>
      <c r="L28" s="68">
        <f t="shared" si="15"/>
        <v>8674804.6017614268</v>
      </c>
      <c r="M28" s="68">
        <f t="shared" si="15"/>
        <v>9927642.4113966543</v>
      </c>
      <c r="N28" s="68">
        <f t="shared" si="15"/>
        <v>11205536.977224588</v>
      </c>
      <c r="O28" s="68">
        <f t="shared" si="15"/>
        <v>11475709.434369078</v>
      </c>
      <c r="P28" s="68">
        <f t="shared" si="15"/>
        <v>11751285.340656461</v>
      </c>
      <c r="Q28" s="68">
        <f t="shared" si="15"/>
        <v>12032372.765069591</v>
      </c>
      <c r="R28" s="68">
        <f t="shared" si="15"/>
        <v>12319081.937970983</v>
      </c>
      <c r="S28" s="68">
        <f t="shared" si="15"/>
        <v>12611525.294330403</v>
      </c>
      <c r="T28" s="68">
        <f t="shared" si="15"/>
        <v>12909817.517817011</v>
      </c>
      <c r="U28" s="68">
        <f t="shared" si="15"/>
        <v>13214075.585773351</v>
      </c>
      <c r="V28" s="68">
        <f t="shared" si="15"/>
        <v>13524418.815088818</v>
      </c>
      <c r="W28" s="68">
        <f t="shared" si="15"/>
        <v>13840968.908990595</v>
      </c>
      <c r="X28" s="68">
        <f t="shared" si="15"/>
        <v>14163850.004770407</v>
      </c>
      <c r="Y28" s="68">
        <f t="shared" si="15"/>
        <v>14493188.722465813</v>
      </c>
      <c r="Z28" s="68">
        <f t="shared" si="15"/>
        <v>14829114.214515129</v>
      </c>
      <c r="AA28" s="68">
        <f t="shared" si="15"/>
        <v>15171758.216405435</v>
      </c>
      <c r="AB28" s="68">
        <f t="shared" si="15"/>
        <v>15521255.098333541</v>
      </c>
      <c r="AC28" s="68">
        <f t="shared" si="15"/>
        <v>15877741.917900212</v>
      </c>
      <c r="AD28" s="68">
        <f t="shared" si="15"/>
        <v>16241358.473858215</v>
      </c>
      <c r="AE28" s="68">
        <f t="shared" si="15"/>
        <v>16612247.360935379</v>
      </c>
      <c r="AF28" s="68">
        <f t="shared" si="15"/>
        <v>16990554.025754087</v>
      </c>
      <c r="AG28" s="227" t="s">
        <v>296</v>
      </c>
      <c r="AH28" s="246" t="s">
        <v>261</v>
      </c>
      <c r="AI28" s="152"/>
    </row>
    <row r="29" spans="1:35" x14ac:dyDescent="0.25">
      <c r="A29" s="317" t="s">
        <v>221</v>
      </c>
      <c r="B29" s="255">
        <v>0.21</v>
      </c>
      <c r="C29" s="82"/>
      <c r="D29" s="173"/>
      <c r="E29" s="69"/>
      <c r="F29" s="296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227"/>
      <c r="AH29" s="240"/>
      <c r="AI29" s="152"/>
    </row>
    <row r="30" spans="1:35" x14ac:dyDescent="0.25">
      <c r="A30" s="316" t="s">
        <v>218</v>
      </c>
      <c r="B30" s="255">
        <f>B26</f>
        <v>0.41253499999999999</v>
      </c>
      <c r="C30" s="82">
        <f>-C28*$B$30*$B$29</f>
        <v>-60556.366803046796</v>
      </c>
      <c r="D30" s="173">
        <f t="shared" ref="D30:AF30" si="16">-D28*$B$30*$B$29</f>
        <v>-180537.33048188407</v>
      </c>
      <c r="E30" s="69">
        <f t="shared" si="16"/>
        <v>-213954.95223224608</v>
      </c>
      <c r="F30" s="296">
        <f t="shared" si="16"/>
        <v>-339302.90920161543</v>
      </c>
      <c r="G30" s="68">
        <f t="shared" si="16"/>
        <v>-431662.81886837207</v>
      </c>
      <c r="H30" s="68">
        <f t="shared" si="16"/>
        <v>-529902.14282686391</v>
      </c>
      <c r="I30" s="68">
        <f t="shared" si="16"/>
        <v>-593320.0782781255</v>
      </c>
      <c r="J30" s="68">
        <f t="shared" si="16"/>
        <v>-637371.93278601242</v>
      </c>
      <c r="K30" s="68">
        <f t="shared" si="16"/>
        <v>-690825.289271257</v>
      </c>
      <c r="L30" s="68">
        <f t="shared" si="16"/>
        <v>-751518.70844140649</v>
      </c>
      <c r="M30" s="68">
        <f t="shared" si="16"/>
        <v>-860054.99205895897</v>
      </c>
      <c r="N30" s="68">
        <f t="shared" si="16"/>
        <v>-970762.00134886242</v>
      </c>
      <c r="O30" s="68">
        <f t="shared" si="16"/>
        <v>-994167.67621656391</v>
      </c>
      <c r="P30" s="68">
        <f t="shared" si="16"/>
        <v>-1018041.4645816197</v>
      </c>
      <c r="Q30" s="68">
        <f t="shared" si="16"/>
        <v>-1042392.7287139766</v>
      </c>
      <c r="R30" s="68">
        <f t="shared" si="16"/>
        <v>-1067231.0181289804</v>
      </c>
      <c r="S30" s="68">
        <f t="shared" si="16"/>
        <v>-1092566.0733322846</v>
      </c>
      <c r="T30" s="68">
        <f t="shared" si="16"/>
        <v>-1118407.8296396546</v>
      </c>
      <c r="U30" s="68">
        <f t="shared" si="16"/>
        <v>-1144766.4210731718</v>
      </c>
      <c r="V30" s="68">
        <f t="shared" si="16"/>
        <v>-1171652.1843353596</v>
      </c>
      <c r="W30" s="68">
        <f t="shared" si="16"/>
        <v>-1199075.6628627914</v>
      </c>
      <c r="X30" s="68">
        <f t="shared" si="16"/>
        <v>-1227047.6109607716</v>
      </c>
      <c r="Y30" s="68">
        <f t="shared" si="16"/>
        <v>-1255578.9980207111</v>
      </c>
      <c r="Z30" s="68">
        <f t="shared" si="16"/>
        <v>-1284681.0128218497</v>
      </c>
      <c r="AA30" s="68">
        <f t="shared" si="16"/>
        <v>-1314365.0679190112</v>
      </c>
      <c r="AB30" s="68">
        <f t="shared" si="16"/>
        <v>-1344642.8041181157</v>
      </c>
      <c r="AC30" s="68">
        <f t="shared" si="16"/>
        <v>-1375526.0950412024</v>
      </c>
      <c r="AD30" s="68">
        <f t="shared" si="16"/>
        <v>-1407027.0517827505</v>
      </c>
      <c r="AE30" s="68">
        <f t="shared" si="16"/>
        <v>-1439158.0276591298</v>
      </c>
      <c r="AF30" s="68">
        <f t="shared" si="16"/>
        <v>-1471931.6230530369</v>
      </c>
      <c r="AG30" s="227" t="s">
        <v>226</v>
      </c>
      <c r="AH30" s="240" t="s">
        <v>306</v>
      </c>
      <c r="AI30" s="152"/>
    </row>
    <row r="31" spans="1:35" x14ac:dyDescent="0.25">
      <c r="A31" s="316" t="s">
        <v>219</v>
      </c>
      <c r="B31" s="255">
        <f>B27</f>
        <v>4.4551E-2</v>
      </c>
      <c r="C31" s="173">
        <f>-($B$29*$B$31*C28)</f>
        <v>-6539.6795361424793</v>
      </c>
      <c r="D31" s="173">
        <f t="shared" ref="D31:AF31" si="17">-($B$29*$B$31*D28)</f>
        <v>-19496.815083080022</v>
      </c>
      <c r="E31" s="69">
        <f t="shared" si="17"/>
        <v>-23105.693036709115</v>
      </c>
      <c r="F31" s="296">
        <f t="shared" si="17"/>
        <v>-36642.427691810801</v>
      </c>
      <c r="G31" s="69">
        <f t="shared" si="17"/>
        <v>-46616.675538814517</v>
      </c>
      <c r="H31" s="69">
        <f t="shared" si="17"/>
        <v>-57225.86050899831</v>
      </c>
      <c r="I31" s="69">
        <f t="shared" si="17"/>
        <v>-64074.570175545763</v>
      </c>
      <c r="J31" s="69">
        <f t="shared" si="17"/>
        <v>-68831.873604784181</v>
      </c>
      <c r="K31" s="69">
        <f t="shared" si="17"/>
        <v>-74604.475892527349</v>
      </c>
      <c r="L31" s="69">
        <f t="shared" si="17"/>
        <v>-81158.956160745394</v>
      </c>
      <c r="M31" s="69">
        <f t="shared" si="17"/>
        <v>-92880.143384727795</v>
      </c>
      <c r="N31" s="69">
        <f t="shared" si="17"/>
        <v>-104835.75435318986</v>
      </c>
      <c r="O31" s="69">
        <f t="shared" si="17"/>
        <v>-107363.40951222113</v>
      </c>
      <c r="P31" s="69">
        <f t="shared" si="17"/>
        <v>-109941.61777443306</v>
      </c>
      <c r="Q31" s="69">
        <f t="shared" si="17"/>
        <v>-112571.39020188923</v>
      </c>
      <c r="R31" s="69">
        <f t="shared" si="17"/>
        <v>-115253.7580778945</v>
      </c>
      <c r="S31" s="69">
        <f t="shared" si="17"/>
        <v>-117989.77331141989</v>
      </c>
      <c r="T31" s="69">
        <f t="shared" si="17"/>
        <v>-120780.50884961578</v>
      </c>
      <c r="U31" s="69">
        <f t="shared" si="17"/>
        <v>-123627.05909857558</v>
      </c>
      <c r="V31" s="69">
        <f t="shared" si="17"/>
        <v>-126530.5403525146</v>
      </c>
      <c r="W31" s="69">
        <f t="shared" si="17"/>
        <v>-129492.09123153239</v>
      </c>
      <c r="X31" s="69">
        <f t="shared" si="17"/>
        <v>-132512.87312813054</v>
      </c>
      <c r="Y31" s="69">
        <f t="shared" si="17"/>
        <v>-135594.07066266064</v>
      </c>
      <c r="Z31" s="69">
        <f t="shared" si="17"/>
        <v>-138736.89214788133</v>
      </c>
      <c r="AA31" s="69">
        <f t="shared" si="17"/>
        <v>-141942.57006280648</v>
      </c>
      <c r="AB31" s="69">
        <f t="shared" si="17"/>
        <v>-145212.3615360301</v>
      </c>
      <c r="AC31" s="69">
        <f t="shared" si="17"/>
        <v>-148547.54883871818</v>
      </c>
      <c r="AD31" s="69">
        <f t="shared" si="17"/>
        <v>-151949.43988746003</v>
      </c>
      <c r="AE31" s="69">
        <f t="shared" si="17"/>
        <v>-155419.36875717674</v>
      </c>
      <c r="AF31" s="69">
        <f t="shared" si="17"/>
        <v>-158958.69620428776</v>
      </c>
      <c r="AG31" s="227" t="s">
        <v>227</v>
      </c>
      <c r="AH31" s="240" t="s">
        <v>307</v>
      </c>
      <c r="AI31" s="152"/>
    </row>
    <row r="32" spans="1:35" ht="26.25" x14ac:dyDescent="0.25">
      <c r="A32" s="322" t="s">
        <v>293</v>
      </c>
      <c r="B32" s="255"/>
      <c r="C32" s="173">
        <v>0</v>
      </c>
      <c r="D32" s="173">
        <v>0</v>
      </c>
      <c r="E32" s="69">
        <v>0</v>
      </c>
      <c r="F32" s="296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>O22-$N$22</f>
        <v>270172.45714448951</v>
      </c>
      <c r="P32" s="69">
        <f t="shared" ref="P32:AF32" si="18">P22-$N$22</f>
        <v>545748.3634318728</v>
      </c>
      <c r="Q32" s="69">
        <f t="shared" si="18"/>
        <v>826835.78784500249</v>
      </c>
      <c r="R32" s="69">
        <f t="shared" si="18"/>
        <v>1113544.9607463945</v>
      </c>
      <c r="S32" s="69">
        <f t="shared" si="18"/>
        <v>1405988.3171058148</v>
      </c>
      <c r="T32" s="69">
        <f t="shared" si="18"/>
        <v>1704280.5405924227</v>
      </c>
      <c r="U32" s="69">
        <f t="shared" si="18"/>
        <v>2008538.6085487623</v>
      </c>
      <c r="V32" s="69">
        <f t="shared" si="18"/>
        <v>2318881.8378642313</v>
      </c>
      <c r="W32" s="69">
        <f t="shared" si="18"/>
        <v>2635431.931766009</v>
      </c>
      <c r="X32" s="69">
        <f t="shared" si="18"/>
        <v>2958313.0275458209</v>
      </c>
      <c r="Y32" s="69">
        <f t="shared" si="18"/>
        <v>3287651.7452412285</v>
      </c>
      <c r="Z32" s="69">
        <f t="shared" si="18"/>
        <v>3623577.2372905426</v>
      </c>
      <c r="AA32" s="69">
        <f t="shared" si="18"/>
        <v>3966221.239180848</v>
      </c>
      <c r="AB32" s="69">
        <f t="shared" si="18"/>
        <v>4315718.1211089529</v>
      </c>
      <c r="AC32" s="69">
        <f t="shared" si="18"/>
        <v>4672204.9406756237</v>
      </c>
      <c r="AD32" s="69">
        <f t="shared" si="18"/>
        <v>5035821.4966336265</v>
      </c>
      <c r="AE32" s="69">
        <f t="shared" si="18"/>
        <v>5406710.3837107904</v>
      </c>
      <c r="AF32" s="69">
        <f t="shared" si="18"/>
        <v>5785017.0485294983</v>
      </c>
      <c r="AG32" s="227" t="s">
        <v>297</v>
      </c>
      <c r="AH32" s="246" t="s">
        <v>261</v>
      </c>
      <c r="AI32" s="152"/>
    </row>
    <row r="33" spans="1:35" x14ac:dyDescent="0.25">
      <c r="A33" s="317" t="s">
        <v>221</v>
      </c>
      <c r="B33" s="255">
        <v>0.14000000000000001</v>
      </c>
      <c r="C33" s="82"/>
      <c r="D33" s="173"/>
      <c r="E33" s="69"/>
      <c r="F33" s="296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227"/>
      <c r="AH33" s="240"/>
      <c r="AI33" s="152"/>
    </row>
    <row r="34" spans="1:35" x14ac:dyDescent="0.25">
      <c r="A34" s="316" t="s">
        <v>218</v>
      </c>
      <c r="B34" s="255">
        <f>B30</f>
        <v>0.41253499999999999</v>
      </c>
      <c r="C34" s="82">
        <f>-C32*$B$30*$B$29</f>
        <v>0</v>
      </c>
      <c r="D34" s="173">
        <f t="shared" ref="D34:N34" si="19">-D32*$B$30*$B$29</f>
        <v>0</v>
      </c>
      <c r="E34" s="69">
        <f t="shared" si="19"/>
        <v>0</v>
      </c>
      <c r="F34" s="296">
        <f t="shared" si="19"/>
        <v>0</v>
      </c>
      <c r="G34" s="68">
        <f t="shared" si="19"/>
        <v>0</v>
      </c>
      <c r="H34" s="68">
        <f t="shared" si="19"/>
        <v>0</v>
      </c>
      <c r="I34" s="68">
        <f t="shared" si="19"/>
        <v>0</v>
      </c>
      <c r="J34" s="68">
        <f t="shared" si="19"/>
        <v>0</v>
      </c>
      <c r="K34" s="68">
        <f t="shared" si="19"/>
        <v>0</v>
      </c>
      <c r="L34" s="68">
        <f t="shared" si="19"/>
        <v>0</v>
      </c>
      <c r="M34" s="68">
        <f t="shared" si="19"/>
        <v>0</v>
      </c>
      <c r="N34" s="68">
        <f t="shared" si="19"/>
        <v>0</v>
      </c>
      <c r="O34" s="68">
        <f>-O32*$B$34*$B$33</f>
        <v>-15603.783245134278</v>
      </c>
      <c r="P34" s="68">
        <f t="shared" ref="P34:AF34" si="20">-P32*$B$34*$B$33</f>
        <v>-31519.64215517147</v>
      </c>
      <c r="Q34" s="68">
        <f>-Q32*$B$34*$B$33</f>
        <v>-47753.81824340934</v>
      </c>
      <c r="R34" s="68">
        <f t="shared" si="20"/>
        <v>-64312.677853411937</v>
      </c>
      <c r="S34" s="68">
        <f t="shared" si="20"/>
        <v>-81202.714655614633</v>
      </c>
      <c r="T34" s="68">
        <f t="shared" si="20"/>
        <v>-98430.552193861324</v>
      </c>
      <c r="U34" s="68">
        <f t="shared" si="20"/>
        <v>-116002.94648287293</v>
      </c>
      <c r="V34" s="68">
        <f t="shared" si="20"/>
        <v>-133926.7886576649</v>
      </c>
      <c r="W34" s="68">
        <f t="shared" si="20"/>
        <v>-152209.10767595266</v>
      </c>
      <c r="X34" s="68">
        <f t="shared" si="20"/>
        <v>-170857.07307460613</v>
      </c>
      <c r="Y34" s="68">
        <f t="shared" si="20"/>
        <v>-189877.99778123261</v>
      </c>
      <c r="Z34" s="68">
        <f t="shared" si="20"/>
        <v>-209279.34098199155</v>
      </c>
      <c r="AA34" s="68">
        <f t="shared" si="20"/>
        <v>-229068.71104676599</v>
      </c>
      <c r="AB34" s="68">
        <f t="shared" si="20"/>
        <v>-249253.86851283547</v>
      </c>
      <c r="AC34" s="68">
        <f t="shared" si="20"/>
        <v>-269842.72912822658</v>
      </c>
      <c r="AD34" s="68">
        <f t="shared" si="20"/>
        <v>-290843.36695592542</v>
      </c>
      <c r="AE34" s="68">
        <f t="shared" si="20"/>
        <v>-312264.01754017832</v>
      </c>
      <c r="AF34" s="68">
        <f t="shared" si="20"/>
        <v>-334113.08113611635</v>
      </c>
      <c r="AG34" s="227" t="s">
        <v>284</v>
      </c>
      <c r="AH34" s="240" t="s">
        <v>308</v>
      </c>
      <c r="AI34" s="152"/>
    </row>
    <row r="35" spans="1:35" x14ac:dyDescent="0.25">
      <c r="A35" s="316" t="s">
        <v>219</v>
      </c>
      <c r="B35" s="256">
        <f>B31</f>
        <v>4.4551E-2</v>
      </c>
      <c r="C35" s="146">
        <f>-($B$29*$B$31*C32)</f>
        <v>0</v>
      </c>
      <c r="D35" s="146">
        <f t="shared" ref="D35:N35" si="21">-($B$29*$B$31*D32)</f>
        <v>0</v>
      </c>
      <c r="E35" s="69">
        <f t="shared" si="21"/>
        <v>0</v>
      </c>
      <c r="F35" s="294">
        <f t="shared" si="21"/>
        <v>0</v>
      </c>
      <c r="G35" s="56">
        <f t="shared" si="21"/>
        <v>0</v>
      </c>
      <c r="H35" s="56">
        <f t="shared" si="21"/>
        <v>0</v>
      </c>
      <c r="I35" s="56">
        <f t="shared" si="21"/>
        <v>0</v>
      </c>
      <c r="J35" s="56">
        <f t="shared" si="21"/>
        <v>0</v>
      </c>
      <c r="K35" s="56">
        <f t="shared" si="21"/>
        <v>0</v>
      </c>
      <c r="L35" s="56">
        <f t="shared" si="21"/>
        <v>0</v>
      </c>
      <c r="M35" s="56">
        <f t="shared" si="21"/>
        <v>0</v>
      </c>
      <c r="N35" s="56">
        <f t="shared" si="21"/>
        <v>0</v>
      </c>
      <c r="O35" s="56">
        <f>-($B$33*$B$35*O32)</f>
        <v>-1685.1034393541813</v>
      </c>
      <c r="P35" s="56">
        <f t="shared" ref="P35:AF35" si="22">-($B$33*$B$35*P32)</f>
        <v>-3403.9089474954712</v>
      </c>
      <c r="Q35" s="56">
        <f t="shared" si="22"/>
        <v>-5157.0905657995791</v>
      </c>
      <c r="R35" s="56">
        <f t="shared" si="22"/>
        <v>-6945.3358164697675</v>
      </c>
      <c r="S35" s="56">
        <f t="shared" si="22"/>
        <v>-8769.3459721533618</v>
      </c>
      <c r="T35" s="56">
        <f t="shared" si="22"/>
        <v>-10629.836330950624</v>
      </c>
      <c r="U35" s="56">
        <f t="shared" si="22"/>
        <v>-12527.536496923827</v>
      </c>
      <c r="V35" s="56">
        <f t="shared" si="22"/>
        <v>-14463.190666216513</v>
      </c>
      <c r="W35" s="56">
        <f t="shared" si="22"/>
        <v>-16437.557918895047</v>
      </c>
      <c r="X35" s="56">
        <f t="shared" si="22"/>
        <v>-18451.412516627144</v>
      </c>
      <c r="Y35" s="56">
        <f t="shared" si="22"/>
        <v>-20505.544206313876</v>
      </c>
      <c r="Z35" s="56">
        <f t="shared" si="22"/>
        <v>-22600.758529794337</v>
      </c>
      <c r="AA35" s="56">
        <f t="shared" si="22"/>
        <v>-24737.877139744436</v>
      </c>
      <c r="AB35" s="56">
        <f t="shared" si="22"/>
        <v>-26917.738121893497</v>
      </c>
      <c r="AC35" s="56">
        <f t="shared" si="22"/>
        <v>-29141.196323685563</v>
      </c>
      <c r="AD35" s="56">
        <f t="shared" si="22"/>
        <v>-31409.123689513461</v>
      </c>
      <c r="AE35" s="56">
        <f t="shared" si="22"/>
        <v>-33722.409602657921</v>
      </c>
      <c r="AF35" s="56">
        <f t="shared" si="22"/>
        <v>-36081.961234065275</v>
      </c>
      <c r="AG35" s="227" t="s">
        <v>285</v>
      </c>
      <c r="AH35" s="240" t="s">
        <v>309</v>
      </c>
      <c r="AI35" s="152"/>
    </row>
    <row r="36" spans="1:35" x14ac:dyDescent="0.25">
      <c r="A36" s="1" t="s">
        <v>223</v>
      </c>
      <c r="B36" s="266"/>
      <c r="C36" s="112">
        <f>C22+SUM(C26:C27)+SUM(C30:C31)+SUM(C34:C35)</f>
        <v>2591940.5978824985</v>
      </c>
      <c r="D36" s="112">
        <f t="shared" ref="D36:AF36" si="23">D22+SUM(D26:D27)+SUM(D30:D31)+SUM(D34:D35)</f>
        <v>3685686.9760812782</v>
      </c>
      <c r="E36" s="71">
        <f t="shared" si="23"/>
        <v>3990321.991810211</v>
      </c>
      <c r="F36" s="297">
        <f t="shared" si="23"/>
        <v>5132993.876967323</v>
      </c>
      <c r="G36" s="71">
        <f t="shared" si="23"/>
        <v>5974946.7467507785</v>
      </c>
      <c r="H36" s="71">
        <f t="shared" si="23"/>
        <v>6870496.3529692627</v>
      </c>
      <c r="I36" s="71">
        <f t="shared" si="23"/>
        <v>7448614.2067175554</v>
      </c>
      <c r="J36" s="71">
        <f t="shared" si="23"/>
        <v>7850190.8805798544</v>
      </c>
      <c r="K36" s="71">
        <f t="shared" si="23"/>
        <v>8337471.6396742798</v>
      </c>
      <c r="L36" s="71">
        <f t="shared" si="23"/>
        <v>8890752.8049726728</v>
      </c>
      <c r="M36" s="71">
        <f t="shared" si="23"/>
        <v>9880169.4880026337</v>
      </c>
      <c r="N36" s="134">
        <f>N22+SUM(N26:N27)+SUM(N30:N31)+SUM(N34:N35)</f>
        <v>10889374.504693195</v>
      </c>
      <c r="O36" s="134">
        <f>O22+SUM(O26:O27)+SUM(O30:O31)+SUM(O34:O35)</f>
        <v>11085451.733189877</v>
      </c>
      <c r="P36" s="134">
        <f>P22+SUM(P26:P27)+SUM(P30:P31)+SUM(P34:P35)</f>
        <v>11285450.506256497</v>
      </c>
      <c r="Q36" s="134">
        <f>Q22+SUM(Q26:Q27)+SUM(Q30:Q31)+SUM(Q34:Q35)</f>
        <v>11489449.254784446</v>
      </c>
      <c r="R36" s="134">
        <f t="shared" si="23"/>
        <v>11697527.978282953</v>
      </c>
      <c r="S36" s="134">
        <f t="shared" si="23"/>
        <v>11909768.276251433</v>
      </c>
      <c r="T36" s="134">
        <f t="shared" si="23"/>
        <v>12126253.380179282</v>
      </c>
      <c r="U36" s="134">
        <f t="shared" si="23"/>
        <v>12347068.186185686</v>
      </c>
      <c r="V36" s="134">
        <f t="shared" si="23"/>
        <v>12572299.288312221</v>
      </c>
      <c r="W36" s="134">
        <f t="shared" si="23"/>
        <v>12802035.012481287</v>
      </c>
      <c r="X36" s="134">
        <f t="shared" si="23"/>
        <v>13036365.451133732</v>
      </c>
      <c r="Y36" s="134">
        <f t="shared" si="23"/>
        <v>13275382.498559225</v>
      </c>
      <c r="Z36" s="134">
        <f t="shared" si="23"/>
        <v>13519179.886933228</v>
      </c>
      <c r="AA36" s="134">
        <f t="shared" si="23"/>
        <v>13767853.223074716</v>
      </c>
      <c r="AB36" s="134">
        <f t="shared" si="23"/>
        <v>14021500.025939025</v>
      </c>
      <c r="AC36" s="134">
        <f t="shared" si="23"/>
        <v>14280219.764860624</v>
      </c>
      <c r="AD36" s="134">
        <f t="shared" si="23"/>
        <v>14544113.898560656</v>
      </c>
      <c r="AE36" s="134">
        <f t="shared" si="23"/>
        <v>14813285.914934687</v>
      </c>
      <c r="AF36" s="134">
        <f t="shared" si="23"/>
        <v>15087841.371636203</v>
      </c>
      <c r="AG36" s="227" t="s">
        <v>182</v>
      </c>
      <c r="AH36" s="240" t="s">
        <v>230</v>
      </c>
      <c r="AI36" s="152"/>
    </row>
    <row r="37" spans="1:35" ht="8.1" customHeight="1" x14ac:dyDescent="0.25">
      <c r="A37" s="1"/>
      <c r="B37" s="152"/>
      <c r="C37" s="114"/>
      <c r="D37" s="145"/>
      <c r="E37" s="134"/>
      <c r="F37" s="298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227"/>
      <c r="AH37" s="238"/>
      <c r="AI37" s="152"/>
    </row>
    <row r="38" spans="1:35" x14ac:dyDescent="0.25">
      <c r="A38" s="193" t="s">
        <v>167</v>
      </c>
      <c r="B38" s="194"/>
      <c r="C38" s="195"/>
      <c r="D38" s="300"/>
      <c r="E38" s="300"/>
      <c r="F38" s="212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227"/>
      <c r="AH38" s="238"/>
      <c r="AI38" s="152"/>
    </row>
    <row r="39" spans="1:35" ht="15" customHeight="1" x14ac:dyDescent="0.25">
      <c r="A39" s="179" t="s">
        <v>157</v>
      </c>
      <c r="B39" s="180">
        <v>0.25</v>
      </c>
      <c r="C39" s="181">
        <f>$B$39*C$36</f>
        <v>647985.14947062463</v>
      </c>
      <c r="D39" s="181">
        <f t="shared" ref="D39:AF39" si="24">$B$39*D$36</f>
        <v>921421.74402031954</v>
      </c>
      <c r="E39" s="181">
        <f t="shared" si="24"/>
        <v>997580.49795255275</v>
      </c>
      <c r="F39" s="213">
        <f t="shared" si="24"/>
        <v>1283248.4692418308</v>
      </c>
      <c r="G39" s="181">
        <f t="shared" si="24"/>
        <v>1493736.6866876946</v>
      </c>
      <c r="H39" s="181">
        <f t="shared" si="24"/>
        <v>1717624.0882423157</v>
      </c>
      <c r="I39" s="181">
        <f t="shared" si="24"/>
        <v>1862153.5516793889</v>
      </c>
      <c r="J39" s="181">
        <f t="shared" si="24"/>
        <v>1962547.7201449636</v>
      </c>
      <c r="K39" s="181">
        <f t="shared" si="24"/>
        <v>2084367.90991857</v>
      </c>
      <c r="L39" s="181">
        <f t="shared" si="24"/>
        <v>2222688.2012431682</v>
      </c>
      <c r="M39" s="181">
        <f t="shared" si="24"/>
        <v>2470042.3720006584</v>
      </c>
      <c r="N39" s="181">
        <f t="shared" si="24"/>
        <v>2722343.6261732988</v>
      </c>
      <c r="O39" s="181">
        <f t="shared" si="24"/>
        <v>2771362.9332974693</v>
      </c>
      <c r="P39" s="181">
        <f t="shared" si="24"/>
        <v>2821362.6265641241</v>
      </c>
      <c r="Q39" s="181">
        <f t="shared" si="24"/>
        <v>2872362.3136961116</v>
      </c>
      <c r="R39" s="181">
        <f t="shared" si="24"/>
        <v>2924381.9945707382</v>
      </c>
      <c r="S39" s="181">
        <f t="shared" si="24"/>
        <v>2977442.0690628584</v>
      </c>
      <c r="T39" s="181">
        <f t="shared" si="24"/>
        <v>3031563.3450448206</v>
      </c>
      <c r="U39" s="181">
        <f t="shared" si="24"/>
        <v>3086767.0465464215</v>
      </c>
      <c r="V39" s="181">
        <f t="shared" si="24"/>
        <v>3143074.8220780552</v>
      </c>
      <c r="W39" s="181">
        <f t="shared" si="24"/>
        <v>3200508.7531203218</v>
      </c>
      <c r="X39" s="181">
        <f t="shared" si="24"/>
        <v>3259091.3627834329</v>
      </c>
      <c r="Y39" s="181">
        <f t="shared" si="24"/>
        <v>3318845.6246398063</v>
      </c>
      <c r="Z39" s="181">
        <f t="shared" si="24"/>
        <v>3379794.971733307</v>
      </c>
      <c r="AA39" s="181">
        <f t="shared" si="24"/>
        <v>3441963.3057686789</v>
      </c>
      <c r="AB39" s="181">
        <f t="shared" si="24"/>
        <v>3505375.0064847562</v>
      </c>
      <c r="AC39" s="181">
        <f t="shared" si="24"/>
        <v>3570054.9412151561</v>
      </c>
      <c r="AD39" s="181">
        <f t="shared" si="24"/>
        <v>3636028.4746401641</v>
      </c>
      <c r="AE39" s="181">
        <f t="shared" si="24"/>
        <v>3703321.4787336718</v>
      </c>
      <c r="AF39" s="181">
        <f t="shared" si="24"/>
        <v>3771960.3429090506</v>
      </c>
      <c r="AG39" s="232"/>
      <c r="AH39" s="242" t="s">
        <v>169</v>
      </c>
      <c r="AI39" s="124"/>
    </row>
    <row r="40" spans="1:35" ht="15" customHeight="1" x14ac:dyDescent="0.25">
      <c r="A40" s="179" t="s">
        <v>156</v>
      </c>
      <c r="B40" s="182">
        <v>0.05</v>
      </c>
      <c r="C40" s="181">
        <f>B40*C$36</f>
        <v>129597.02989412493</v>
      </c>
      <c r="D40" s="181">
        <f>B40*D$36</f>
        <v>184284.34880406392</v>
      </c>
      <c r="E40" s="181">
        <f>$B$40*E36</f>
        <v>199516.09959051057</v>
      </c>
      <c r="F40" s="213">
        <f t="shared" ref="F40:AF40" si="25">$B$40*F36</f>
        <v>256649.69384836615</v>
      </c>
      <c r="G40" s="181">
        <f t="shared" si="25"/>
        <v>298747.33733753895</v>
      </c>
      <c r="H40" s="181">
        <f t="shared" si="25"/>
        <v>343524.81764846318</v>
      </c>
      <c r="I40" s="181">
        <f t="shared" si="25"/>
        <v>372430.71033587778</v>
      </c>
      <c r="J40" s="181">
        <f t="shared" si="25"/>
        <v>392509.54402899276</v>
      </c>
      <c r="K40" s="181">
        <f t="shared" si="25"/>
        <v>416873.58198371402</v>
      </c>
      <c r="L40" s="181">
        <f t="shared" si="25"/>
        <v>444537.64024863369</v>
      </c>
      <c r="M40" s="181">
        <f t="shared" si="25"/>
        <v>494008.47440013173</v>
      </c>
      <c r="N40" s="181">
        <f t="shared" si="25"/>
        <v>544468.72523465974</v>
      </c>
      <c r="O40" s="181">
        <f t="shared" si="25"/>
        <v>554272.58665949386</v>
      </c>
      <c r="P40" s="181">
        <f t="shared" si="25"/>
        <v>564272.52531282487</v>
      </c>
      <c r="Q40" s="181">
        <f t="shared" si="25"/>
        <v>574472.46273922233</v>
      </c>
      <c r="R40" s="181">
        <f t="shared" si="25"/>
        <v>584876.39891414763</v>
      </c>
      <c r="S40" s="181">
        <f t="shared" si="25"/>
        <v>595488.41381257167</v>
      </c>
      <c r="T40" s="181">
        <f t="shared" si="25"/>
        <v>606312.66900896409</v>
      </c>
      <c r="U40" s="181">
        <f t="shared" si="25"/>
        <v>617353.4093092843</v>
      </c>
      <c r="V40" s="181">
        <f t="shared" si="25"/>
        <v>628614.96441561112</v>
      </c>
      <c r="W40" s="181">
        <f t="shared" si="25"/>
        <v>640101.75062406436</v>
      </c>
      <c r="X40" s="181">
        <f t="shared" si="25"/>
        <v>651818.27255668666</v>
      </c>
      <c r="Y40" s="181">
        <f t="shared" si="25"/>
        <v>663769.12492796127</v>
      </c>
      <c r="Z40" s="181">
        <f t="shared" si="25"/>
        <v>675958.99434666149</v>
      </c>
      <c r="AA40" s="181">
        <f t="shared" si="25"/>
        <v>688392.66115373583</v>
      </c>
      <c r="AB40" s="181">
        <f t="shared" si="25"/>
        <v>701075.00129695132</v>
      </c>
      <c r="AC40" s="181">
        <f t="shared" si="25"/>
        <v>714010.98824303132</v>
      </c>
      <c r="AD40" s="181">
        <f t="shared" si="25"/>
        <v>727205.69492803281</v>
      </c>
      <c r="AE40" s="181">
        <f t="shared" si="25"/>
        <v>740664.29574673437</v>
      </c>
      <c r="AF40" s="181">
        <f t="shared" si="25"/>
        <v>754392.06858181022</v>
      </c>
      <c r="AG40" s="233"/>
      <c r="AH40" s="243" t="s">
        <v>170</v>
      </c>
      <c r="AI40" s="152"/>
    </row>
    <row r="41" spans="1:35" ht="15" customHeight="1" x14ac:dyDescent="0.25">
      <c r="A41" s="179" t="s">
        <v>58</v>
      </c>
      <c r="B41" s="182">
        <v>0.35</v>
      </c>
      <c r="C41" s="181">
        <f>B41*C$36</f>
        <v>907179.20925887441</v>
      </c>
      <c r="D41" s="181">
        <f>B41*(D$36)</f>
        <v>1289990.4416284473</v>
      </c>
      <c r="E41" s="181">
        <f>$B$41*(E36)</f>
        <v>1396612.6971335737</v>
      </c>
      <c r="F41" s="213">
        <f t="shared" ref="F41:AF41" si="26">$B$41*(F36)</f>
        <v>1796547.8569385631</v>
      </c>
      <c r="G41" s="181">
        <f t="shared" si="26"/>
        <v>2091231.3613627723</v>
      </c>
      <c r="H41" s="181">
        <f t="shared" si="26"/>
        <v>2404673.7235392416</v>
      </c>
      <c r="I41" s="181">
        <f t="shared" si="26"/>
        <v>2607014.9723511441</v>
      </c>
      <c r="J41" s="181">
        <f t="shared" si="26"/>
        <v>2747566.8082029489</v>
      </c>
      <c r="K41" s="181">
        <f t="shared" si="26"/>
        <v>2918115.0738859978</v>
      </c>
      <c r="L41" s="181">
        <f t="shared" si="26"/>
        <v>3111763.4817404351</v>
      </c>
      <c r="M41" s="181">
        <f t="shared" si="26"/>
        <v>3458059.3208009214</v>
      </c>
      <c r="N41" s="181">
        <f t="shared" si="26"/>
        <v>3811281.076642618</v>
      </c>
      <c r="O41" s="181">
        <f t="shared" si="26"/>
        <v>3879908.1066164565</v>
      </c>
      <c r="P41" s="181">
        <f t="shared" si="26"/>
        <v>3949907.6771897734</v>
      </c>
      <c r="Q41" s="181">
        <f t="shared" si="26"/>
        <v>4021307.239174556</v>
      </c>
      <c r="R41" s="181">
        <f t="shared" si="26"/>
        <v>4094134.792399033</v>
      </c>
      <c r="S41" s="181">
        <f t="shared" si="26"/>
        <v>4168418.8966880012</v>
      </c>
      <c r="T41" s="181">
        <f t="shared" si="26"/>
        <v>4244188.683062749</v>
      </c>
      <c r="U41" s="181">
        <f t="shared" si="26"/>
        <v>4321473.8651649896</v>
      </c>
      <c r="V41" s="181">
        <f t="shared" si="26"/>
        <v>4400304.7509092772</v>
      </c>
      <c r="W41" s="181">
        <f t="shared" si="26"/>
        <v>4480712.2543684505</v>
      </c>
      <c r="X41" s="181">
        <f t="shared" si="26"/>
        <v>4562727.9078968056</v>
      </c>
      <c r="Y41" s="181">
        <f t="shared" si="26"/>
        <v>4646383.8744957289</v>
      </c>
      <c r="Z41" s="181">
        <f t="shared" si="26"/>
        <v>4731712.9604266295</v>
      </c>
      <c r="AA41" s="181">
        <f t="shared" si="26"/>
        <v>4818748.6280761501</v>
      </c>
      <c r="AB41" s="181">
        <f t="shared" si="26"/>
        <v>4907525.0090786582</v>
      </c>
      <c r="AC41" s="181">
        <f t="shared" si="26"/>
        <v>4998076.9177012183</v>
      </c>
      <c r="AD41" s="181">
        <f t="shared" si="26"/>
        <v>5090439.8644962292</v>
      </c>
      <c r="AE41" s="181">
        <f t="shared" si="26"/>
        <v>5184650.0702271406</v>
      </c>
      <c r="AF41" s="181">
        <f t="shared" si="26"/>
        <v>5280744.4800726706</v>
      </c>
      <c r="AG41" s="335"/>
      <c r="AH41" s="240" t="s">
        <v>171</v>
      </c>
      <c r="AI41" s="152"/>
    </row>
    <row r="42" spans="1:35" x14ac:dyDescent="0.25">
      <c r="A42" s="179" t="s">
        <v>165</v>
      </c>
      <c r="B42" s="183">
        <v>0.35</v>
      </c>
      <c r="C42" s="181">
        <f>B42*C36</f>
        <v>907179.20925887441</v>
      </c>
      <c r="D42" s="181">
        <f>B42*D36</f>
        <v>1289990.4416284473</v>
      </c>
      <c r="E42" s="181">
        <f>$B$42*E36</f>
        <v>1396612.6971335737</v>
      </c>
      <c r="F42" s="213">
        <f t="shared" ref="F42:AF42" si="27">$B$42*F36</f>
        <v>1796547.8569385631</v>
      </c>
      <c r="G42" s="181">
        <f t="shared" si="27"/>
        <v>2091231.3613627723</v>
      </c>
      <c r="H42" s="181">
        <f t="shared" si="27"/>
        <v>2404673.7235392416</v>
      </c>
      <c r="I42" s="181">
        <f t="shared" si="27"/>
        <v>2607014.9723511441</v>
      </c>
      <c r="J42" s="181">
        <f t="shared" si="27"/>
        <v>2747566.8082029489</v>
      </c>
      <c r="K42" s="181">
        <f t="shared" si="27"/>
        <v>2918115.0738859978</v>
      </c>
      <c r="L42" s="181">
        <f t="shared" si="27"/>
        <v>3111763.4817404351</v>
      </c>
      <c r="M42" s="181">
        <f t="shared" si="27"/>
        <v>3458059.3208009214</v>
      </c>
      <c r="N42" s="181">
        <f t="shared" si="27"/>
        <v>3811281.076642618</v>
      </c>
      <c r="O42" s="181">
        <f t="shared" si="27"/>
        <v>3879908.1066164565</v>
      </c>
      <c r="P42" s="181">
        <f t="shared" si="27"/>
        <v>3949907.6771897734</v>
      </c>
      <c r="Q42" s="181">
        <f t="shared" si="27"/>
        <v>4021307.239174556</v>
      </c>
      <c r="R42" s="181">
        <f t="shared" si="27"/>
        <v>4094134.792399033</v>
      </c>
      <c r="S42" s="181">
        <f t="shared" si="27"/>
        <v>4168418.8966880012</v>
      </c>
      <c r="T42" s="181">
        <f t="shared" si="27"/>
        <v>4244188.683062749</v>
      </c>
      <c r="U42" s="181">
        <f t="shared" si="27"/>
        <v>4321473.8651649896</v>
      </c>
      <c r="V42" s="181">
        <f t="shared" si="27"/>
        <v>4400304.7509092772</v>
      </c>
      <c r="W42" s="181">
        <f t="shared" si="27"/>
        <v>4480712.2543684505</v>
      </c>
      <c r="X42" s="181">
        <f t="shared" si="27"/>
        <v>4562727.9078968056</v>
      </c>
      <c r="Y42" s="181">
        <f t="shared" si="27"/>
        <v>4646383.8744957289</v>
      </c>
      <c r="Z42" s="181">
        <f t="shared" si="27"/>
        <v>4731712.9604266295</v>
      </c>
      <c r="AA42" s="181">
        <f t="shared" si="27"/>
        <v>4818748.6280761501</v>
      </c>
      <c r="AB42" s="181">
        <f t="shared" si="27"/>
        <v>4907525.0090786582</v>
      </c>
      <c r="AC42" s="181">
        <f t="shared" si="27"/>
        <v>4998076.9177012183</v>
      </c>
      <c r="AD42" s="181">
        <f t="shared" si="27"/>
        <v>5090439.8644962292</v>
      </c>
      <c r="AE42" s="181">
        <f t="shared" si="27"/>
        <v>5184650.0702271406</v>
      </c>
      <c r="AF42" s="181">
        <f t="shared" si="27"/>
        <v>5280744.4800726706</v>
      </c>
      <c r="AG42" s="335" t="s">
        <v>164</v>
      </c>
      <c r="AH42" s="240" t="s">
        <v>194</v>
      </c>
      <c r="AI42" s="152"/>
    </row>
    <row r="43" spans="1:35" x14ac:dyDescent="0.25">
      <c r="A43" s="197" t="s">
        <v>158</v>
      </c>
      <c r="B43" s="196">
        <f>SUM(B39:B42)</f>
        <v>0.99999999999999989</v>
      </c>
      <c r="C43" s="191">
        <f>SUM(C39:C42)</f>
        <v>2591940.5978824985</v>
      </c>
      <c r="D43" s="191">
        <f t="shared" ref="D43:AF43" si="28">SUM(D39:D42)</f>
        <v>3685686.9760812777</v>
      </c>
      <c r="E43" s="191">
        <f t="shared" si="28"/>
        <v>3990321.991810211</v>
      </c>
      <c r="F43" s="214">
        <f t="shared" si="28"/>
        <v>5132993.876967323</v>
      </c>
      <c r="G43" s="191">
        <f t="shared" si="28"/>
        <v>5974946.7467507776</v>
      </c>
      <c r="H43" s="191">
        <f t="shared" si="28"/>
        <v>6870496.3529692618</v>
      </c>
      <c r="I43" s="191">
        <f t="shared" si="28"/>
        <v>7448614.2067175554</v>
      </c>
      <c r="J43" s="191">
        <f t="shared" si="28"/>
        <v>7850190.8805798534</v>
      </c>
      <c r="K43" s="191">
        <f t="shared" si="28"/>
        <v>8337471.6396742798</v>
      </c>
      <c r="L43" s="191">
        <f t="shared" si="28"/>
        <v>8890752.8049726728</v>
      </c>
      <c r="M43" s="191">
        <f t="shared" si="28"/>
        <v>9880169.4880026318</v>
      </c>
      <c r="N43" s="191">
        <f t="shared" si="28"/>
        <v>10889374.504693195</v>
      </c>
      <c r="O43" s="191">
        <f t="shared" si="28"/>
        <v>11085451.733189875</v>
      </c>
      <c r="P43" s="191">
        <f t="shared" si="28"/>
        <v>11285450.506256495</v>
      </c>
      <c r="Q43" s="191">
        <f t="shared" si="28"/>
        <v>11489449.254784446</v>
      </c>
      <c r="R43" s="191">
        <f t="shared" si="28"/>
        <v>11697527.978282951</v>
      </c>
      <c r="S43" s="191">
        <f t="shared" si="28"/>
        <v>11909768.276251432</v>
      </c>
      <c r="T43" s="191">
        <f t="shared" si="28"/>
        <v>12126253.380179282</v>
      </c>
      <c r="U43" s="191">
        <f t="shared" si="28"/>
        <v>12347068.186185684</v>
      </c>
      <c r="V43" s="191">
        <f t="shared" si="28"/>
        <v>12572299.288312221</v>
      </c>
      <c r="W43" s="191">
        <f t="shared" si="28"/>
        <v>12802035.012481287</v>
      </c>
      <c r="X43" s="191">
        <f t="shared" si="28"/>
        <v>13036365.451133732</v>
      </c>
      <c r="Y43" s="191">
        <f t="shared" si="28"/>
        <v>13275382.498559225</v>
      </c>
      <c r="Z43" s="191">
        <f t="shared" si="28"/>
        <v>13519179.886933226</v>
      </c>
      <c r="AA43" s="191">
        <f t="shared" si="28"/>
        <v>13767853.223074716</v>
      </c>
      <c r="AB43" s="191">
        <f t="shared" si="28"/>
        <v>14021500.025939025</v>
      </c>
      <c r="AC43" s="191">
        <f t="shared" si="28"/>
        <v>14280219.764860624</v>
      </c>
      <c r="AD43" s="191">
        <f t="shared" si="28"/>
        <v>14544113.898560656</v>
      </c>
      <c r="AE43" s="191">
        <f t="shared" si="28"/>
        <v>14813285.914934687</v>
      </c>
      <c r="AF43" s="191">
        <f t="shared" si="28"/>
        <v>15087841.371636201</v>
      </c>
      <c r="AG43" s="227"/>
      <c r="AH43" s="238"/>
      <c r="AI43" s="152"/>
    </row>
    <row r="44" spans="1:35" ht="8.1" customHeight="1" x14ac:dyDescent="0.25">
      <c r="A44" s="141"/>
      <c r="B44" s="174"/>
      <c r="C44" s="136"/>
      <c r="D44" s="136"/>
      <c r="E44" s="136"/>
      <c r="F44" s="205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227"/>
      <c r="AH44" s="238"/>
      <c r="AI44" s="152"/>
    </row>
    <row r="45" spans="1:35" x14ac:dyDescent="0.25">
      <c r="A45" s="184" t="s">
        <v>159</v>
      </c>
      <c r="B45" s="439" t="s">
        <v>200</v>
      </c>
      <c r="C45" s="185"/>
      <c r="D45" s="185"/>
      <c r="E45" s="185"/>
      <c r="F45" s="21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227"/>
      <c r="AH45" s="238"/>
      <c r="AI45" s="152"/>
    </row>
    <row r="46" spans="1:35" x14ac:dyDescent="0.25">
      <c r="A46" s="186" t="s">
        <v>165</v>
      </c>
      <c r="B46" s="439"/>
      <c r="C46" s="185">
        <f>C42</f>
        <v>907179.20925887441</v>
      </c>
      <c r="D46" s="185">
        <f t="shared" ref="D46:AF46" si="29">D42</f>
        <v>1289990.4416284473</v>
      </c>
      <c r="E46" s="185">
        <f t="shared" si="29"/>
        <v>1396612.6971335737</v>
      </c>
      <c r="F46" s="215">
        <f t="shared" si="29"/>
        <v>1796547.8569385631</v>
      </c>
      <c r="G46" s="185">
        <f t="shared" si="29"/>
        <v>2091231.3613627723</v>
      </c>
      <c r="H46" s="185">
        <f t="shared" si="29"/>
        <v>2404673.7235392416</v>
      </c>
      <c r="I46" s="185">
        <f t="shared" si="29"/>
        <v>2607014.9723511441</v>
      </c>
      <c r="J46" s="185">
        <f t="shared" si="29"/>
        <v>2747566.8082029489</v>
      </c>
      <c r="K46" s="185">
        <f t="shared" si="29"/>
        <v>2918115.0738859978</v>
      </c>
      <c r="L46" s="185">
        <f t="shared" si="29"/>
        <v>3111763.4817404351</v>
      </c>
      <c r="M46" s="185">
        <f t="shared" si="29"/>
        <v>3458059.3208009214</v>
      </c>
      <c r="N46" s="185">
        <f t="shared" si="29"/>
        <v>3811281.076642618</v>
      </c>
      <c r="O46" s="185">
        <f t="shared" si="29"/>
        <v>3879908.1066164565</v>
      </c>
      <c r="P46" s="185">
        <f t="shared" si="29"/>
        <v>3949907.6771897734</v>
      </c>
      <c r="Q46" s="185">
        <f t="shared" si="29"/>
        <v>4021307.239174556</v>
      </c>
      <c r="R46" s="185">
        <f t="shared" si="29"/>
        <v>4094134.792399033</v>
      </c>
      <c r="S46" s="185">
        <f t="shared" si="29"/>
        <v>4168418.8966880012</v>
      </c>
      <c r="T46" s="185">
        <f t="shared" si="29"/>
        <v>4244188.683062749</v>
      </c>
      <c r="U46" s="185">
        <f t="shared" si="29"/>
        <v>4321473.8651649896</v>
      </c>
      <c r="V46" s="185">
        <f t="shared" si="29"/>
        <v>4400304.7509092772</v>
      </c>
      <c r="W46" s="185">
        <f t="shared" si="29"/>
        <v>4480712.2543684505</v>
      </c>
      <c r="X46" s="185">
        <f>X42</f>
        <v>4562727.9078968056</v>
      </c>
      <c r="Y46" s="185">
        <f t="shared" si="29"/>
        <v>4646383.8744957289</v>
      </c>
      <c r="Z46" s="185">
        <f t="shared" si="29"/>
        <v>4731712.9604266295</v>
      </c>
      <c r="AA46" s="185">
        <f t="shared" si="29"/>
        <v>4818748.6280761501</v>
      </c>
      <c r="AB46" s="185">
        <f t="shared" si="29"/>
        <v>4907525.0090786582</v>
      </c>
      <c r="AC46" s="185">
        <f t="shared" si="29"/>
        <v>4998076.9177012183</v>
      </c>
      <c r="AD46" s="185">
        <f t="shared" si="29"/>
        <v>5090439.8644962292</v>
      </c>
      <c r="AE46" s="185">
        <f t="shared" si="29"/>
        <v>5184650.0702271406</v>
      </c>
      <c r="AF46" s="185">
        <f t="shared" si="29"/>
        <v>5280744.4800726706</v>
      </c>
      <c r="AG46" s="227" t="s">
        <v>164</v>
      </c>
      <c r="AH46" s="238" t="s">
        <v>164</v>
      </c>
      <c r="AI46" s="152"/>
    </row>
    <row r="47" spans="1:35" x14ac:dyDescent="0.25">
      <c r="A47" s="186" t="str">
        <f>CONCATENATE("Less: 10% of Incremental FORA Share after 7/1/2012 (goes to ",A4,")")</f>
        <v>Less: 10% of Incremental FORA Share after 7/1/2012 (goes to Seaside)</v>
      </c>
      <c r="B47" s="263">
        <v>391585.68236800004</v>
      </c>
      <c r="C47" s="185">
        <f t="shared" ref="C47:AF47" si="30">IF(C46&gt;0,-(0.1*(C46-$B$47)),0)</f>
        <v>-51559.352689087442</v>
      </c>
      <c r="D47" s="185">
        <f t="shared" si="30"/>
        <v>-89840.475926044732</v>
      </c>
      <c r="E47" s="185">
        <f t="shared" si="30"/>
        <v>-100502.70147655737</v>
      </c>
      <c r="F47" s="215">
        <f t="shared" si="30"/>
        <v>-140496.21745705631</v>
      </c>
      <c r="G47" s="185">
        <f t="shared" si="30"/>
        <v>-169964.56789947723</v>
      </c>
      <c r="H47" s="185">
        <f t="shared" si="30"/>
        <v>-201308.80411712418</v>
      </c>
      <c r="I47" s="185">
        <f t="shared" si="30"/>
        <v>-221542.92899831443</v>
      </c>
      <c r="J47" s="185">
        <f t="shared" si="30"/>
        <v>-235598.11258349489</v>
      </c>
      <c r="K47" s="185">
        <f t="shared" si="30"/>
        <v>-252652.93915179977</v>
      </c>
      <c r="L47" s="185">
        <f t="shared" si="30"/>
        <v>-272017.7799372435</v>
      </c>
      <c r="M47" s="185">
        <f t="shared" si="30"/>
        <v>-306647.36384329217</v>
      </c>
      <c r="N47" s="185">
        <f t="shared" si="30"/>
        <v>-341969.5394274618</v>
      </c>
      <c r="O47" s="185">
        <f t="shared" si="30"/>
        <v>-348832.2424248457</v>
      </c>
      <c r="P47" s="185">
        <f t="shared" si="30"/>
        <v>-355832.19948217738</v>
      </c>
      <c r="Q47" s="185">
        <f t="shared" si="30"/>
        <v>-362972.15568065562</v>
      </c>
      <c r="R47" s="185">
        <f t="shared" si="30"/>
        <v>-370254.91100310331</v>
      </c>
      <c r="S47" s="185">
        <f t="shared" si="30"/>
        <v>-377683.32143200014</v>
      </c>
      <c r="T47" s="185">
        <f t="shared" si="30"/>
        <v>-385260.30006947491</v>
      </c>
      <c r="U47" s="185">
        <f t="shared" si="30"/>
        <v>-392988.81827969896</v>
      </c>
      <c r="V47" s="185">
        <f t="shared" si="30"/>
        <v>-400871.90685412777</v>
      </c>
      <c r="W47" s="185">
        <f t="shared" si="30"/>
        <v>-408912.65720004507</v>
      </c>
      <c r="X47" s="185">
        <f t="shared" si="30"/>
        <v>-417114.22255288059</v>
      </c>
      <c r="Y47" s="185">
        <f t="shared" si="30"/>
        <v>-425479.81921277288</v>
      </c>
      <c r="Z47" s="185">
        <f t="shared" si="30"/>
        <v>-434012.72780586296</v>
      </c>
      <c r="AA47" s="185">
        <f t="shared" si="30"/>
        <v>-442716.29457081505</v>
      </c>
      <c r="AB47" s="185">
        <f t="shared" si="30"/>
        <v>-451593.93267106585</v>
      </c>
      <c r="AC47" s="185">
        <f t="shared" si="30"/>
        <v>-460649.12353332184</v>
      </c>
      <c r="AD47" s="185">
        <f t="shared" si="30"/>
        <v>-469885.41821282293</v>
      </c>
      <c r="AE47" s="185">
        <f t="shared" si="30"/>
        <v>-479306.4387859141</v>
      </c>
      <c r="AF47" s="185">
        <f t="shared" si="30"/>
        <v>-488915.87977046706</v>
      </c>
      <c r="AG47" s="227" t="s">
        <v>148</v>
      </c>
      <c r="AH47" s="238"/>
      <c r="AI47" s="152"/>
    </row>
    <row r="48" spans="1:35" ht="15" customHeight="1" x14ac:dyDescent="0.25">
      <c r="A48" s="186" t="s">
        <v>80</v>
      </c>
      <c r="B48" s="188"/>
      <c r="C48" s="189">
        <f t="shared" ref="C48:AF48" si="31">C42+C47</f>
        <v>855619.85656978702</v>
      </c>
      <c r="D48" s="189">
        <f t="shared" si="31"/>
        <v>1200149.9657024026</v>
      </c>
      <c r="E48" s="189">
        <f t="shared" si="31"/>
        <v>1296109.9956570163</v>
      </c>
      <c r="F48" s="216">
        <f t="shared" si="31"/>
        <v>1656051.6394815068</v>
      </c>
      <c r="G48" s="189">
        <f t="shared" si="31"/>
        <v>1921266.7934632951</v>
      </c>
      <c r="H48" s="189">
        <f t="shared" si="31"/>
        <v>2203364.9194221175</v>
      </c>
      <c r="I48" s="189">
        <f t="shared" si="31"/>
        <v>2385472.0433528298</v>
      </c>
      <c r="J48" s="189">
        <f t="shared" si="31"/>
        <v>2511968.6956194541</v>
      </c>
      <c r="K48" s="189">
        <f t="shared" si="31"/>
        <v>2665462.134734198</v>
      </c>
      <c r="L48" s="189">
        <f t="shared" si="31"/>
        <v>2839745.7018031916</v>
      </c>
      <c r="M48" s="189">
        <f t="shared" si="31"/>
        <v>3151411.9569576294</v>
      </c>
      <c r="N48" s="189">
        <f t="shared" si="31"/>
        <v>3469311.5372151565</v>
      </c>
      <c r="O48" s="189">
        <f t="shared" si="31"/>
        <v>3531075.8641916108</v>
      </c>
      <c r="P48" s="189">
        <f t="shared" si="31"/>
        <v>3594075.477707596</v>
      </c>
      <c r="Q48" s="189">
        <f t="shared" si="31"/>
        <v>3658335.0834939005</v>
      </c>
      <c r="R48" s="189">
        <f t="shared" si="31"/>
        <v>3723879.8813959295</v>
      </c>
      <c r="S48" s="189">
        <f t="shared" si="31"/>
        <v>3790735.5752560012</v>
      </c>
      <c r="T48" s="189">
        <f t="shared" si="31"/>
        <v>3858928.3829932739</v>
      </c>
      <c r="U48" s="189">
        <f t="shared" si="31"/>
        <v>3928485.0468852906</v>
      </c>
      <c r="V48" s="189">
        <f t="shared" si="31"/>
        <v>3999432.8440551497</v>
      </c>
      <c r="W48" s="189">
        <f t="shared" si="31"/>
        <v>4071799.5971684055</v>
      </c>
      <c r="X48" s="189">
        <f t="shared" si="31"/>
        <v>4145613.6853439249</v>
      </c>
      <c r="Y48" s="189">
        <f t="shared" si="31"/>
        <v>4220904.055282956</v>
      </c>
      <c r="Z48" s="189">
        <f t="shared" si="31"/>
        <v>4297700.2326207664</v>
      </c>
      <c r="AA48" s="189">
        <f t="shared" si="31"/>
        <v>4376032.3335053353</v>
      </c>
      <c r="AB48" s="189">
        <f t="shared" si="31"/>
        <v>4455931.0764075927</v>
      </c>
      <c r="AC48" s="189">
        <f t="shared" si="31"/>
        <v>4537427.7941678967</v>
      </c>
      <c r="AD48" s="189">
        <f t="shared" si="31"/>
        <v>4620554.4462834066</v>
      </c>
      <c r="AE48" s="189">
        <f t="shared" si="31"/>
        <v>4705343.6314412262</v>
      </c>
      <c r="AF48" s="189">
        <f t="shared" si="31"/>
        <v>4791828.6003022036</v>
      </c>
      <c r="AG48" s="227" t="s">
        <v>183</v>
      </c>
      <c r="AH48" s="240" t="s">
        <v>195</v>
      </c>
      <c r="AI48" s="152"/>
    </row>
    <row r="49" spans="1:35" ht="15" customHeight="1" x14ac:dyDescent="0.25">
      <c r="A49" s="186" t="str">
        <f>CONCATENATE("Less: ",$A$4," Portion of FORA Remediation Bonds Debt Service")</f>
        <v>Less: Seaside Portion of FORA Remediation Bonds Debt Service</v>
      </c>
      <c r="B49" s="186"/>
      <c r="C49" s="185">
        <v>0</v>
      </c>
      <c r="D49" s="185">
        <f>-'DS (Base Case)'!N53</f>
        <v>-664004.37636527955</v>
      </c>
      <c r="E49" s="185">
        <f>-'DS (Base Case)'!O53</f>
        <v>-664619.59078768734</v>
      </c>
      <c r="F49" s="215">
        <f>-'DS (Base Case)'!P53</f>
        <v>-664806.23069023807</v>
      </c>
      <c r="G49" s="185">
        <f>-'DS (Base Case)'!Q53</f>
        <v>-664726.47253358131</v>
      </c>
      <c r="H49" s="185">
        <f>-'DS (Base Case)'!R53</f>
        <v>-664343.14695468813</v>
      </c>
      <c r="I49" s="185">
        <f>-'DS (Base Case)'!S53</f>
        <v>-665310.54836176569</v>
      </c>
      <c r="J49" s="185">
        <f>-'DS (Base Case)'!T53</f>
        <v>-663741.72233952803</v>
      </c>
      <c r="K49" s="185">
        <f>-'DS (Base Case)'!U53</f>
        <v>-663165.64347600681</v>
      </c>
      <c r="L49" s="185">
        <f>-'DS (Base Case)'!V53</f>
        <v>-665376.67202412477</v>
      </c>
      <c r="M49" s="185">
        <f>-'DS (Base Case)'!W53</f>
        <v>-663895.18475231947</v>
      </c>
      <c r="N49" s="185">
        <f>-'DS (Base Case)'!X53</f>
        <v>-665179.39153222879</v>
      </c>
      <c r="O49" s="185">
        <f>-'DS (Base Case)'!Y53</f>
        <v>-664128.28635865683</v>
      </c>
      <c r="P49" s="185">
        <f>-'DS (Base Case)'!Z53</f>
        <v>-664106.64168157277</v>
      </c>
      <c r="Q49" s="185">
        <f>-'DS (Base Case)'!AA53</f>
        <v>-665021.00536846719</v>
      </c>
      <c r="R49" s="185">
        <f>-'DS (Base Case)'!AB53</f>
        <v>-665242.40893558657</v>
      </c>
      <c r="S49" s="185">
        <f>-'DS (Base Case)'!AC53</f>
        <v>-663079.06476767058</v>
      </c>
      <c r="T49" s="185">
        <f>-'DS (Base Case)'!AD53</f>
        <v>-663607.78970407508</v>
      </c>
      <c r="U49" s="185">
        <f>-'DS (Base Case)'!AE53</f>
        <v>-665032.04250151466</v>
      </c>
      <c r="V49" s="185">
        <f>-'DS (Base Case)'!AF53</f>
        <v>-665709.14087319758</v>
      </c>
      <c r="W49" s="185">
        <f>-'DS (Base Case)'!AG53</f>
        <v>-664078.68535056035</v>
      </c>
      <c r="X49" s="185">
        <f>-'DS (Base Case)'!AH53</f>
        <v>-665189.66862318025</v>
      </c>
      <c r="Y49" s="185">
        <f>-'DS (Base Case)'!AI53</f>
        <v>-663906.68451968627</v>
      </c>
      <c r="Z49" s="185">
        <f>-'DS (Base Case)'!AJ53</f>
        <v>-665306.97946844494</v>
      </c>
      <c r="AA49" s="185">
        <f>-'DS (Base Case)'!AK53</f>
        <v>-664252.17322031804</v>
      </c>
      <c r="AB49" s="185">
        <f>-'DS (Base Case)'!AL53</f>
        <v>-664144.44551452564</v>
      </c>
      <c r="AC49" s="185">
        <f>-'DS (Base Case)'!AM53</f>
        <v>-664881.85157426726</v>
      </c>
      <c r="AD49" s="185">
        <f>-'DS (Base Case)'!AN53</f>
        <v>-664798.08171715564</v>
      </c>
      <c r="AE49" s="185">
        <f>-'DS (Base Case)'!AO53</f>
        <v>-665497.32044555061</v>
      </c>
      <c r="AF49" s="185">
        <f>-'DS (Base Case)'!AP53</f>
        <v>-663638.85229408881</v>
      </c>
      <c r="AG49" s="227" t="s">
        <v>147</v>
      </c>
      <c r="AH49" s="238" t="s">
        <v>147</v>
      </c>
      <c r="AI49" s="152"/>
    </row>
    <row r="50" spans="1:35" ht="15" customHeight="1" x14ac:dyDescent="0.25">
      <c r="A50" s="192" t="s">
        <v>166</v>
      </c>
      <c r="B50" s="187"/>
      <c r="C50" s="190">
        <f>SUM(C48:C49)</f>
        <v>855619.85656978702</v>
      </c>
      <c r="D50" s="190">
        <f t="shared" ref="D50:AF50" si="32">SUM(D48:D49)</f>
        <v>536145.58933712309</v>
      </c>
      <c r="E50" s="190">
        <f t="shared" si="32"/>
        <v>631490.40486932895</v>
      </c>
      <c r="F50" s="217">
        <f t="shared" si="32"/>
        <v>991245.40879126871</v>
      </c>
      <c r="G50" s="190">
        <f t="shared" si="32"/>
        <v>1256540.3209297138</v>
      </c>
      <c r="H50" s="190">
        <f t="shared" si="32"/>
        <v>1539021.7724674293</v>
      </c>
      <c r="I50" s="190">
        <f t="shared" si="32"/>
        <v>1720161.4949910641</v>
      </c>
      <c r="J50" s="190">
        <f t="shared" si="32"/>
        <v>1848226.973279926</v>
      </c>
      <c r="K50" s="190">
        <f t="shared" si="32"/>
        <v>2002296.4912581912</v>
      </c>
      <c r="L50" s="190">
        <f t="shared" si="32"/>
        <v>2174369.0297790668</v>
      </c>
      <c r="M50" s="190">
        <f t="shared" si="32"/>
        <v>2487516.7722053099</v>
      </c>
      <c r="N50" s="190">
        <f t="shared" si="32"/>
        <v>2804132.1456829277</v>
      </c>
      <c r="O50" s="190">
        <f t="shared" si="32"/>
        <v>2866947.577832954</v>
      </c>
      <c r="P50" s="190">
        <f t="shared" si="32"/>
        <v>2929968.8360260231</v>
      </c>
      <c r="Q50" s="190">
        <f t="shared" si="32"/>
        <v>2993314.0781254331</v>
      </c>
      <c r="R50" s="190">
        <f t="shared" si="32"/>
        <v>3058637.472460343</v>
      </c>
      <c r="S50" s="190">
        <f t="shared" si="32"/>
        <v>3127656.5104883304</v>
      </c>
      <c r="T50" s="190">
        <f t="shared" si="32"/>
        <v>3195320.5932891988</v>
      </c>
      <c r="U50" s="190">
        <f t="shared" si="32"/>
        <v>3263453.0043837759</v>
      </c>
      <c r="V50" s="190">
        <f t="shared" si="32"/>
        <v>3333723.7031819522</v>
      </c>
      <c r="W50" s="190">
        <f t="shared" si="32"/>
        <v>3407720.911817845</v>
      </c>
      <c r="X50" s="190">
        <f t="shared" si="32"/>
        <v>3480424.0167207448</v>
      </c>
      <c r="Y50" s="190">
        <f t="shared" si="32"/>
        <v>3556997.3707632697</v>
      </c>
      <c r="Z50" s="190">
        <f t="shared" si="32"/>
        <v>3632393.2531523216</v>
      </c>
      <c r="AA50" s="190">
        <f t="shared" si="32"/>
        <v>3711780.1602850175</v>
      </c>
      <c r="AB50" s="190">
        <f t="shared" si="32"/>
        <v>3791786.630893067</v>
      </c>
      <c r="AC50" s="190">
        <f t="shared" si="32"/>
        <v>3872545.9425936295</v>
      </c>
      <c r="AD50" s="190">
        <f t="shared" si="32"/>
        <v>3955756.3645662507</v>
      </c>
      <c r="AE50" s="190">
        <f t="shared" si="32"/>
        <v>4039846.3109956756</v>
      </c>
      <c r="AF50" s="190">
        <f t="shared" si="32"/>
        <v>4128189.7480081148</v>
      </c>
      <c r="AG50" s="227" t="s">
        <v>184</v>
      </c>
      <c r="AH50" s="240" t="s">
        <v>196</v>
      </c>
      <c r="AI50" s="152"/>
    </row>
    <row r="51" spans="1:35" ht="8.1" customHeight="1" x14ac:dyDescent="0.25">
      <c r="A51" s="171"/>
      <c r="B51" s="172"/>
      <c r="C51" s="136"/>
      <c r="D51" s="136"/>
      <c r="E51" s="136"/>
      <c r="F51" s="205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227"/>
      <c r="AH51" s="238"/>
      <c r="AI51" s="152"/>
    </row>
    <row r="52" spans="1:35" ht="15" customHeight="1" x14ac:dyDescent="0.25">
      <c r="A52" s="198" t="s">
        <v>168</v>
      </c>
      <c r="B52" s="199"/>
      <c r="C52" s="135"/>
      <c r="D52" s="135"/>
      <c r="E52" s="135"/>
      <c r="F52" s="218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227"/>
      <c r="AH52" s="238"/>
      <c r="AI52" s="152"/>
    </row>
    <row r="53" spans="1:35" ht="15" customHeight="1" x14ac:dyDescent="0.25">
      <c r="A53" s="200" t="s">
        <v>161</v>
      </c>
      <c r="B53" s="201">
        <v>0.38</v>
      </c>
      <c r="C53" s="135">
        <v>0</v>
      </c>
      <c r="D53" s="135">
        <v>0</v>
      </c>
      <c r="E53" s="135">
        <v>0</v>
      </c>
      <c r="F53" s="218">
        <v>0</v>
      </c>
      <c r="G53" s="135">
        <f t="shared" ref="G53:AF53" si="33">G50*$B$53</f>
        <v>477485.32195329125</v>
      </c>
      <c r="H53" s="135">
        <f t="shared" si="33"/>
        <v>584828.27353762311</v>
      </c>
      <c r="I53" s="135">
        <f t="shared" si="33"/>
        <v>653661.36809660436</v>
      </c>
      <c r="J53" s="135">
        <f t="shared" si="33"/>
        <v>702326.24984637194</v>
      </c>
      <c r="K53" s="135">
        <f t="shared" si="33"/>
        <v>760872.6666781127</v>
      </c>
      <c r="L53" s="135">
        <f t="shared" si="33"/>
        <v>826260.23131604539</v>
      </c>
      <c r="M53" s="135">
        <f t="shared" si="33"/>
        <v>945256.37343801779</v>
      </c>
      <c r="N53" s="135">
        <f t="shared" si="33"/>
        <v>1065570.2153595125</v>
      </c>
      <c r="O53" s="135">
        <f t="shared" si="33"/>
        <v>1089440.0795765226</v>
      </c>
      <c r="P53" s="135">
        <f t="shared" si="33"/>
        <v>1113388.1576898887</v>
      </c>
      <c r="Q53" s="135">
        <f t="shared" si="33"/>
        <v>1137459.3496876645</v>
      </c>
      <c r="R53" s="135">
        <f t="shared" si="33"/>
        <v>1162282.2395349303</v>
      </c>
      <c r="S53" s="135">
        <f t="shared" si="33"/>
        <v>1188509.4739855656</v>
      </c>
      <c r="T53" s="135">
        <f t="shared" si="33"/>
        <v>1214221.8254498956</v>
      </c>
      <c r="U53" s="135">
        <f t="shared" si="33"/>
        <v>1240112.1416658349</v>
      </c>
      <c r="V53" s="135">
        <f t="shared" si="33"/>
        <v>1266815.007209142</v>
      </c>
      <c r="W53" s="135">
        <f t="shared" si="33"/>
        <v>1294933.9464907811</v>
      </c>
      <c r="X53" s="135">
        <f t="shared" si="33"/>
        <v>1322561.126353883</v>
      </c>
      <c r="Y53" s="135">
        <f t="shared" si="33"/>
        <v>1351659.0008900424</v>
      </c>
      <c r="Z53" s="135">
        <f t="shared" si="33"/>
        <v>1380309.4361978823</v>
      </c>
      <c r="AA53" s="135">
        <f t="shared" si="33"/>
        <v>1410476.4609083068</v>
      </c>
      <c r="AB53" s="135">
        <f t="shared" si="33"/>
        <v>1440878.9197393656</v>
      </c>
      <c r="AC53" s="135">
        <f t="shared" si="33"/>
        <v>1471567.4581855792</v>
      </c>
      <c r="AD53" s="135">
        <f t="shared" si="33"/>
        <v>1503187.4185351753</v>
      </c>
      <c r="AE53" s="135">
        <f t="shared" si="33"/>
        <v>1535141.5981783567</v>
      </c>
      <c r="AF53" s="135">
        <f t="shared" si="33"/>
        <v>1568712.1042430836</v>
      </c>
      <c r="AG53" s="234"/>
      <c r="AH53" s="244" t="s">
        <v>172</v>
      </c>
      <c r="AI53" s="124"/>
    </row>
    <row r="54" spans="1:35" ht="15" customHeight="1" x14ac:dyDescent="0.25">
      <c r="A54" s="200" t="s">
        <v>162</v>
      </c>
      <c r="B54" s="202">
        <v>0.08</v>
      </c>
      <c r="C54" s="135">
        <v>0</v>
      </c>
      <c r="D54" s="135">
        <v>0</v>
      </c>
      <c r="E54" s="135">
        <v>0</v>
      </c>
      <c r="F54" s="218">
        <v>0</v>
      </c>
      <c r="G54" s="135">
        <f t="shared" ref="G54:AF54" si="34">G50*$B$54</f>
        <v>100523.2256743771</v>
      </c>
      <c r="H54" s="135">
        <f t="shared" si="34"/>
        <v>123121.74179739435</v>
      </c>
      <c r="I54" s="135">
        <f t="shared" si="34"/>
        <v>137612.91959928512</v>
      </c>
      <c r="J54" s="135">
        <f t="shared" si="34"/>
        <v>147858.15786239409</v>
      </c>
      <c r="K54" s="135">
        <f t="shared" si="34"/>
        <v>160183.7193006553</v>
      </c>
      <c r="L54" s="135">
        <f t="shared" si="34"/>
        <v>173949.52238232535</v>
      </c>
      <c r="M54" s="135">
        <f t="shared" si="34"/>
        <v>199001.34177642479</v>
      </c>
      <c r="N54" s="135">
        <f t="shared" si="34"/>
        <v>224330.57165463423</v>
      </c>
      <c r="O54" s="135">
        <f t="shared" si="34"/>
        <v>229355.80622663631</v>
      </c>
      <c r="P54" s="135">
        <f t="shared" si="34"/>
        <v>234397.50688208186</v>
      </c>
      <c r="Q54" s="135">
        <f t="shared" si="34"/>
        <v>239465.12625003466</v>
      </c>
      <c r="R54" s="135">
        <f t="shared" si="34"/>
        <v>244690.99779682746</v>
      </c>
      <c r="S54" s="135">
        <f t="shared" si="34"/>
        <v>250212.52083906645</v>
      </c>
      <c r="T54" s="135">
        <f t="shared" si="34"/>
        <v>255625.64746313592</v>
      </c>
      <c r="U54" s="135">
        <f t="shared" si="34"/>
        <v>261076.24035070208</v>
      </c>
      <c r="V54" s="135">
        <f t="shared" si="34"/>
        <v>266697.8962545562</v>
      </c>
      <c r="W54" s="135">
        <f t="shared" si="34"/>
        <v>272617.67294542759</v>
      </c>
      <c r="X54" s="135">
        <f t="shared" si="34"/>
        <v>278433.92133765959</v>
      </c>
      <c r="Y54" s="135">
        <f t="shared" si="34"/>
        <v>284559.7896610616</v>
      </c>
      <c r="Z54" s="135">
        <f t="shared" si="34"/>
        <v>290591.46025218576</v>
      </c>
      <c r="AA54" s="135">
        <f t="shared" si="34"/>
        <v>296942.41282280139</v>
      </c>
      <c r="AB54" s="135">
        <f t="shared" si="34"/>
        <v>303342.93047144538</v>
      </c>
      <c r="AC54" s="135">
        <f t="shared" si="34"/>
        <v>309803.67540749034</v>
      </c>
      <c r="AD54" s="135">
        <f t="shared" si="34"/>
        <v>316460.50916530006</v>
      </c>
      <c r="AE54" s="135">
        <f t="shared" si="34"/>
        <v>323187.70487965405</v>
      </c>
      <c r="AF54" s="135">
        <f t="shared" si="34"/>
        <v>330255.17984064919</v>
      </c>
      <c r="AG54" s="233"/>
      <c r="AH54" s="243" t="s">
        <v>173</v>
      </c>
      <c r="AI54" s="152"/>
    </row>
    <row r="55" spans="1:35" ht="15" customHeight="1" x14ac:dyDescent="0.25">
      <c r="A55" s="200" t="s">
        <v>163</v>
      </c>
      <c r="B55" s="203">
        <v>0.54</v>
      </c>
      <c r="C55" s="135">
        <v>0</v>
      </c>
      <c r="D55" s="135">
        <v>0</v>
      </c>
      <c r="E55" s="135">
        <v>0</v>
      </c>
      <c r="F55" s="218">
        <v>0</v>
      </c>
      <c r="G55" s="135">
        <f t="shared" ref="G55:AF55" si="35">$B$55*G50</f>
        <v>678531.77330204553</v>
      </c>
      <c r="H55" s="135">
        <f t="shared" si="35"/>
        <v>831071.75713241182</v>
      </c>
      <c r="I55" s="135">
        <f t="shared" si="35"/>
        <v>928887.20729517471</v>
      </c>
      <c r="J55" s="135">
        <f t="shared" si="35"/>
        <v>998042.56557116006</v>
      </c>
      <c r="K55" s="135">
        <f t="shared" si="35"/>
        <v>1081240.1052794233</v>
      </c>
      <c r="L55" s="135">
        <f t="shared" si="35"/>
        <v>1174159.2760806961</v>
      </c>
      <c r="M55" s="135">
        <f t="shared" si="35"/>
        <v>1343259.0569908675</v>
      </c>
      <c r="N55" s="135">
        <f t="shared" si="35"/>
        <v>1514231.3586687811</v>
      </c>
      <c r="O55" s="135">
        <f t="shared" si="35"/>
        <v>1548151.6920297954</v>
      </c>
      <c r="P55" s="135">
        <f t="shared" si="35"/>
        <v>1582183.1714540527</v>
      </c>
      <c r="Q55" s="135">
        <f t="shared" si="35"/>
        <v>1616389.6021877339</v>
      </c>
      <c r="R55" s="135">
        <f t="shared" si="35"/>
        <v>1651664.2351285852</v>
      </c>
      <c r="S55" s="135">
        <f t="shared" si="35"/>
        <v>1688934.5156636985</v>
      </c>
      <c r="T55" s="135">
        <f t="shared" si="35"/>
        <v>1725473.1203761676</v>
      </c>
      <c r="U55" s="135">
        <f t="shared" si="35"/>
        <v>1762264.6223672391</v>
      </c>
      <c r="V55" s="135">
        <f t="shared" si="35"/>
        <v>1800210.7997182542</v>
      </c>
      <c r="W55" s="135">
        <f t="shared" si="35"/>
        <v>1840169.2923816363</v>
      </c>
      <c r="X55" s="135">
        <f t="shared" si="35"/>
        <v>1879428.9690292024</v>
      </c>
      <c r="Y55" s="135">
        <f t="shared" si="35"/>
        <v>1920778.5802121658</v>
      </c>
      <c r="Z55" s="135">
        <f t="shared" si="35"/>
        <v>1961492.3567022537</v>
      </c>
      <c r="AA55" s="135">
        <f t="shared" si="35"/>
        <v>2004361.2865539095</v>
      </c>
      <c r="AB55" s="135">
        <f t="shared" si="35"/>
        <v>2047564.7806822562</v>
      </c>
      <c r="AC55" s="135">
        <f t="shared" si="35"/>
        <v>2091174.8090005601</v>
      </c>
      <c r="AD55" s="135">
        <f t="shared" si="35"/>
        <v>2136108.4368657754</v>
      </c>
      <c r="AE55" s="135">
        <f t="shared" si="35"/>
        <v>2181517.0079376651</v>
      </c>
      <c r="AF55" s="135">
        <f t="shared" si="35"/>
        <v>2229222.4639243819</v>
      </c>
      <c r="AG55" s="227" t="s">
        <v>185</v>
      </c>
      <c r="AH55" s="240" t="s">
        <v>188</v>
      </c>
      <c r="AI55" s="152"/>
    </row>
    <row r="56" spans="1:35" ht="15" customHeight="1" x14ac:dyDescent="0.25">
      <c r="A56" s="220" t="s">
        <v>160</v>
      </c>
      <c r="B56" s="221">
        <f>SUM(B53:B55)</f>
        <v>1</v>
      </c>
      <c r="C56" s="222">
        <f>SUM(C53:C55)</f>
        <v>0</v>
      </c>
      <c r="D56" s="222">
        <f t="shared" ref="D56:AF56" si="36">SUM(D53:D55)</f>
        <v>0</v>
      </c>
      <c r="E56" s="222">
        <f t="shared" si="36"/>
        <v>0</v>
      </c>
      <c r="F56" s="223">
        <f t="shared" si="36"/>
        <v>0</v>
      </c>
      <c r="G56" s="222">
        <f t="shared" si="36"/>
        <v>1256540.320929714</v>
      </c>
      <c r="H56" s="222">
        <f t="shared" si="36"/>
        <v>1539021.7724674293</v>
      </c>
      <c r="I56" s="222">
        <f t="shared" si="36"/>
        <v>1720161.4949910641</v>
      </c>
      <c r="J56" s="222">
        <f t="shared" si="36"/>
        <v>1848226.973279926</v>
      </c>
      <c r="K56" s="222">
        <f t="shared" si="36"/>
        <v>2002296.4912581914</v>
      </c>
      <c r="L56" s="222">
        <f t="shared" si="36"/>
        <v>2174369.0297790668</v>
      </c>
      <c r="M56" s="222">
        <f t="shared" si="36"/>
        <v>2487516.7722053099</v>
      </c>
      <c r="N56" s="222">
        <f t="shared" si="36"/>
        <v>2804132.1456829282</v>
      </c>
      <c r="O56" s="222">
        <f t="shared" si="36"/>
        <v>2866947.577832954</v>
      </c>
      <c r="P56" s="222">
        <f t="shared" si="36"/>
        <v>2929968.8360260231</v>
      </c>
      <c r="Q56" s="222">
        <f t="shared" si="36"/>
        <v>2993314.0781254331</v>
      </c>
      <c r="R56" s="222">
        <f t="shared" si="36"/>
        <v>3058637.472460343</v>
      </c>
      <c r="S56" s="222">
        <f t="shared" si="36"/>
        <v>3127656.5104883304</v>
      </c>
      <c r="T56" s="222">
        <f t="shared" si="36"/>
        <v>3195320.5932891993</v>
      </c>
      <c r="U56" s="222">
        <f t="shared" si="36"/>
        <v>3263453.0043837763</v>
      </c>
      <c r="V56" s="222">
        <f t="shared" si="36"/>
        <v>3333723.7031819522</v>
      </c>
      <c r="W56" s="222">
        <f t="shared" si="36"/>
        <v>3407720.911817845</v>
      </c>
      <c r="X56" s="222">
        <f t="shared" si="36"/>
        <v>3480424.0167207448</v>
      </c>
      <c r="Y56" s="222">
        <f t="shared" si="36"/>
        <v>3556997.3707632702</v>
      </c>
      <c r="Z56" s="222">
        <f t="shared" si="36"/>
        <v>3632393.253152322</v>
      </c>
      <c r="AA56" s="222">
        <f t="shared" si="36"/>
        <v>3711780.1602850175</v>
      </c>
      <c r="AB56" s="222">
        <f t="shared" si="36"/>
        <v>3791786.6308930675</v>
      </c>
      <c r="AC56" s="222">
        <f t="shared" si="36"/>
        <v>3872545.9425936295</v>
      </c>
      <c r="AD56" s="222">
        <f t="shared" si="36"/>
        <v>3955756.3645662507</v>
      </c>
      <c r="AE56" s="222">
        <f t="shared" si="36"/>
        <v>4039846.3109956756</v>
      </c>
      <c r="AF56" s="222">
        <f t="shared" si="36"/>
        <v>4128189.7480081148</v>
      </c>
      <c r="AG56" s="227"/>
      <c r="AH56" s="238"/>
      <c r="AI56" s="152"/>
    </row>
    <row r="57" spans="1:35" ht="8.1" customHeight="1" x14ac:dyDescent="0.25">
      <c r="A57" s="140"/>
      <c r="B57" s="101"/>
      <c r="C57" s="136"/>
      <c r="D57" s="136"/>
      <c r="E57" s="136"/>
      <c r="F57" s="205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227"/>
      <c r="AH57" s="238"/>
      <c r="AI57" s="152"/>
    </row>
    <row r="58" spans="1:35" ht="15" customHeight="1" x14ac:dyDescent="0.25">
      <c r="A58" s="150" t="str">
        <f>CONCATENATE("Increase in ",A4," General Fund Revenues")</f>
        <v>Increase in Seaside General Fund Revenues</v>
      </c>
      <c r="B58" s="251" t="s">
        <v>198</v>
      </c>
      <c r="C58" s="136"/>
      <c r="D58" s="136"/>
      <c r="E58" s="136"/>
      <c r="F58" s="205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227"/>
      <c r="AH58" s="238"/>
      <c r="AI58" s="152"/>
    </row>
    <row r="59" spans="1:35" ht="30" customHeight="1" x14ac:dyDescent="0.25">
      <c r="A59" s="178" t="s">
        <v>199</v>
      </c>
      <c r="B59" s="252">
        <f>Scenarios!C7</f>
        <v>0.2</v>
      </c>
      <c r="C59" s="177">
        <v>0</v>
      </c>
      <c r="D59" s="177">
        <v>0</v>
      </c>
      <c r="E59" s="177">
        <f t="shared" ref="E59:L59" si="37">E55*$B$59</f>
        <v>0</v>
      </c>
      <c r="F59" s="224">
        <f t="shared" si="37"/>
        <v>0</v>
      </c>
      <c r="G59" s="177">
        <f t="shared" si="37"/>
        <v>135706.35466040912</v>
      </c>
      <c r="H59" s="177">
        <f t="shared" si="37"/>
        <v>166214.35142648238</v>
      </c>
      <c r="I59" s="177">
        <f t="shared" si="37"/>
        <v>185777.44145903495</v>
      </c>
      <c r="J59" s="177">
        <f t="shared" si="37"/>
        <v>199608.51311423202</v>
      </c>
      <c r="K59" s="177">
        <f t="shared" si="37"/>
        <v>216248.02105588466</v>
      </c>
      <c r="L59" s="177">
        <f t="shared" si="37"/>
        <v>234831.85521613923</v>
      </c>
      <c r="M59" s="177">
        <f>M55*$B$59</f>
        <v>268651.81139817351</v>
      </c>
      <c r="N59" s="177">
        <f t="shared" ref="N59:AF59" si="38">N55*$B$59</f>
        <v>302846.27173375624</v>
      </c>
      <c r="O59" s="177">
        <f t="shared" si="38"/>
        <v>309630.33840595908</v>
      </c>
      <c r="P59" s="177">
        <f t="shared" si="38"/>
        <v>316436.63429081056</v>
      </c>
      <c r="Q59" s="177">
        <f t="shared" si="38"/>
        <v>323277.9204375468</v>
      </c>
      <c r="R59" s="177">
        <f t="shared" si="38"/>
        <v>330332.84702571708</v>
      </c>
      <c r="S59" s="177">
        <f t="shared" si="38"/>
        <v>337786.90313273971</v>
      </c>
      <c r="T59" s="177">
        <f t="shared" si="38"/>
        <v>345094.62407523353</v>
      </c>
      <c r="U59" s="177">
        <f t="shared" si="38"/>
        <v>352452.92447344784</v>
      </c>
      <c r="V59" s="177">
        <f t="shared" si="38"/>
        <v>360042.15994365088</v>
      </c>
      <c r="W59" s="177">
        <f t="shared" si="38"/>
        <v>368033.85847632727</v>
      </c>
      <c r="X59" s="177">
        <f t="shared" si="38"/>
        <v>375885.79380584048</v>
      </c>
      <c r="Y59" s="177">
        <f t="shared" si="38"/>
        <v>384155.71604243317</v>
      </c>
      <c r="Z59" s="177">
        <f t="shared" si="38"/>
        <v>392298.47134045075</v>
      </c>
      <c r="AA59" s="177">
        <f t="shared" si="38"/>
        <v>400872.25731078192</v>
      </c>
      <c r="AB59" s="177">
        <f t="shared" si="38"/>
        <v>409512.95613645128</v>
      </c>
      <c r="AC59" s="177">
        <f t="shared" si="38"/>
        <v>418234.96180011204</v>
      </c>
      <c r="AD59" s="177">
        <f t="shared" si="38"/>
        <v>427221.68737315509</v>
      </c>
      <c r="AE59" s="177">
        <f t="shared" si="38"/>
        <v>436303.40158753307</v>
      </c>
      <c r="AF59" s="177">
        <f t="shared" si="38"/>
        <v>445844.49278487638</v>
      </c>
      <c r="AG59" s="235" t="s">
        <v>186</v>
      </c>
      <c r="AH59" s="245" t="s">
        <v>187</v>
      </c>
      <c r="AI59" s="152"/>
    </row>
    <row r="60" spans="1:35" ht="15" hidden="1" customHeight="1" x14ac:dyDescent="0.25">
      <c r="A60" s="151" t="str">
        <f>CONCATENATE("Add Back In: 10% of Incremental FORA Share sent to ",A4)</f>
        <v>Add Back In: 10% of Incremental FORA Share sent to Seaside</v>
      </c>
      <c r="B60" s="142"/>
      <c r="C60" s="145">
        <f t="shared" ref="C60:M60" si="39">-C47</f>
        <v>51559.352689087442</v>
      </c>
      <c r="D60" s="145">
        <f t="shared" si="39"/>
        <v>89840.475926044732</v>
      </c>
      <c r="E60" s="145">
        <f t="shared" si="39"/>
        <v>100502.70147655737</v>
      </c>
      <c r="F60" s="145">
        <f t="shared" si="39"/>
        <v>140496.21745705631</v>
      </c>
      <c r="G60" s="145">
        <f t="shared" si="39"/>
        <v>169964.56789947723</v>
      </c>
      <c r="H60" s="145">
        <f t="shared" si="39"/>
        <v>201308.80411712418</v>
      </c>
      <c r="I60" s="145">
        <f t="shared" si="39"/>
        <v>221542.92899831443</v>
      </c>
      <c r="J60" s="145">
        <f t="shared" si="39"/>
        <v>235598.11258349489</v>
      </c>
      <c r="K60" s="145">
        <f t="shared" si="39"/>
        <v>252652.93915179977</v>
      </c>
      <c r="L60" s="145">
        <f t="shared" si="39"/>
        <v>272017.7799372435</v>
      </c>
      <c r="M60" s="145">
        <f t="shared" si="39"/>
        <v>306647.36384329217</v>
      </c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227" t="s">
        <v>148</v>
      </c>
      <c r="AH60" s="238"/>
      <c r="AI60" s="26"/>
    </row>
    <row r="61" spans="1:35" x14ac:dyDescent="0.25">
      <c r="A61" s="153" t="str">
        <f>CONCATENATE("Increase in Net Property Taxes Received by ",A4," General Fund")</f>
        <v>Increase in Net Property Taxes Received by Seaside General Fund</v>
      </c>
      <c r="B61" s="153"/>
      <c r="C61" s="154">
        <f>C59</f>
        <v>0</v>
      </c>
      <c r="D61" s="377">
        <f t="shared" ref="D61:AF61" si="40">D59</f>
        <v>0</v>
      </c>
      <c r="E61" s="377">
        <f t="shared" si="40"/>
        <v>0</v>
      </c>
      <c r="F61" s="154">
        <f t="shared" si="40"/>
        <v>0</v>
      </c>
      <c r="G61" s="154">
        <f t="shared" si="40"/>
        <v>135706.35466040912</v>
      </c>
      <c r="H61" s="154">
        <f t="shared" si="40"/>
        <v>166214.35142648238</v>
      </c>
      <c r="I61" s="154">
        <f t="shared" si="40"/>
        <v>185777.44145903495</v>
      </c>
      <c r="J61" s="154">
        <f t="shared" si="40"/>
        <v>199608.51311423202</v>
      </c>
      <c r="K61" s="154">
        <f t="shared" si="40"/>
        <v>216248.02105588466</v>
      </c>
      <c r="L61" s="154">
        <f t="shared" si="40"/>
        <v>234831.85521613923</v>
      </c>
      <c r="M61" s="154">
        <f t="shared" si="40"/>
        <v>268651.81139817351</v>
      </c>
      <c r="N61" s="154">
        <f t="shared" si="40"/>
        <v>302846.27173375624</v>
      </c>
      <c r="O61" s="154">
        <f t="shared" si="40"/>
        <v>309630.33840595908</v>
      </c>
      <c r="P61" s="154">
        <f t="shared" si="40"/>
        <v>316436.63429081056</v>
      </c>
      <c r="Q61" s="154">
        <f t="shared" si="40"/>
        <v>323277.9204375468</v>
      </c>
      <c r="R61" s="154">
        <f t="shared" si="40"/>
        <v>330332.84702571708</v>
      </c>
      <c r="S61" s="154">
        <f t="shared" si="40"/>
        <v>337786.90313273971</v>
      </c>
      <c r="T61" s="154">
        <f t="shared" si="40"/>
        <v>345094.62407523353</v>
      </c>
      <c r="U61" s="154">
        <f t="shared" si="40"/>
        <v>352452.92447344784</v>
      </c>
      <c r="V61" s="154">
        <f t="shared" si="40"/>
        <v>360042.15994365088</v>
      </c>
      <c r="W61" s="154">
        <f t="shared" si="40"/>
        <v>368033.85847632727</v>
      </c>
      <c r="X61" s="154">
        <f t="shared" si="40"/>
        <v>375885.79380584048</v>
      </c>
      <c r="Y61" s="154">
        <f t="shared" si="40"/>
        <v>384155.71604243317</v>
      </c>
      <c r="Z61" s="154">
        <f t="shared" si="40"/>
        <v>392298.47134045075</v>
      </c>
      <c r="AA61" s="154">
        <f t="shared" si="40"/>
        <v>400872.25731078192</v>
      </c>
      <c r="AB61" s="154">
        <f t="shared" si="40"/>
        <v>409512.95613645128</v>
      </c>
      <c r="AC61" s="154">
        <f t="shared" si="40"/>
        <v>418234.96180011204</v>
      </c>
      <c r="AD61" s="154">
        <f t="shared" si="40"/>
        <v>427221.68737315509</v>
      </c>
      <c r="AE61" s="154">
        <f t="shared" si="40"/>
        <v>436303.40158753307</v>
      </c>
      <c r="AF61" s="154">
        <f t="shared" si="40"/>
        <v>445844.49278487638</v>
      </c>
      <c r="AG61" s="335"/>
      <c r="AH61" s="240" t="s">
        <v>216</v>
      </c>
    </row>
    <row r="62" spans="1:35" x14ac:dyDescent="0.25">
      <c r="A62" s="1" t="s">
        <v>103</v>
      </c>
      <c r="C62" s="109">
        <f>NPV(Assumptions!D4,'3 - Seaside'!D61:AF61)+'3 - Seaside'!C61</f>
        <v>3969919.1272455445</v>
      </c>
      <c r="E62" s="80"/>
      <c r="AG62" s="227"/>
      <c r="AH62" s="238"/>
    </row>
    <row r="63" spans="1:35" x14ac:dyDescent="0.25">
      <c r="D63" s="80"/>
      <c r="AG63" s="227"/>
      <c r="AH63" s="238"/>
    </row>
    <row r="64" spans="1:35" x14ac:dyDescent="0.25">
      <c r="A64" s="19" t="s">
        <v>324</v>
      </c>
      <c r="D64" s="80"/>
      <c r="AG64" s="227"/>
      <c r="AH64" s="238"/>
    </row>
    <row r="65" spans="1:34" x14ac:dyDescent="0.25">
      <c r="A65" s="19" t="s">
        <v>201</v>
      </c>
      <c r="E65" s="80"/>
      <c r="AG65" s="227"/>
      <c r="AH65" s="238"/>
    </row>
    <row r="66" spans="1:34" x14ac:dyDescent="0.25">
      <c r="A66" s="19"/>
      <c r="AG66" s="227"/>
      <c r="AH66" s="238"/>
    </row>
    <row r="67" spans="1:34" ht="15.75" x14ac:dyDescent="0.25">
      <c r="A67" s="65"/>
      <c r="AG67" s="227"/>
      <c r="AH67" s="238"/>
    </row>
    <row r="68" spans="1:34" x14ac:dyDescent="0.25">
      <c r="AG68" s="227"/>
      <c r="AH68" s="238"/>
    </row>
    <row r="69" spans="1:34" x14ac:dyDescent="0.25">
      <c r="AG69" s="236"/>
      <c r="AH69" s="246"/>
    </row>
  </sheetData>
  <mergeCells count="3">
    <mergeCell ref="AH10:AH12"/>
    <mergeCell ref="B45:B46"/>
    <mergeCell ref="C6:F6"/>
  </mergeCells>
  <pageMargins left="0.25" right="0.25" top="0.75" bottom="0.75" header="0.3" footer="0.3"/>
  <pageSetup scale="55" orientation="landscape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AW62"/>
  <sheetViews>
    <sheetView showGridLines="0" topLeftCell="A31" zoomScale="85" zoomScaleNormal="85" workbookViewId="0">
      <selection activeCell="J62" sqref="J62"/>
    </sheetView>
  </sheetViews>
  <sheetFormatPr defaultColWidth="8.85546875" defaultRowHeight="15" x14ac:dyDescent="0.25"/>
  <cols>
    <col min="1" max="1" width="63.28515625" customWidth="1"/>
    <col min="2" max="2" width="15.28515625" customWidth="1"/>
    <col min="3" max="32" width="13.28515625" customWidth="1"/>
    <col min="33" max="33" width="4.28515625" style="226" bestFit="1" customWidth="1"/>
    <col min="34" max="34" width="17.85546875" style="237" customWidth="1"/>
    <col min="35" max="35" width="13.85546875" customWidth="1"/>
    <col min="36" max="40" width="8.85546875" style="139"/>
    <col min="49" max="49" width="8.85546875" style="139"/>
  </cols>
  <sheetData>
    <row r="1" spans="1:36" ht="18.75" x14ac:dyDescent="0.3">
      <c r="A1" s="53" t="s">
        <v>56</v>
      </c>
    </row>
    <row r="2" spans="1:36" ht="18.75" x14ac:dyDescent="0.3">
      <c r="A2" s="54" t="s">
        <v>128</v>
      </c>
    </row>
    <row r="3" spans="1:36" ht="18.75" x14ac:dyDescent="0.3">
      <c r="A3" s="54"/>
    </row>
    <row r="4" spans="1:36" ht="18.75" x14ac:dyDescent="0.3">
      <c r="A4" s="160" t="s">
        <v>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</row>
    <row r="5" spans="1:36" x14ac:dyDescent="0.25">
      <c r="A5" s="52"/>
      <c r="AI5" s="264"/>
    </row>
    <row r="6" spans="1:36" x14ac:dyDescent="0.25">
      <c r="A6" s="52"/>
      <c r="B6" s="257"/>
      <c r="C6" s="442" t="s">
        <v>59</v>
      </c>
      <c r="D6" s="442"/>
      <c r="E6" s="443" t="s">
        <v>60</v>
      </c>
      <c r="F6" s="443"/>
      <c r="G6" s="443"/>
      <c r="H6" s="443"/>
      <c r="I6" s="443"/>
      <c r="J6" s="443"/>
      <c r="K6" s="443"/>
      <c r="L6" s="443"/>
      <c r="M6" s="443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I6" s="265"/>
    </row>
    <row r="7" spans="1:36" x14ac:dyDescent="0.25">
      <c r="A7" s="258" t="s">
        <v>92</v>
      </c>
      <c r="B7" s="259" t="s">
        <v>9</v>
      </c>
      <c r="C7" s="339">
        <v>201819</v>
      </c>
      <c r="D7" s="339">
        <f t="shared" ref="D7:AF7" si="0">C7+101</f>
        <v>201920</v>
      </c>
      <c r="E7" s="337">
        <f t="shared" si="0"/>
        <v>202021</v>
      </c>
      <c r="F7" s="379">
        <f t="shared" si="0"/>
        <v>202122</v>
      </c>
      <c r="G7" s="337">
        <f t="shared" si="0"/>
        <v>202223</v>
      </c>
      <c r="H7" s="337">
        <f t="shared" si="0"/>
        <v>202324</v>
      </c>
      <c r="I7" s="337">
        <f t="shared" si="0"/>
        <v>202425</v>
      </c>
      <c r="J7" s="337">
        <f t="shared" si="0"/>
        <v>202526</v>
      </c>
      <c r="K7" s="337">
        <f>J7+101</f>
        <v>202627</v>
      </c>
      <c r="L7" s="337">
        <f t="shared" si="0"/>
        <v>202728</v>
      </c>
      <c r="M7" s="337">
        <f t="shared" si="0"/>
        <v>202829</v>
      </c>
      <c r="N7" s="337">
        <f t="shared" si="0"/>
        <v>202930</v>
      </c>
      <c r="O7" s="337">
        <f t="shared" si="0"/>
        <v>203031</v>
      </c>
      <c r="P7" s="337">
        <f t="shared" si="0"/>
        <v>203132</v>
      </c>
      <c r="Q7" s="337">
        <f t="shared" si="0"/>
        <v>203233</v>
      </c>
      <c r="R7" s="337">
        <f t="shared" si="0"/>
        <v>203334</v>
      </c>
      <c r="S7" s="337">
        <f t="shared" si="0"/>
        <v>203435</v>
      </c>
      <c r="T7" s="337">
        <f t="shared" si="0"/>
        <v>203536</v>
      </c>
      <c r="U7" s="337">
        <f t="shared" si="0"/>
        <v>203637</v>
      </c>
      <c r="V7" s="337">
        <f t="shared" si="0"/>
        <v>203738</v>
      </c>
      <c r="W7" s="337">
        <f t="shared" si="0"/>
        <v>203839</v>
      </c>
      <c r="X7" s="337">
        <f t="shared" si="0"/>
        <v>203940</v>
      </c>
      <c r="Y7" s="337">
        <f t="shared" si="0"/>
        <v>204041</v>
      </c>
      <c r="Z7" s="337">
        <f t="shared" si="0"/>
        <v>204142</v>
      </c>
      <c r="AA7" s="337">
        <f t="shared" si="0"/>
        <v>204243</v>
      </c>
      <c r="AB7" s="337">
        <f t="shared" si="0"/>
        <v>204344</v>
      </c>
      <c r="AC7" s="337">
        <f t="shared" si="0"/>
        <v>204445</v>
      </c>
      <c r="AD7" s="337">
        <f t="shared" si="0"/>
        <v>204546</v>
      </c>
      <c r="AE7" s="337">
        <f t="shared" si="0"/>
        <v>204647</v>
      </c>
      <c r="AF7" s="337">
        <f t="shared" si="0"/>
        <v>204748</v>
      </c>
      <c r="AG7" s="227"/>
      <c r="AH7" s="238"/>
      <c r="AI7" s="265"/>
    </row>
    <row r="8" spans="1:36" x14ac:dyDescent="0.25">
      <c r="A8" s="139" t="s">
        <v>43</v>
      </c>
      <c r="B8" s="260">
        <v>533000</v>
      </c>
      <c r="C8" s="247">
        <v>192</v>
      </c>
      <c r="D8" s="247">
        <v>235</v>
      </c>
      <c r="E8" s="60">
        <v>20</v>
      </c>
      <c r="F8" s="61">
        <v>60</v>
      </c>
      <c r="G8" s="60">
        <v>60</v>
      </c>
      <c r="H8" s="60">
        <v>60</v>
      </c>
      <c r="I8" s="60">
        <v>60</v>
      </c>
      <c r="J8" s="60">
        <v>120</v>
      </c>
      <c r="K8" s="60">
        <v>120</v>
      </c>
      <c r="L8" s="60">
        <v>110</v>
      </c>
      <c r="M8" s="60">
        <v>81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60">
        <v>0</v>
      </c>
      <c r="AD8" s="60">
        <v>0</v>
      </c>
      <c r="AE8" s="60">
        <v>0</v>
      </c>
      <c r="AF8" s="60">
        <v>0</v>
      </c>
      <c r="AG8" s="227"/>
      <c r="AH8" s="238"/>
      <c r="AI8" s="265"/>
    </row>
    <row r="9" spans="1:36" x14ac:dyDescent="0.25">
      <c r="A9" s="139" t="s">
        <v>44</v>
      </c>
      <c r="B9" s="261">
        <v>220</v>
      </c>
      <c r="C9" s="247">
        <v>0</v>
      </c>
      <c r="D9" s="247">
        <v>23000</v>
      </c>
      <c r="E9" s="60">
        <v>200000</v>
      </c>
      <c r="F9" s="61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60">
        <v>0</v>
      </c>
      <c r="AD9" s="60">
        <v>0</v>
      </c>
      <c r="AE9" s="60">
        <v>0</v>
      </c>
      <c r="AF9" s="60">
        <v>0</v>
      </c>
      <c r="AG9" s="227"/>
      <c r="AH9" s="238"/>
      <c r="AI9" s="265"/>
    </row>
    <row r="10" spans="1:36" x14ac:dyDescent="0.25">
      <c r="A10" s="139" t="s">
        <v>45</v>
      </c>
      <c r="B10" s="261">
        <v>90</v>
      </c>
      <c r="C10" s="247">
        <v>0</v>
      </c>
      <c r="D10" s="247">
        <v>0</v>
      </c>
      <c r="E10" s="60">
        <v>0</v>
      </c>
      <c r="F10" s="61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C10" s="60">
        <v>0</v>
      </c>
      <c r="AD10" s="60">
        <v>0</v>
      </c>
      <c r="AE10" s="60">
        <v>0</v>
      </c>
      <c r="AF10" s="60">
        <v>0</v>
      </c>
      <c r="AG10" s="334"/>
      <c r="AH10" s="444" t="s">
        <v>197</v>
      </c>
      <c r="AI10" s="265"/>
    </row>
    <row r="11" spans="1:36" ht="15" customHeight="1" x14ac:dyDescent="0.25">
      <c r="A11" s="139" t="s">
        <v>46</v>
      </c>
      <c r="B11" s="261">
        <v>265</v>
      </c>
      <c r="C11" s="247">
        <v>0</v>
      </c>
      <c r="D11" s="247">
        <v>20000</v>
      </c>
      <c r="E11" s="60">
        <v>0</v>
      </c>
      <c r="F11" s="61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60">
        <v>0</v>
      </c>
      <c r="AD11" s="60">
        <v>0</v>
      </c>
      <c r="AE11" s="60">
        <v>0</v>
      </c>
      <c r="AF11" s="60">
        <v>0</v>
      </c>
      <c r="AG11" s="334"/>
      <c r="AH11" s="444"/>
      <c r="AI11" s="143"/>
    </row>
    <row r="12" spans="1:36" ht="26.25" x14ac:dyDescent="0.25">
      <c r="A12" s="139" t="s">
        <v>47</v>
      </c>
      <c r="B12" s="262">
        <v>162000</v>
      </c>
      <c r="C12" s="249">
        <v>0</v>
      </c>
      <c r="D12" s="249">
        <v>0</v>
      </c>
      <c r="E12" s="60">
        <v>0</v>
      </c>
      <c r="F12" s="61">
        <v>0</v>
      </c>
      <c r="G12" s="60">
        <v>0</v>
      </c>
      <c r="H12" s="60">
        <v>0</v>
      </c>
      <c r="I12" s="60">
        <v>550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60">
        <v>0</v>
      </c>
      <c r="AD12" s="60">
        <v>0</v>
      </c>
      <c r="AE12" s="60">
        <v>0</v>
      </c>
      <c r="AF12" s="60">
        <v>0</v>
      </c>
      <c r="AG12" s="334" t="s">
        <v>189</v>
      </c>
      <c r="AH12" s="444"/>
      <c r="AI12" s="152"/>
    </row>
    <row r="13" spans="1:36" x14ac:dyDescent="0.25">
      <c r="A13" s="37" t="s">
        <v>49</v>
      </c>
      <c r="B13" s="24"/>
      <c r="C13" s="318">
        <v>0</v>
      </c>
      <c r="D13" s="136">
        <v>45329900</v>
      </c>
      <c r="E13" s="302">
        <f>SUMPRODUCT($B$8:$B$12,E8:E12)</f>
        <v>54660000</v>
      </c>
      <c r="F13" s="378">
        <f>SUMPRODUCT($B$8:$B$12,F8:F12)</f>
        <v>31980000</v>
      </c>
      <c r="G13" s="302">
        <f t="shared" ref="G13:AF13" si="1">SUMPRODUCT($B$8:$B$12,G8:G12)</f>
        <v>31980000</v>
      </c>
      <c r="H13" s="302">
        <f t="shared" si="1"/>
        <v>31980000</v>
      </c>
      <c r="I13" s="302">
        <f t="shared" si="1"/>
        <v>121080000</v>
      </c>
      <c r="J13" s="302">
        <f t="shared" si="1"/>
        <v>63960000</v>
      </c>
      <c r="K13" s="302">
        <f t="shared" si="1"/>
        <v>63960000</v>
      </c>
      <c r="L13" s="302">
        <f t="shared" si="1"/>
        <v>58630000</v>
      </c>
      <c r="M13" s="302">
        <f t="shared" si="1"/>
        <v>43173000</v>
      </c>
      <c r="N13" s="302">
        <f t="shared" si="1"/>
        <v>0</v>
      </c>
      <c r="O13" s="302">
        <f t="shared" si="1"/>
        <v>0</v>
      </c>
      <c r="P13" s="302">
        <f t="shared" si="1"/>
        <v>0</v>
      </c>
      <c r="Q13" s="302">
        <f t="shared" si="1"/>
        <v>0</v>
      </c>
      <c r="R13" s="302">
        <f t="shared" si="1"/>
        <v>0</v>
      </c>
      <c r="S13" s="302">
        <f t="shared" si="1"/>
        <v>0</v>
      </c>
      <c r="T13" s="302">
        <f t="shared" si="1"/>
        <v>0</v>
      </c>
      <c r="U13" s="302">
        <f t="shared" si="1"/>
        <v>0</v>
      </c>
      <c r="V13" s="302">
        <f t="shared" si="1"/>
        <v>0</v>
      </c>
      <c r="W13" s="302">
        <f t="shared" si="1"/>
        <v>0</v>
      </c>
      <c r="X13" s="302">
        <f t="shared" si="1"/>
        <v>0</v>
      </c>
      <c r="Y13" s="302">
        <f t="shared" si="1"/>
        <v>0</v>
      </c>
      <c r="Z13" s="302">
        <f t="shared" si="1"/>
        <v>0</v>
      </c>
      <c r="AA13" s="302">
        <f t="shared" si="1"/>
        <v>0</v>
      </c>
      <c r="AB13" s="302">
        <f t="shared" si="1"/>
        <v>0</v>
      </c>
      <c r="AC13" s="302">
        <f t="shared" si="1"/>
        <v>0</v>
      </c>
      <c r="AD13" s="302">
        <f t="shared" si="1"/>
        <v>0</v>
      </c>
      <c r="AE13" s="302">
        <f t="shared" si="1"/>
        <v>0</v>
      </c>
      <c r="AF13" s="302">
        <f t="shared" si="1"/>
        <v>0</v>
      </c>
      <c r="AG13" s="229" t="s">
        <v>143</v>
      </c>
      <c r="AH13" s="239"/>
      <c r="AI13" s="143"/>
      <c r="AJ13" s="37"/>
    </row>
    <row r="14" spans="1:36" x14ac:dyDescent="0.25">
      <c r="A14" t="s">
        <v>97</v>
      </c>
      <c r="C14" s="319">
        <v>3788683.0264020502</v>
      </c>
      <c r="D14" s="136">
        <f>C16</f>
        <v>3864456.6869300911</v>
      </c>
      <c r="E14" s="175">
        <f>D16</f>
        <v>49271645.82066869</v>
      </c>
      <c r="F14" s="293">
        <f>E16</f>
        <v>104917078.73708206</v>
      </c>
      <c r="G14" s="144">
        <f t="shared" ref="G14:L14" si="2">F16</f>
        <v>138995420.3118237</v>
      </c>
      <c r="H14" s="144">
        <f t="shared" si="2"/>
        <v>173755328.71806017</v>
      </c>
      <c r="I14" s="144">
        <f t="shared" si="2"/>
        <v>209210435.29242137</v>
      </c>
      <c r="J14" s="144">
        <f t="shared" si="2"/>
        <v>334474643.9982698</v>
      </c>
      <c r="K14" s="144">
        <f t="shared" si="2"/>
        <v>405124136.87823522</v>
      </c>
      <c r="L14" s="144">
        <f t="shared" si="2"/>
        <v>477186619.6157999</v>
      </c>
      <c r="M14" s="144">
        <f>L16</f>
        <v>545360352.00811589</v>
      </c>
      <c r="N14" s="144">
        <f t="shared" ref="N14:AF14" si="3">M16</f>
        <v>599440559.04827821</v>
      </c>
      <c r="O14" s="144">
        <f t="shared" si="3"/>
        <v>611429370.22924376</v>
      </c>
      <c r="P14" s="144">
        <f t="shared" si="3"/>
        <v>623657957.63382864</v>
      </c>
      <c r="Q14" s="144">
        <f t="shared" si="3"/>
        <v>636131116.78650522</v>
      </c>
      <c r="R14" s="144">
        <f t="shared" si="3"/>
        <v>648853739.1222353</v>
      </c>
      <c r="S14" s="144">
        <f t="shared" si="3"/>
        <v>661830813.90468001</v>
      </c>
      <c r="T14" s="144">
        <f t="shared" si="3"/>
        <v>675067430.18277359</v>
      </c>
      <c r="U14" s="144">
        <f t="shared" si="3"/>
        <v>688568778.78642905</v>
      </c>
      <c r="V14" s="144">
        <f t="shared" si="3"/>
        <v>702340154.36215758</v>
      </c>
      <c r="W14" s="144">
        <f t="shared" si="3"/>
        <v>716386957.44940078</v>
      </c>
      <c r="X14" s="144">
        <f t="shared" si="3"/>
        <v>730714696.59838879</v>
      </c>
      <c r="Y14" s="144">
        <f t="shared" si="3"/>
        <v>745328990.53035653</v>
      </c>
      <c r="Z14" s="144">
        <f t="shared" si="3"/>
        <v>760235570.3409636</v>
      </c>
      <c r="AA14" s="144">
        <f t="shared" si="3"/>
        <v>775440281.74778283</v>
      </c>
      <c r="AB14" s="144">
        <f t="shared" si="3"/>
        <v>790949087.38273847</v>
      </c>
      <c r="AC14" s="144">
        <f t="shared" si="3"/>
        <v>806768069.13039327</v>
      </c>
      <c r="AD14" s="144">
        <f t="shared" si="3"/>
        <v>822903430.51300108</v>
      </c>
      <c r="AE14" s="144">
        <f t="shared" si="3"/>
        <v>839361499.12326109</v>
      </c>
      <c r="AF14" s="144">
        <f t="shared" si="3"/>
        <v>856148729.10572636</v>
      </c>
      <c r="AG14" s="227" t="s">
        <v>145</v>
      </c>
      <c r="AH14" s="238"/>
      <c r="AI14" s="152"/>
    </row>
    <row r="15" spans="1:36" x14ac:dyDescent="0.25">
      <c r="A15" t="s">
        <v>94</v>
      </c>
      <c r="B15" s="8"/>
      <c r="C15" s="320">
        <v>75773.660528041</v>
      </c>
      <c r="D15" s="132">
        <f t="shared" ref="D15:AF15" si="4">D14*0.02</f>
        <v>77289.133738601828</v>
      </c>
      <c r="E15" s="136">
        <f t="shared" si="4"/>
        <v>985432.91641337378</v>
      </c>
      <c r="F15" s="206">
        <f t="shared" si="4"/>
        <v>2098341.5747416415</v>
      </c>
      <c r="G15" s="132">
        <f t="shared" si="4"/>
        <v>2779908.4062364739</v>
      </c>
      <c r="H15" s="132">
        <f t="shared" si="4"/>
        <v>3475106.5743612032</v>
      </c>
      <c r="I15" s="132">
        <f t="shared" si="4"/>
        <v>4184208.7058484275</v>
      </c>
      <c r="J15" s="132">
        <f t="shared" si="4"/>
        <v>6689492.8799653957</v>
      </c>
      <c r="K15" s="132">
        <f t="shared" si="4"/>
        <v>8102482.7375647044</v>
      </c>
      <c r="L15" s="132">
        <f t="shared" si="4"/>
        <v>9543732.3923159987</v>
      </c>
      <c r="M15" s="132">
        <f t="shared" si="4"/>
        <v>10907207.040162317</v>
      </c>
      <c r="N15" s="132">
        <f t="shared" si="4"/>
        <v>11988811.180965565</v>
      </c>
      <c r="O15" s="132">
        <f t="shared" si="4"/>
        <v>12228587.404584875</v>
      </c>
      <c r="P15" s="132">
        <f t="shared" si="4"/>
        <v>12473159.152676573</v>
      </c>
      <c r="Q15" s="132">
        <f t="shared" si="4"/>
        <v>12722622.335730106</v>
      </c>
      <c r="R15" s="132">
        <f t="shared" si="4"/>
        <v>12977074.782444706</v>
      </c>
      <c r="S15" s="132">
        <f t="shared" si="4"/>
        <v>13236616.278093601</v>
      </c>
      <c r="T15" s="132">
        <f t="shared" si="4"/>
        <v>13501348.603655472</v>
      </c>
      <c r="U15" s="132">
        <f t="shared" si="4"/>
        <v>13771375.57572858</v>
      </c>
      <c r="V15" s="132">
        <f t="shared" si="4"/>
        <v>14046803.087243153</v>
      </c>
      <c r="W15" s="132">
        <f t="shared" si="4"/>
        <v>14327739.148988016</v>
      </c>
      <c r="X15" s="132">
        <f t="shared" si="4"/>
        <v>14614293.931967776</v>
      </c>
      <c r="Y15" s="132">
        <f t="shared" si="4"/>
        <v>14906579.810607132</v>
      </c>
      <c r="Z15" s="132">
        <f t="shared" si="4"/>
        <v>15204711.406819273</v>
      </c>
      <c r="AA15" s="132">
        <f t="shared" si="4"/>
        <v>15508805.634955658</v>
      </c>
      <c r="AB15" s="132">
        <f t="shared" si="4"/>
        <v>15818981.74765477</v>
      </c>
      <c r="AC15" s="132">
        <f t="shared" si="4"/>
        <v>16135361.382607866</v>
      </c>
      <c r="AD15" s="132">
        <f t="shared" si="4"/>
        <v>16458068.610260023</v>
      </c>
      <c r="AE15" s="132">
        <f t="shared" si="4"/>
        <v>16787229.982465222</v>
      </c>
      <c r="AF15" s="132">
        <f t="shared" si="4"/>
        <v>17122974.582114529</v>
      </c>
      <c r="AG15" s="227" t="s">
        <v>146</v>
      </c>
      <c r="AH15" s="238"/>
      <c r="AI15" s="152"/>
    </row>
    <row r="16" spans="1:36" x14ac:dyDescent="0.25">
      <c r="A16" t="s">
        <v>203</v>
      </c>
      <c r="C16" s="82">
        <f>SUM(C13:C15)</f>
        <v>3864456.6869300911</v>
      </c>
      <c r="D16" s="173">
        <f>D13+D14+D15</f>
        <v>49271645.82066869</v>
      </c>
      <c r="E16" s="303">
        <f t="shared" ref="E16:AF16" si="5">E13+E14+E15</f>
        <v>104917078.73708206</v>
      </c>
      <c r="F16" s="207">
        <f t="shared" si="5"/>
        <v>138995420.3118237</v>
      </c>
      <c r="G16" s="82">
        <f t="shared" si="5"/>
        <v>173755328.71806017</v>
      </c>
      <c r="H16" s="82">
        <f t="shared" si="5"/>
        <v>209210435.29242137</v>
      </c>
      <c r="I16" s="82">
        <f t="shared" si="5"/>
        <v>334474643.9982698</v>
      </c>
      <c r="J16" s="82">
        <f t="shared" si="5"/>
        <v>405124136.87823522</v>
      </c>
      <c r="K16" s="82">
        <f t="shared" si="5"/>
        <v>477186619.6157999</v>
      </c>
      <c r="L16" s="82">
        <f t="shared" si="5"/>
        <v>545360352.00811589</v>
      </c>
      <c r="M16" s="82">
        <f t="shared" si="5"/>
        <v>599440559.04827821</v>
      </c>
      <c r="N16" s="82">
        <f t="shared" si="5"/>
        <v>611429370.22924376</v>
      </c>
      <c r="O16" s="82">
        <f t="shared" si="5"/>
        <v>623657957.63382864</v>
      </c>
      <c r="P16" s="82">
        <f t="shared" si="5"/>
        <v>636131116.78650522</v>
      </c>
      <c r="Q16" s="82">
        <f t="shared" si="5"/>
        <v>648853739.1222353</v>
      </c>
      <c r="R16" s="82">
        <f t="shared" si="5"/>
        <v>661830813.90468001</v>
      </c>
      <c r="S16" s="82">
        <f t="shared" si="5"/>
        <v>675067430.18277359</v>
      </c>
      <c r="T16" s="82">
        <f t="shared" si="5"/>
        <v>688568778.78642905</v>
      </c>
      <c r="U16" s="82">
        <f t="shared" si="5"/>
        <v>702340154.36215758</v>
      </c>
      <c r="V16" s="82">
        <f t="shared" si="5"/>
        <v>716386957.44940078</v>
      </c>
      <c r="W16" s="82">
        <f t="shared" si="5"/>
        <v>730714696.59838879</v>
      </c>
      <c r="X16" s="82">
        <f t="shared" si="5"/>
        <v>745328990.53035653</v>
      </c>
      <c r="Y16" s="82">
        <f t="shared" si="5"/>
        <v>760235570.3409636</v>
      </c>
      <c r="Z16" s="82">
        <f t="shared" si="5"/>
        <v>775440281.74778283</v>
      </c>
      <c r="AA16" s="82">
        <f t="shared" si="5"/>
        <v>790949087.38273847</v>
      </c>
      <c r="AB16" s="82">
        <f t="shared" si="5"/>
        <v>806768069.13039327</v>
      </c>
      <c r="AC16" s="82">
        <f t="shared" si="5"/>
        <v>822903430.51300108</v>
      </c>
      <c r="AD16" s="82">
        <f t="shared" si="5"/>
        <v>839361499.12326109</v>
      </c>
      <c r="AE16" s="82">
        <f t="shared" si="5"/>
        <v>856148729.10572636</v>
      </c>
      <c r="AF16" s="82">
        <f t="shared" si="5"/>
        <v>873271703.68784094</v>
      </c>
      <c r="AG16" s="335" t="s">
        <v>176</v>
      </c>
      <c r="AH16" s="240" t="s">
        <v>190</v>
      </c>
      <c r="AI16" s="152"/>
    </row>
    <row r="17" spans="1:49" x14ac:dyDescent="0.25">
      <c r="A17" t="s">
        <v>12</v>
      </c>
      <c r="C17" s="146">
        <f t="shared" ref="C17:AF17" si="6">-$B$6</f>
        <v>0</v>
      </c>
      <c r="D17" s="146">
        <f t="shared" si="6"/>
        <v>0</v>
      </c>
      <c r="E17" s="69">
        <f t="shared" si="6"/>
        <v>0</v>
      </c>
      <c r="F17" s="294">
        <f t="shared" si="6"/>
        <v>0</v>
      </c>
      <c r="G17" s="56">
        <f t="shared" si="6"/>
        <v>0</v>
      </c>
      <c r="H17" s="56">
        <f t="shared" si="6"/>
        <v>0</v>
      </c>
      <c r="I17" s="56">
        <f t="shared" si="6"/>
        <v>0</v>
      </c>
      <c r="J17" s="56">
        <f t="shared" si="6"/>
        <v>0</v>
      </c>
      <c r="K17" s="56">
        <f t="shared" si="6"/>
        <v>0</v>
      </c>
      <c r="L17" s="56">
        <f t="shared" si="6"/>
        <v>0</v>
      </c>
      <c r="M17" s="56">
        <f t="shared" si="6"/>
        <v>0</v>
      </c>
      <c r="N17" s="56">
        <f t="shared" si="6"/>
        <v>0</v>
      </c>
      <c r="O17" s="56">
        <f t="shared" si="6"/>
        <v>0</v>
      </c>
      <c r="P17" s="56">
        <f t="shared" si="6"/>
        <v>0</v>
      </c>
      <c r="Q17" s="56">
        <f t="shared" si="6"/>
        <v>0</v>
      </c>
      <c r="R17" s="56">
        <f t="shared" si="6"/>
        <v>0</v>
      </c>
      <c r="S17" s="56">
        <f t="shared" si="6"/>
        <v>0</v>
      </c>
      <c r="T17" s="56">
        <f t="shared" si="6"/>
        <v>0</v>
      </c>
      <c r="U17" s="56">
        <f t="shared" si="6"/>
        <v>0</v>
      </c>
      <c r="V17" s="56">
        <f t="shared" si="6"/>
        <v>0</v>
      </c>
      <c r="W17" s="56">
        <f t="shared" si="6"/>
        <v>0</v>
      </c>
      <c r="X17" s="56">
        <f t="shared" si="6"/>
        <v>0</v>
      </c>
      <c r="Y17" s="56">
        <f t="shared" si="6"/>
        <v>0</v>
      </c>
      <c r="Z17" s="56">
        <f t="shared" si="6"/>
        <v>0</v>
      </c>
      <c r="AA17" s="56">
        <f t="shared" si="6"/>
        <v>0</v>
      </c>
      <c r="AB17" s="56">
        <f t="shared" si="6"/>
        <v>0</v>
      </c>
      <c r="AC17" s="56">
        <f t="shared" si="6"/>
        <v>0</v>
      </c>
      <c r="AD17" s="56">
        <f t="shared" si="6"/>
        <v>0</v>
      </c>
      <c r="AE17" s="56">
        <f t="shared" si="6"/>
        <v>0</v>
      </c>
      <c r="AF17" s="56">
        <f t="shared" si="6"/>
        <v>0</v>
      </c>
      <c r="AG17" s="227" t="s">
        <v>144</v>
      </c>
      <c r="AH17" s="238" t="s">
        <v>144</v>
      </c>
      <c r="AI17" s="152"/>
    </row>
    <row r="18" spans="1:49" x14ac:dyDescent="0.25">
      <c r="A18" s="1" t="s">
        <v>51</v>
      </c>
      <c r="C18" s="96">
        <f>C20/B20</f>
        <v>3864456.6869300911</v>
      </c>
      <c r="D18" s="299">
        <f t="shared" ref="D18:AF18" si="7">SUM(D16:D17)</f>
        <v>49271645.82066869</v>
      </c>
      <c r="E18" s="353">
        <f t="shared" si="7"/>
        <v>104917078.73708206</v>
      </c>
      <c r="F18" s="295">
        <f t="shared" si="7"/>
        <v>138995420.3118237</v>
      </c>
      <c r="G18" s="70">
        <f t="shared" si="7"/>
        <v>173755328.71806017</v>
      </c>
      <c r="H18" s="70">
        <f t="shared" si="7"/>
        <v>209210435.29242137</v>
      </c>
      <c r="I18" s="70">
        <f t="shared" si="7"/>
        <v>334474643.9982698</v>
      </c>
      <c r="J18" s="70">
        <f t="shared" si="7"/>
        <v>405124136.87823522</v>
      </c>
      <c r="K18" s="70">
        <f t="shared" si="7"/>
        <v>477186619.6157999</v>
      </c>
      <c r="L18" s="70">
        <f t="shared" si="7"/>
        <v>545360352.00811589</v>
      </c>
      <c r="M18" s="70">
        <f t="shared" si="7"/>
        <v>599440559.04827821</v>
      </c>
      <c r="N18" s="70">
        <f t="shared" si="7"/>
        <v>611429370.22924376</v>
      </c>
      <c r="O18" s="70">
        <f t="shared" si="7"/>
        <v>623657957.63382864</v>
      </c>
      <c r="P18" s="70">
        <f t="shared" si="7"/>
        <v>636131116.78650522</v>
      </c>
      <c r="Q18" s="70">
        <f t="shared" si="7"/>
        <v>648853739.1222353</v>
      </c>
      <c r="R18" s="70">
        <f t="shared" si="7"/>
        <v>661830813.90468001</v>
      </c>
      <c r="S18" s="70">
        <f t="shared" si="7"/>
        <v>675067430.18277359</v>
      </c>
      <c r="T18" s="70">
        <f t="shared" si="7"/>
        <v>688568778.78642905</v>
      </c>
      <c r="U18" s="70">
        <f t="shared" si="7"/>
        <v>702340154.36215758</v>
      </c>
      <c r="V18" s="70">
        <f t="shared" si="7"/>
        <v>716386957.44940078</v>
      </c>
      <c r="W18" s="70">
        <f t="shared" si="7"/>
        <v>730714696.59838879</v>
      </c>
      <c r="X18" s="70">
        <f t="shared" si="7"/>
        <v>745328990.53035653</v>
      </c>
      <c r="Y18" s="70">
        <f t="shared" si="7"/>
        <v>760235570.3409636</v>
      </c>
      <c r="Z18" s="70">
        <f t="shared" si="7"/>
        <v>775440281.74778283</v>
      </c>
      <c r="AA18" s="70">
        <f t="shared" si="7"/>
        <v>790949087.38273847</v>
      </c>
      <c r="AB18" s="70">
        <f t="shared" si="7"/>
        <v>806768069.13039327</v>
      </c>
      <c r="AC18" s="70">
        <f t="shared" si="7"/>
        <v>822903430.51300108</v>
      </c>
      <c r="AD18" s="70">
        <f t="shared" si="7"/>
        <v>839361499.12326109</v>
      </c>
      <c r="AE18" s="70">
        <f t="shared" si="7"/>
        <v>856148729.10572636</v>
      </c>
      <c r="AF18" s="70">
        <f t="shared" si="7"/>
        <v>873271703.68784094</v>
      </c>
      <c r="AG18" s="227" t="s">
        <v>177</v>
      </c>
      <c r="AH18" s="238" t="s">
        <v>191</v>
      </c>
      <c r="AI18" s="152"/>
    </row>
    <row r="19" spans="1:49" ht="8.1" customHeight="1" x14ac:dyDescent="0.25">
      <c r="C19" s="82"/>
      <c r="D19" s="173"/>
      <c r="E19" s="69"/>
      <c r="F19" s="296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227"/>
      <c r="AH19" s="238"/>
      <c r="AI19" s="152"/>
    </row>
    <row r="20" spans="1:49" x14ac:dyDescent="0.25">
      <c r="A20" t="s">
        <v>42</v>
      </c>
      <c r="B20" s="253">
        <v>0.01</v>
      </c>
      <c r="C20" s="82">
        <f>B20*C16</f>
        <v>38644.566869300914</v>
      </c>
      <c r="D20" s="173">
        <f>D18*B20</f>
        <v>492716.45820668689</v>
      </c>
      <c r="E20" s="69">
        <f>$B$20*E18</f>
        <v>1049170.7873708208</v>
      </c>
      <c r="F20" s="296">
        <f t="shared" ref="F20:AF20" si="8">$B$20*F18</f>
        <v>1389954.203118237</v>
      </c>
      <c r="G20" s="68">
        <f t="shared" si="8"/>
        <v>1737553.2871806016</v>
      </c>
      <c r="H20" s="68">
        <f t="shared" si="8"/>
        <v>2092104.3529242137</v>
      </c>
      <c r="I20" s="68">
        <f t="shared" si="8"/>
        <v>3344746.4399826978</v>
      </c>
      <c r="J20" s="68">
        <f t="shared" si="8"/>
        <v>4051241.3687823522</v>
      </c>
      <c r="K20" s="68">
        <f t="shared" si="8"/>
        <v>4771866.1961579993</v>
      </c>
      <c r="L20" s="68">
        <f t="shared" si="8"/>
        <v>5453603.5200811587</v>
      </c>
      <c r="M20" s="68">
        <f t="shared" si="8"/>
        <v>5994405.5904827826</v>
      </c>
      <c r="N20" s="68">
        <f t="shared" si="8"/>
        <v>6114293.7022924377</v>
      </c>
      <c r="O20" s="68">
        <f t="shared" si="8"/>
        <v>6236579.5763382865</v>
      </c>
      <c r="P20" s="68">
        <f t="shared" si="8"/>
        <v>6361311.1678650528</v>
      </c>
      <c r="Q20" s="68">
        <f t="shared" si="8"/>
        <v>6488537.3912223531</v>
      </c>
      <c r="R20" s="68">
        <f t="shared" si="8"/>
        <v>6618308.1390468003</v>
      </c>
      <c r="S20" s="68">
        <f t="shared" si="8"/>
        <v>6750674.3018277362</v>
      </c>
      <c r="T20" s="68">
        <f t="shared" si="8"/>
        <v>6885687.7878642902</v>
      </c>
      <c r="U20" s="68">
        <f t="shared" si="8"/>
        <v>7023401.5436215764</v>
      </c>
      <c r="V20" s="68">
        <f t="shared" si="8"/>
        <v>7163869.574494008</v>
      </c>
      <c r="W20" s="68">
        <f t="shared" si="8"/>
        <v>7307146.9659838881</v>
      </c>
      <c r="X20" s="68">
        <f t="shared" si="8"/>
        <v>7453289.9053035658</v>
      </c>
      <c r="Y20" s="68">
        <f t="shared" si="8"/>
        <v>7602355.7034096364</v>
      </c>
      <c r="Z20" s="68">
        <f t="shared" si="8"/>
        <v>7754402.8174778288</v>
      </c>
      <c r="AA20" s="68">
        <f t="shared" si="8"/>
        <v>7909490.8738273848</v>
      </c>
      <c r="AB20" s="68">
        <f t="shared" si="8"/>
        <v>8067680.691303933</v>
      </c>
      <c r="AC20" s="68">
        <f t="shared" si="8"/>
        <v>8229034.3051300114</v>
      </c>
      <c r="AD20" s="68">
        <f t="shared" si="8"/>
        <v>8393614.9912326112</v>
      </c>
      <c r="AE20" s="68">
        <f t="shared" si="8"/>
        <v>8561487.2910572644</v>
      </c>
      <c r="AF20" s="68">
        <f t="shared" si="8"/>
        <v>8732717.0368784089</v>
      </c>
      <c r="AG20" s="227" t="s">
        <v>178</v>
      </c>
      <c r="AH20" s="240" t="s">
        <v>192</v>
      </c>
      <c r="AI20" s="152"/>
    </row>
    <row r="21" spans="1:49" x14ac:dyDescent="0.25">
      <c r="A21" t="s">
        <v>41</v>
      </c>
      <c r="B21" s="176">
        <v>0.2</v>
      </c>
      <c r="C21" s="173">
        <f t="shared" ref="C21:L21" si="9">-$B21*C20</f>
        <v>-7728.9133738601831</v>
      </c>
      <c r="D21" s="173">
        <f t="shared" si="9"/>
        <v>-98543.29164133739</v>
      </c>
      <c r="E21" s="69">
        <f t="shared" si="9"/>
        <v>-209834.15747416415</v>
      </c>
      <c r="F21" s="296">
        <f t="shared" si="9"/>
        <v>-277990.84062364738</v>
      </c>
      <c r="G21" s="69">
        <f t="shared" si="9"/>
        <v>-347510.65743612032</v>
      </c>
      <c r="H21" s="69">
        <f t="shared" si="9"/>
        <v>-418420.87058484275</v>
      </c>
      <c r="I21" s="69">
        <f t="shared" si="9"/>
        <v>-668949.28799653961</v>
      </c>
      <c r="J21" s="69">
        <f t="shared" si="9"/>
        <v>-810248.27375647053</v>
      </c>
      <c r="K21" s="69">
        <f t="shared" si="9"/>
        <v>-954373.23923159996</v>
      </c>
      <c r="L21" s="69">
        <f t="shared" si="9"/>
        <v>-1090720.7040162317</v>
      </c>
      <c r="M21" s="69">
        <f>-$B21*M20</f>
        <v>-1198881.1180965565</v>
      </c>
      <c r="N21" s="69">
        <f t="shared" ref="N21:AF21" si="10">-$B21*N20</f>
        <v>-1222858.7404584875</v>
      </c>
      <c r="O21" s="69">
        <f t="shared" si="10"/>
        <v>-1247315.9152676573</v>
      </c>
      <c r="P21" s="69">
        <f t="shared" si="10"/>
        <v>-1272262.2335730107</v>
      </c>
      <c r="Q21" s="69">
        <f t="shared" si="10"/>
        <v>-1297707.4782444707</v>
      </c>
      <c r="R21" s="69">
        <f t="shared" si="10"/>
        <v>-1323661.6278093602</v>
      </c>
      <c r="S21" s="69">
        <f t="shared" si="10"/>
        <v>-1350134.8603655472</v>
      </c>
      <c r="T21" s="69">
        <f t="shared" si="10"/>
        <v>-1377137.5575728582</v>
      </c>
      <c r="U21" s="69">
        <f t="shared" si="10"/>
        <v>-1404680.3087243154</v>
      </c>
      <c r="V21" s="69">
        <f t="shared" si="10"/>
        <v>-1432773.9148988016</v>
      </c>
      <c r="W21" s="69">
        <f t="shared" si="10"/>
        <v>-1461429.3931967777</v>
      </c>
      <c r="X21" s="69">
        <f t="shared" si="10"/>
        <v>-1490657.9810607133</v>
      </c>
      <c r="Y21" s="69">
        <f t="shared" si="10"/>
        <v>-1520471.1406819273</v>
      </c>
      <c r="Z21" s="69">
        <f t="shared" si="10"/>
        <v>-1550880.5634955659</v>
      </c>
      <c r="AA21" s="69">
        <f t="shared" si="10"/>
        <v>-1581898.174765477</v>
      </c>
      <c r="AB21" s="69">
        <f t="shared" si="10"/>
        <v>-1613536.1382607867</v>
      </c>
      <c r="AC21" s="69">
        <f t="shared" si="10"/>
        <v>-1645806.8610260023</v>
      </c>
      <c r="AD21" s="69">
        <f t="shared" si="10"/>
        <v>-1678722.9982465224</v>
      </c>
      <c r="AE21" s="69">
        <f t="shared" si="10"/>
        <v>-1712297.4582114529</v>
      </c>
      <c r="AF21" s="69">
        <f t="shared" si="10"/>
        <v>-1746543.4073756819</v>
      </c>
      <c r="AG21" s="231" t="s">
        <v>179</v>
      </c>
      <c r="AH21" s="241" t="s">
        <v>193</v>
      </c>
      <c r="AI21" s="152"/>
    </row>
    <row r="22" spans="1:49" x14ac:dyDescent="0.25">
      <c r="A22" s="1" t="s">
        <v>69</v>
      </c>
      <c r="B22" s="254"/>
      <c r="C22" s="204">
        <f>SUM(C20:C21)</f>
        <v>30915.653495440733</v>
      </c>
      <c r="D22" s="112">
        <f t="shared" ref="D22:AF22" si="11">SUM(D20:D21)</f>
        <v>394173.1665653495</v>
      </c>
      <c r="E22" s="71">
        <f t="shared" si="11"/>
        <v>839336.62989665661</v>
      </c>
      <c r="F22" s="297">
        <f t="shared" si="11"/>
        <v>1111963.3624945895</v>
      </c>
      <c r="G22" s="71">
        <f t="shared" si="11"/>
        <v>1390042.6297444813</v>
      </c>
      <c r="H22" s="71">
        <f t="shared" si="11"/>
        <v>1673683.482339371</v>
      </c>
      <c r="I22" s="71">
        <f t="shared" si="11"/>
        <v>2675797.1519861585</v>
      </c>
      <c r="J22" s="71">
        <f t="shared" si="11"/>
        <v>3240993.0950258817</v>
      </c>
      <c r="K22" s="71">
        <f t="shared" si="11"/>
        <v>3817492.9569263994</v>
      </c>
      <c r="L22" s="71">
        <f t="shared" si="11"/>
        <v>4362882.8160649268</v>
      </c>
      <c r="M22" s="71">
        <f t="shared" si="11"/>
        <v>4795524.4723862261</v>
      </c>
      <c r="N22" s="71">
        <f t="shared" si="11"/>
        <v>4891434.9618339501</v>
      </c>
      <c r="O22" s="71">
        <f t="shared" si="11"/>
        <v>4989263.661070629</v>
      </c>
      <c r="P22" s="71">
        <f t="shared" si="11"/>
        <v>5089048.9342920426</v>
      </c>
      <c r="Q22" s="71">
        <f t="shared" si="11"/>
        <v>5190829.9129778827</v>
      </c>
      <c r="R22" s="71">
        <f t="shared" si="11"/>
        <v>5294646.5112374406</v>
      </c>
      <c r="S22" s="71">
        <f t="shared" si="11"/>
        <v>5400539.441462189</v>
      </c>
      <c r="T22" s="71">
        <f t="shared" si="11"/>
        <v>5508550.2302914318</v>
      </c>
      <c r="U22" s="71">
        <f t="shared" si="11"/>
        <v>5618721.2348972615</v>
      </c>
      <c r="V22" s="71">
        <f t="shared" si="11"/>
        <v>5731095.6595952064</v>
      </c>
      <c r="W22" s="71">
        <f t="shared" si="11"/>
        <v>5845717.5727871107</v>
      </c>
      <c r="X22" s="71">
        <f t="shared" si="11"/>
        <v>5962631.9242428523</v>
      </c>
      <c r="Y22" s="71">
        <f t="shared" si="11"/>
        <v>6081884.5627277093</v>
      </c>
      <c r="Z22" s="71">
        <f t="shared" si="11"/>
        <v>6203522.2539822627</v>
      </c>
      <c r="AA22" s="71">
        <f t="shared" si="11"/>
        <v>6327592.6990619078</v>
      </c>
      <c r="AB22" s="71">
        <f t="shared" si="11"/>
        <v>6454144.5530431466</v>
      </c>
      <c r="AC22" s="71">
        <f t="shared" si="11"/>
        <v>6583227.4441040093</v>
      </c>
      <c r="AD22" s="71">
        <f>SUM(AD20:AD21)</f>
        <v>6714891.9929860886</v>
      </c>
      <c r="AE22" s="71">
        <f t="shared" si="11"/>
        <v>6849189.8328458117</v>
      </c>
      <c r="AF22" s="71">
        <f t="shared" si="11"/>
        <v>6986173.6295027267</v>
      </c>
      <c r="AG22" s="227" t="s">
        <v>180</v>
      </c>
      <c r="AH22" s="238" t="s">
        <v>150</v>
      </c>
      <c r="AI22" s="152"/>
    </row>
    <row r="23" spans="1:49" ht="8.1" customHeight="1" x14ac:dyDescent="0.25">
      <c r="A23" s="1"/>
      <c r="B23" s="254"/>
      <c r="C23" s="82"/>
      <c r="D23" s="173"/>
      <c r="E23" s="69"/>
      <c r="F23" s="296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227"/>
      <c r="AH23" s="238"/>
      <c r="AI23" s="152"/>
    </row>
    <row r="24" spans="1:49" ht="15" customHeight="1" x14ac:dyDescent="0.25">
      <c r="A24" s="1" t="s">
        <v>222</v>
      </c>
      <c r="B24" s="254"/>
      <c r="C24" s="82"/>
      <c r="D24" s="173"/>
      <c r="E24" s="69"/>
      <c r="F24" s="296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227"/>
      <c r="AH24" s="238"/>
      <c r="AI24" s="238"/>
      <c r="AJ24" s="124"/>
      <c r="AK24" s="326"/>
      <c r="AL24" s="326"/>
      <c r="AM24" s="445"/>
    </row>
    <row r="25" spans="1:49" ht="15" customHeight="1" x14ac:dyDescent="0.25">
      <c r="A25" s="19" t="s">
        <v>220</v>
      </c>
      <c r="B25" s="255">
        <f>25%*54%</f>
        <v>0.13500000000000001</v>
      </c>
      <c r="C25" s="82">
        <v>0</v>
      </c>
      <c r="D25" s="173">
        <f>-$B$25*D22</f>
        <v>-53213.377486322184</v>
      </c>
      <c r="E25" s="69">
        <f>-$B$25*E22</f>
        <v>-113310.44503604865</v>
      </c>
      <c r="F25" s="296">
        <f t="shared" ref="F25:AF25" si="12">-$B$25*F22</f>
        <v>-150115.0539367696</v>
      </c>
      <c r="G25" s="68">
        <f t="shared" si="12"/>
        <v>-187655.75501550498</v>
      </c>
      <c r="H25" s="68">
        <f t="shared" si="12"/>
        <v>-225947.2701158151</v>
      </c>
      <c r="I25" s="68">
        <f t="shared" si="12"/>
        <v>-361232.61551813141</v>
      </c>
      <c r="J25" s="68">
        <f t="shared" si="12"/>
        <v>-437534.06782849407</v>
      </c>
      <c r="K25" s="68">
        <f t="shared" si="12"/>
        <v>-515361.54918506392</v>
      </c>
      <c r="L25" s="68">
        <f t="shared" si="12"/>
        <v>-588989.18016876513</v>
      </c>
      <c r="M25" s="68">
        <f t="shared" si="12"/>
        <v>-647395.80377214053</v>
      </c>
      <c r="N25" s="68">
        <f t="shared" si="12"/>
        <v>-660343.71984758333</v>
      </c>
      <c r="O25" s="68">
        <f t="shared" si="12"/>
        <v>-673550.59424453496</v>
      </c>
      <c r="P25" s="68">
        <f t="shared" si="12"/>
        <v>-687021.60612942581</v>
      </c>
      <c r="Q25" s="68">
        <f t="shared" si="12"/>
        <v>-700762.0382520142</v>
      </c>
      <c r="R25" s="68">
        <f t="shared" si="12"/>
        <v>-714777.27901705448</v>
      </c>
      <c r="S25" s="68">
        <f t="shared" si="12"/>
        <v>-729072.82459739561</v>
      </c>
      <c r="T25" s="68">
        <f t="shared" si="12"/>
        <v>-743654.28108934336</v>
      </c>
      <c r="U25" s="68">
        <f t="shared" si="12"/>
        <v>-758527.36671113037</v>
      </c>
      <c r="V25" s="68">
        <f t="shared" si="12"/>
        <v>-773697.91404535295</v>
      </c>
      <c r="W25" s="68">
        <f t="shared" si="12"/>
        <v>-789171.87232625997</v>
      </c>
      <c r="X25" s="68">
        <f t="shared" si="12"/>
        <v>-804955.30977278505</v>
      </c>
      <c r="Y25" s="68">
        <f t="shared" si="12"/>
        <v>-821054.41596824082</v>
      </c>
      <c r="Z25" s="68">
        <f t="shared" si="12"/>
        <v>-837475.50428760552</v>
      </c>
      <c r="AA25" s="68">
        <f t="shared" si="12"/>
        <v>-854225.01437335764</v>
      </c>
      <c r="AB25" s="68">
        <f t="shared" si="12"/>
        <v>-871309.51466082491</v>
      </c>
      <c r="AC25" s="68">
        <f t="shared" si="12"/>
        <v>-888735.70495404128</v>
      </c>
      <c r="AD25" s="68">
        <f t="shared" si="12"/>
        <v>-906510.41905312205</v>
      </c>
      <c r="AE25" s="68">
        <f t="shared" si="12"/>
        <v>-924640.62743418466</v>
      </c>
      <c r="AF25" s="68">
        <f t="shared" si="12"/>
        <v>-943133.43998286815</v>
      </c>
      <c r="AG25" s="227" t="s">
        <v>224</v>
      </c>
      <c r="AH25" s="238"/>
      <c r="AI25" s="238"/>
      <c r="AJ25" s="124"/>
      <c r="AM25" s="445"/>
    </row>
    <row r="26" spans="1:49" x14ac:dyDescent="0.25">
      <c r="A26" s="317" t="s">
        <v>221</v>
      </c>
      <c r="B26" s="255">
        <f>54%*21%</f>
        <v>0.1134</v>
      </c>
      <c r="C26" s="82">
        <v>0</v>
      </c>
      <c r="D26" s="173">
        <f>-$B$26*D22</f>
        <v>-44699.237088510636</v>
      </c>
      <c r="E26" s="173">
        <f>-$B$26*E22</f>
        <v>-95180.773830280858</v>
      </c>
      <c r="F26" s="207">
        <f t="shared" ref="F26:AF26" si="13">-$B$26*F22</f>
        <v>-126096.64530688645</v>
      </c>
      <c r="G26" s="82">
        <f t="shared" si="13"/>
        <v>-157630.83421302418</v>
      </c>
      <c r="H26" s="82">
        <f t="shared" si="13"/>
        <v>-189795.70689728466</v>
      </c>
      <c r="I26" s="82">
        <f t="shared" si="13"/>
        <v>-303435.39703523036</v>
      </c>
      <c r="J26" s="82">
        <f t="shared" si="13"/>
        <v>-367528.616975935</v>
      </c>
      <c r="K26" s="82">
        <f t="shared" si="13"/>
        <v>-432903.70131545368</v>
      </c>
      <c r="L26" s="82">
        <f t="shared" si="13"/>
        <v>-494750.91134176269</v>
      </c>
      <c r="M26" s="82">
        <f t="shared" si="13"/>
        <v>-543812.475168598</v>
      </c>
      <c r="N26" s="82">
        <f t="shared" si="13"/>
        <v>-554688.72467197001</v>
      </c>
      <c r="O26" s="82">
        <f t="shared" si="13"/>
        <v>-565782.49916540936</v>
      </c>
      <c r="P26" s="82">
        <f t="shared" si="13"/>
        <v>-577098.14914871764</v>
      </c>
      <c r="Q26" s="82">
        <f t="shared" si="13"/>
        <v>-588640.11213169189</v>
      </c>
      <c r="R26" s="82">
        <f t="shared" si="13"/>
        <v>-600412.91437432577</v>
      </c>
      <c r="S26" s="82">
        <f t="shared" si="13"/>
        <v>-612421.17266181228</v>
      </c>
      <c r="T26" s="82">
        <f t="shared" si="13"/>
        <v>-624669.59611504839</v>
      </c>
      <c r="U26" s="82">
        <f t="shared" si="13"/>
        <v>-637162.98803734942</v>
      </c>
      <c r="V26" s="82">
        <f t="shared" si="13"/>
        <v>-649906.24779809639</v>
      </c>
      <c r="W26" s="82">
        <f t="shared" si="13"/>
        <v>-662904.37275405833</v>
      </c>
      <c r="X26" s="82">
        <f t="shared" si="13"/>
        <v>-676162.46020913951</v>
      </c>
      <c r="Y26" s="82">
        <f t="shared" si="13"/>
        <v>-689685.70941332227</v>
      </c>
      <c r="Z26" s="82">
        <f t="shared" si="13"/>
        <v>-703479.42360158858</v>
      </c>
      <c r="AA26" s="82">
        <f t="shared" si="13"/>
        <v>-717549.01207362034</v>
      </c>
      <c r="AB26" s="82">
        <f t="shared" si="13"/>
        <v>-731899.99231509282</v>
      </c>
      <c r="AC26" s="82">
        <f t="shared" si="13"/>
        <v>-746537.99216139468</v>
      </c>
      <c r="AD26" s="82">
        <f t="shared" si="13"/>
        <v>-761468.75200462248</v>
      </c>
      <c r="AE26" s="82">
        <f t="shared" si="13"/>
        <v>-776698.1270447151</v>
      </c>
      <c r="AF26" s="82">
        <f t="shared" si="13"/>
        <v>-792232.08958560927</v>
      </c>
      <c r="AG26" s="227" t="s">
        <v>225</v>
      </c>
      <c r="AH26" s="240"/>
      <c r="AI26" s="240"/>
      <c r="AJ26" s="124"/>
      <c r="AK26" s="348"/>
      <c r="AL26" s="348"/>
      <c r="AM26" s="288"/>
      <c r="AN26" s="288"/>
      <c r="AO26" s="3"/>
      <c r="AP26" s="3"/>
      <c r="AQ26" s="3"/>
      <c r="AR26" s="3"/>
      <c r="AS26" s="3"/>
      <c r="AT26" s="3"/>
      <c r="AU26" s="3"/>
      <c r="AV26" s="3"/>
      <c r="AW26" s="288"/>
    </row>
    <row r="27" spans="1:49" x14ac:dyDescent="0.25">
      <c r="A27" s="322" t="s">
        <v>310</v>
      </c>
      <c r="B27" s="323"/>
      <c r="C27" s="82">
        <v>0</v>
      </c>
      <c r="D27" s="173">
        <v>0</v>
      </c>
      <c r="E27" s="173">
        <v>0</v>
      </c>
      <c r="F27" s="207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f>M22-$L$22</f>
        <v>432641.65632129926</v>
      </c>
      <c r="N27" s="82">
        <f t="shared" ref="N27:AF27" si="14">N22-$L$22</f>
        <v>528552.14576902334</v>
      </c>
      <c r="O27" s="82">
        <f t="shared" si="14"/>
        <v>626380.84500570223</v>
      </c>
      <c r="P27" s="82">
        <f t="shared" si="14"/>
        <v>726166.11822711583</v>
      </c>
      <c r="Q27" s="82">
        <f t="shared" si="14"/>
        <v>827947.09691295587</v>
      </c>
      <c r="R27" s="82">
        <f t="shared" si="14"/>
        <v>931763.69517251384</v>
      </c>
      <c r="S27" s="82">
        <f t="shared" si="14"/>
        <v>1037656.6253972622</v>
      </c>
      <c r="T27" s="82">
        <f t="shared" si="14"/>
        <v>1145667.414226505</v>
      </c>
      <c r="U27" s="82">
        <f t="shared" si="14"/>
        <v>1255838.4188323347</v>
      </c>
      <c r="V27" s="82">
        <f t="shared" si="14"/>
        <v>1368212.8435302796</v>
      </c>
      <c r="W27" s="82">
        <f t="shared" si="14"/>
        <v>1482834.7567221839</v>
      </c>
      <c r="X27" s="82">
        <f t="shared" si="14"/>
        <v>1599749.1081779255</v>
      </c>
      <c r="Y27" s="82">
        <f t="shared" si="14"/>
        <v>1719001.7466627825</v>
      </c>
      <c r="Z27" s="82">
        <f t="shared" si="14"/>
        <v>1840639.4379173359</v>
      </c>
      <c r="AA27" s="82">
        <f t="shared" si="14"/>
        <v>1964709.882996981</v>
      </c>
      <c r="AB27" s="82">
        <f t="shared" si="14"/>
        <v>2091261.7369782198</v>
      </c>
      <c r="AC27" s="82">
        <f t="shared" si="14"/>
        <v>2220344.6280390825</v>
      </c>
      <c r="AD27" s="82">
        <f t="shared" si="14"/>
        <v>2352009.1769211618</v>
      </c>
      <c r="AE27" s="82">
        <f t="shared" si="14"/>
        <v>2486307.0167808849</v>
      </c>
      <c r="AF27" s="82">
        <f t="shared" si="14"/>
        <v>2623290.8134377999</v>
      </c>
      <c r="AG27" s="227"/>
      <c r="AH27" s="246"/>
      <c r="AI27" s="246"/>
      <c r="AJ27" s="124"/>
      <c r="AK27" s="348"/>
      <c r="AL27" s="348"/>
      <c r="AM27" s="288"/>
      <c r="AN27" s="288"/>
      <c r="AO27" s="3"/>
      <c r="AP27" s="3"/>
      <c r="AQ27" s="3"/>
      <c r="AR27" s="3"/>
      <c r="AS27" s="3"/>
      <c r="AT27" s="3"/>
      <c r="AU27" s="3"/>
      <c r="AV27" s="3"/>
      <c r="AW27" s="288"/>
    </row>
    <row r="28" spans="1:49" x14ac:dyDescent="0.25">
      <c r="A28" s="317" t="s">
        <v>282</v>
      </c>
      <c r="B28" s="256">
        <f>14%*54%</f>
        <v>7.5600000000000014E-2</v>
      </c>
      <c r="C28" s="82">
        <v>0</v>
      </c>
      <c r="D28" s="173">
        <v>0</v>
      </c>
      <c r="E28" s="173">
        <v>0</v>
      </c>
      <c r="F28" s="207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f>-$B$28*M27</f>
        <v>-32707.709217890231</v>
      </c>
      <c r="N28" s="82">
        <f t="shared" ref="N28:AF28" si="15">-$B$28*N27</f>
        <v>-39958.542220138173</v>
      </c>
      <c r="O28" s="82">
        <f t="shared" si="15"/>
        <v>-47354.391882431097</v>
      </c>
      <c r="P28" s="82">
        <f t="shared" si="15"/>
        <v>-54898.158537969968</v>
      </c>
      <c r="Q28" s="82">
        <f t="shared" si="15"/>
        <v>-62592.800526619474</v>
      </c>
      <c r="R28" s="82">
        <f t="shared" si="15"/>
        <v>-70441.335355042058</v>
      </c>
      <c r="S28" s="82">
        <f t="shared" si="15"/>
        <v>-78446.840880033036</v>
      </c>
      <c r="T28" s="82">
        <f t="shared" si="15"/>
        <v>-86612.456515523794</v>
      </c>
      <c r="U28" s="82">
        <f t="shared" si="15"/>
        <v>-94941.38446372452</v>
      </c>
      <c r="V28" s="82">
        <f t="shared" si="15"/>
        <v>-103436.89097088916</v>
      </c>
      <c r="W28" s="82">
        <f t="shared" si="15"/>
        <v>-112102.30760819712</v>
      </c>
      <c r="X28" s="82">
        <f t="shared" si="15"/>
        <v>-120941.03257825119</v>
      </c>
      <c r="Y28" s="82">
        <f t="shared" si="15"/>
        <v>-129956.53204770638</v>
      </c>
      <c r="Z28" s="82">
        <f t="shared" si="15"/>
        <v>-139152.34150655061</v>
      </c>
      <c r="AA28" s="82">
        <f t="shared" si="15"/>
        <v>-148532.06715457179</v>
      </c>
      <c r="AB28" s="82">
        <f t="shared" si="15"/>
        <v>-158099.38731555344</v>
      </c>
      <c r="AC28" s="82">
        <f t="shared" si="15"/>
        <v>-167858.05387975468</v>
      </c>
      <c r="AD28" s="82">
        <f t="shared" si="15"/>
        <v>-177811.89377523988</v>
      </c>
      <c r="AE28" s="82">
        <f t="shared" si="15"/>
        <v>-187964.81046863494</v>
      </c>
      <c r="AF28" s="82">
        <f t="shared" si="15"/>
        <v>-198320.78549589773</v>
      </c>
      <c r="AG28" s="227" t="s">
        <v>225</v>
      </c>
      <c r="AH28" s="240"/>
      <c r="AI28" s="240"/>
      <c r="AJ28" s="124"/>
      <c r="AK28" s="348"/>
      <c r="AL28" s="348"/>
      <c r="AM28" s="288"/>
      <c r="AN28" s="288"/>
      <c r="AO28" s="3"/>
      <c r="AP28" s="3"/>
      <c r="AQ28" s="3"/>
      <c r="AR28" s="3"/>
      <c r="AS28" s="3"/>
      <c r="AT28" s="3"/>
      <c r="AU28" s="3"/>
      <c r="AV28" s="3"/>
      <c r="AW28" s="288"/>
    </row>
    <row r="29" spans="1:49" x14ac:dyDescent="0.25">
      <c r="A29" s="1" t="s">
        <v>223</v>
      </c>
      <c r="B29" s="152"/>
      <c r="C29" s="112">
        <f>C22+SUM(C25:C26)+C28</f>
        <v>30915.653495440733</v>
      </c>
      <c r="D29" s="112">
        <f>D22+SUM(D25:D26)+D28</f>
        <v>296260.55199051672</v>
      </c>
      <c r="E29" s="71">
        <f>E22+SUM(E25:E26)+E28</f>
        <v>630845.41103032709</v>
      </c>
      <c r="F29" s="297">
        <f t="shared" ref="F29:AF29" si="16">F22+SUM(F25:F26)+F28</f>
        <v>835751.6632509334</v>
      </c>
      <c r="G29" s="71">
        <f>G22+SUM(G25:G26)+G28</f>
        <v>1044756.0405159522</v>
      </c>
      <c r="H29" s="71">
        <f t="shared" si="16"/>
        <v>1257940.5053262713</v>
      </c>
      <c r="I29" s="71">
        <f t="shared" si="16"/>
        <v>2011129.1394327967</v>
      </c>
      <c r="J29" s="71">
        <f t="shared" si="16"/>
        <v>2435930.4102214528</v>
      </c>
      <c r="K29" s="71">
        <f t="shared" si="16"/>
        <v>2869227.7064258819</v>
      </c>
      <c r="L29" s="71">
        <f t="shared" si="16"/>
        <v>3279142.724554399</v>
      </c>
      <c r="M29" s="71">
        <f>M22+SUM(M25:M26)+M28</f>
        <v>3571608.4842275972</v>
      </c>
      <c r="N29" s="71">
        <f t="shared" si="16"/>
        <v>3636443.9750942588</v>
      </c>
      <c r="O29" s="71">
        <f t="shared" si="16"/>
        <v>3702576.1757782535</v>
      </c>
      <c r="P29" s="71">
        <f t="shared" si="16"/>
        <v>3770031.0204759291</v>
      </c>
      <c r="Q29" s="71">
        <f t="shared" si="16"/>
        <v>3838834.962067557</v>
      </c>
      <c r="R29" s="71">
        <f t="shared" si="16"/>
        <v>3909014.9824910183</v>
      </c>
      <c r="S29" s="71">
        <f t="shared" si="16"/>
        <v>3980598.6033229479</v>
      </c>
      <c r="T29" s="71">
        <f t="shared" si="16"/>
        <v>4053613.8965715165</v>
      </c>
      <c r="U29" s="71">
        <f t="shared" si="16"/>
        <v>4128089.4956850568</v>
      </c>
      <c r="V29" s="71">
        <f t="shared" si="16"/>
        <v>4204054.606780868</v>
      </c>
      <c r="W29" s="71">
        <f t="shared" si="16"/>
        <v>4281539.0200985949</v>
      </c>
      <c r="X29" s="71">
        <f t="shared" si="16"/>
        <v>4360573.1216826765</v>
      </c>
      <c r="Y29" s="71">
        <f t="shared" si="16"/>
        <v>4441187.9052984398</v>
      </c>
      <c r="Z29" s="71">
        <f t="shared" si="16"/>
        <v>4523414.9845865173</v>
      </c>
      <c r="AA29" s="71">
        <f t="shared" si="16"/>
        <v>4607286.6054603588</v>
      </c>
      <c r="AB29" s="71">
        <f t="shared" si="16"/>
        <v>4692835.6587516749</v>
      </c>
      <c r="AC29" s="71">
        <f t="shared" si="16"/>
        <v>4780095.6931088185</v>
      </c>
      <c r="AD29" s="71">
        <f t="shared" si="16"/>
        <v>4869100.9281531051</v>
      </c>
      <c r="AE29" s="71">
        <f t="shared" si="16"/>
        <v>4959886.2678982774</v>
      </c>
      <c r="AF29" s="71">
        <f t="shared" si="16"/>
        <v>5052487.3144383514</v>
      </c>
      <c r="AG29" s="227" t="s">
        <v>182</v>
      </c>
      <c r="AH29" s="240" t="s">
        <v>311</v>
      </c>
      <c r="AI29" s="240"/>
      <c r="AJ29" s="124"/>
      <c r="AK29" s="348"/>
      <c r="AL29" s="348"/>
      <c r="AM29" s="288"/>
      <c r="AN29" s="288"/>
      <c r="AO29" s="3"/>
      <c r="AP29" s="3"/>
      <c r="AQ29" s="3"/>
      <c r="AR29" s="3"/>
      <c r="AS29" s="3"/>
      <c r="AT29" s="3"/>
      <c r="AU29" s="3"/>
      <c r="AV29" s="3"/>
      <c r="AW29" s="288"/>
    </row>
    <row r="30" spans="1:49" ht="8.1" customHeight="1" x14ac:dyDescent="0.25">
      <c r="A30" s="1"/>
      <c r="B30" s="152"/>
      <c r="C30" s="114"/>
      <c r="D30" s="145"/>
      <c r="E30" s="134"/>
      <c r="F30" s="298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227"/>
      <c r="AH30" s="238"/>
      <c r="AI30" s="152"/>
    </row>
    <row r="31" spans="1:49" x14ac:dyDescent="0.25">
      <c r="A31" s="193" t="s">
        <v>167</v>
      </c>
      <c r="B31" s="194"/>
      <c r="C31" s="195"/>
      <c r="D31" s="300"/>
      <c r="E31" s="300"/>
      <c r="F31" s="212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227"/>
      <c r="AH31" s="238"/>
      <c r="AI31" s="152"/>
    </row>
    <row r="32" spans="1:49" ht="15" customHeight="1" x14ac:dyDescent="0.25">
      <c r="A32" s="179" t="s">
        <v>157</v>
      </c>
      <c r="B32" s="180">
        <v>0.25</v>
      </c>
      <c r="C32" s="181">
        <f t="shared" ref="C32:M32" si="17">$B$32*C$29</f>
        <v>7728.9133738601831</v>
      </c>
      <c r="D32" s="181">
        <f t="shared" si="17"/>
        <v>74065.137997629179</v>
      </c>
      <c r="E32" s="181">
        <f t="shared" si="17"/>
        <v>157711.35275758177</v>
      </c>
      <c r="F32" s="213">
        <f t="shared" si="17"/>
        <v>208937.91581273335</v>
      </c>
      <c r="G32" s="181">
        <f t="shared" si="17"/>
        <v>261189.01012898804</v>
      </c>
      <c r="H32" s="181">
        <f t="shared" si="17"/>
        <v>314485.12633156782</v>
      </c>
      <c r="I32" s="181">
        <f t="shared" si="17"/>
        <v>502782.28485819919</v>
      </c>
      <c r="J32" s="181">
        <f t="shared" si="17"/>
        <v>608982.60255536321</v>
      </c>
      <c r="K32" s="181">
        <f t="shared" si="17"/>
        <v>717306.92660647049</v>
      </c>
      <c r="L32" s="181">
        <f t="shared" si="17"/>
        <v>819785.68113859976</v>
      </c>
      <c r="M32" s="181">
        <f t="shared" si="17"/>
        <v>892902.12105689931</v>
      </c>
      <c r="N32" s="181">
        <f t="shared" ref="N32:AF32" si="18">$B$32*N$29</f>
        <v>909110.9937735647</v>
      </c>
      <c r="O32" s="181">
        <f t="shared" si="18"/>
        <v>925644.04394456337</v>
      </c>
      <c r="P32" s="181">
        <f t="shared" si="18"/>
        <v>942507.75511898228</v>
      </c>
      <c r="Q32" s="181">
        <f t="shared" si="18"/>
        <v>959708.74051688926</v>
      </c>
      <c r="R32" s="181">
        <f t="shared" si="18"/>
        <v>977253.74562275456</v>
      </c>
      <c r="S32" s="181">
        <f t="shared" si="18"/>
        <v>995149.65083073697</v>
      </c>
      <c r="T32" s="181">
        <f t="shared" si="18"/>
        <v>1013403.4741428791</v>
      </c>
      <c r="U32" s="181">
        <f t="shared" si="18"/>
        <v>1032022.3739212642</v>
      </c>
      <c r="V32" s="181">
        <f t="shared" si="18"/>
        <v>1051013.651695217</v>
      </c>
      <c r="W32" s="181">
        <f t="shared" si="18"/>
        <v>1070384.7550246487</v>
      </c>
      <c r="X32" s="181">
        <f t="shared" si="18"/>
        <v>1090143.2804206691</v>
      </c>
      <c r="Y32" s="181">
        <f t="shared" si="18"/>
        <v>1110296.9763246099</v>
      </c>
      <c r="Z32" s="181">
        <f t="shared" si="18"/>
        <v>1130853.7461466293</v>
      </c>
      <c r="AA32" s="181">
        <f t="shared" si="18"/>
        <v>1151821.6513650897</v>
      </c>
      <c r="AB32" s="181">
        <f t="shared" si="18"/>
        <v>1173208.9146879187</v>
      </c>
      <c r="AC32" s="181">
        <f t="shared" si="18"/>
        <v>1195023.9232772046</v>
      </c>
      <c r="AD32" s="181">
        <f t="shared" si="18"/>
        <v>1217275.2320382763</v>
      </c>
      <c r="AE32" s="181">
        <f t="shared" si="18"/>
        <v>1239971.5669745693</v>
      </c>
      <c r="AF32" s="181">
        <f t="shared" si="18"/>
        <v>1263121.8286095879</v>
      </c>
      <c r="AG32" s="232"/>
      <c r="AH32" s="242" t="s">
        <v>169</v>
      </c>
      <c r="AI32" s="124"/>
    </row>
    <row r="33" spans="1:35" ht="15" customHeight="1" x14ac:dyDescent="0.25">
      <c r="A33" s="179" t="s">
        <v>156</v>
      </c>
      <c r="B33" s="182">
        <v>0.05</v>
      </c>
      <c r="C33" s="181">
        <f>B33*C$29</f>
        <v>1545.7826747720367</v>
      </c>
      <c r="D33" s="181">
        <f>B33*D$29</f>
        <v>14813.027599525836</v>
      </c>
      <c r="E33" s="181">
        <f t="shared" ref="E33:M33" si="19">$B$33*E29</f>
        <v>31542.270551516354</v>
      </c>
      <c r="F33" s="213">
        <f t="shared" si="19"/>
        <v>41787.583162546674</v>
      </c>
      <c r="G33" s="181">
        <f t="shared" si="19"/>
        <v>52237.80202579761</v>
      </c>
      <c r="H33" s="181">
        <f t="shared" si="19"/>
        <v>62897.025266313569</v>
      </c>
      <c r="I33" s="181">
        <f t="shared" si="19"/>
        <v>100556.45697163984</v>
      </c>
      <c r="J33" s="181">
        <f t="shared" si="19"/>
        <v>121796.52051107265</v>
      </c>
      <c r="K33" s="181">
        <f t="shared" si="19"/>
        <v>143461.3853212941</v>
      </c>
      <c r="L33" s="181">
        <f t="shared" si="19"/>
        <v>163957.13622771995</v>
      </c>
      <c r="M33" s="181">
        <f t="shared" si="19"/>
        <v>178580.42421137987</v>
      </c>
      <c r="N33" s="181">
        <f t="shared" ref="N33:AF33" si="20">$B$33*N29</f>
        <v>181822.19875471294</v>
      </c>
      <c r="O33" s="181">
        <f t="shared" si="20"/>
        <v>185128.80878891269</v>
      </c>
      <c r="P33" s="181">
        <f t="shared" si="20"/>
        <v>188501.55102379646</v>
      </c>
      <c r="Q33" s="181">
        <f t="shared" si="20"/>
        <v>191941.74810337787</v>
      </c>
      <c r="R33" s="181">
        <f t="shared" si="20"/>
        <v>195450.74912455093</v>
      </c>
      <c r="S33" s="181">
        <f t="shared" si="20"/>
        <v>199029.93016614742</v>
      </c>
      <c r="T33" s="181">
        <f t="shared" si="20"/>
        <v>202680.69482857583</v>
      </c>
      <c r="U33" s="181">
        <f t="shared" si="20"/>
        <v>206404.47478425284</v>
      </c>
      <c r="V33" s="181">
        <f t="shared" si="20"/>
        <v>210202.73033904342</v>
      </c>
      <c r="W33" s="181">
        <f t="shared" si="20"/>
        <v>214076.95100492975</v>
      </c>
      <c r="X33" s="181">
        <f t="shared" si="20"/>
        <v>218028.65608413384</v>
      </c>
      <c r="Y33" s="181">
        <f t="shared" si="20"/>
        <v>222059.395264922</v>
      </c>
      <c r="Z33" s="181">
        <f t="shared" si="20"/>
        <v>226170.74922932588</v>
      </c>
      <c r="AA33" s="181">
        <f t="shared" si="20"/>
        <v>230364.33027301796</v>
      </c>
      <c r="AB33" s="181">
        <f t="shared" si="20"/>
        <v>234641.78293758375</v>
      </c>
      <c r="AC33" s="181">
        <f t="shared" si="20"/>
        <v>239004.78465544095</v>
      </c>
      <c r="AD33" s="181">
        <f t="shared" si="20"/>
        <v>243455.04640765526</v>
      </c>
      <c r="AE33" s="181">
        <f t="shared" si="20"/>
        <v>247994.31339491389</v>
      </c>
      <c r="AF33" s="181">
        <f t="shared" si="20"/>
        <v>252624.36572191759</v>
      </c>
      <c r="AG33" s="233"/>
      <c r="AH33" s="243" t="s">
        <v>170</v>
      </c>
      <c r="AI33" s="152"/>
    </row>
    <row r="34" spans="1:35" ht="15" customHeight="1" x14ac:dyDescent="0.25">
      <c r="A34" s="179" t="s">
        <v>58</v>
      </c>
      <c r="B34" s="182">
        <v>0.35</v>
      </c>
      <c r="C34" s="181">
        <f>B34*C$29</f>
        <v>10820.478723404256</v>
      </c>
      <c r="D34" s="181">
        <f>B34*(D$29)</f>
        <v>103691.19319668085</v>
      </c>
      <c r="E34" s="181">
        <f t="shared" ref="E34:M34" si="21">$B$34*(E29)</f>
        <v>220795.89386061448</v>
      </c>
      <c r="F34" s="213">
        <f t="shared" si="21"/>
        <v>292513.08213782666</v>
      </c>
      <c r="G34" s="181">
        <f t="shared" si="21"/>
        <v>365664.61418058322</v>
      </c>
      <c r="H34" s="181">
        <f t="shared" si="21"/>
        <v>440279.17686419492</v>
      </c>
      <c r="I34" s="181">
        <f t="shared" si="21"/>
        <v>703895.19880147884</v>
      </c>
      <c r="J34" s="181">
        <f t="shared" si="21"/>
        <v>852575.6435775084</v>
      </c>
      <c r="K34" s="181">
        <f t="shared" si="21"/>
        <v>1004229.6972490586</v>
      </c>
      <c r="L34" s="181">
        <f t="shared" si="21"/>
        <v>1147699.9535940397</v>
      </c>
      <c r="M34" s="181">
        <f t="shared" si="21"/>
        <v>1250062.9694796589</v>
      </c>
      <c r="N34" s="181">
        <f t="shared" ref="N34:AF34" si="22">$B$34*(N29)</f>
        <v>1272755.3912829906</v>
      </c>
      <c r="O34" s="181">
        <f t="shared" si="22"/>
        <v>1295901.6615223887</v>
      </c>
      <c r="P34" s="181">
        <f t="shared" si="22"/>
        <v>1319510.857166575</v>
      </c>
      <c r="Q34" s="181">
        <f t="shared" si="22"/>
        <v>1343592.2367236449</v>
      </c>
      <c r="R34" s="181">
        <f t="shared" si="22"/>
        <v>1368155.2438718562</v>
      </c>
      <c r="S34" s="181">
        <f t="shared" si="22"/>
        <v>1393209.5111630317</v>
      </c>
      <c r="T34" s="181">
        <f t="shared" si="22"/>
        <v>1418764.8638000307</v>
      </c>
      <c r="U34" s="181">
        <f t="shared" si="22"/>
        <v>1444831.3234897698</v>
      </c>
      <c r="V34" s="181">
        <f t="shared" si="22"/>
        <v>1471419.1123733036</v>
      </c>
      <c r="W34" s="181">
        <f t="shared" si="22"/>
        <v>1498538.6570345082</v>
      </c>
      <c r="X34" s="181">
        <f t="shared" si="22"/>
        <v>1526200.5925889367</v>
      </c>
      <c r="Y34" s="181">
        <f t="shared" si="22"/>
        <v>1554415.7668544538</v>
      </c>
      <c r="Z34" s="181">
        <f t="shared" si="22"/>
        <v>1583195.2446052809</v>
      </c>
      <c r="AA34" s="181">
        <f t="shared" si="22"/>
        <v>1612550.3119111254</v>
      </c>
      <c r="AB34" s="181">
        <f t="shared" si="22"/>
        <v>1642492.4805630862</v>
      </c>
      <c r="AC34" s="181">
        <f t="shared" si="22"/>
        <v>1673033.4925880863</v>
      </c>
      <c r="AD34" s="181">
        <f t="shared" si="22"/>
        <v>1704185.3248535867</v>
      </c>
      <c r="AE34" s="181">
        <f t="shared" si="22"/>
        <v>1735960.1937643969</v>
      </c>
      <c r="AF34" s="181">
        <f t="shared" si="22"/>
        <v>1768370.5600534228</v>
      </c>
      <c r="AG34" s="335"/>
      <c r="AH34" s="240" t="s">
        <v>171</v>
      </c>
      <c r="AI34" s="152"/>
    </row>
    <row r="35" spans="1:35" x14ac:dyDescent="0.25">
      <c r="A35" s="179" t="s">
        <v>165</v>
      </c>
      <c r="B35" s="183">
        <v>0.35</v>
      </c>
      <c r="C35" s="181">
        <f>B35*C29</f>
        <v>10820.478723404256</v>
      </c>
      <c r="D35" s="181">
        <f>B35*D29</f>
        <v>103691.19319668085</v>
      </c>
      <c r="E35" s="181">
        <f t="shared" ref="E35:M35" si="23">$B$35*E29</f>
        <v>220795.89386061448</v>
      </c>
      <c r="F35" s="213">
        <f t="shared" si="23"/>
        <v>292513.08213782666</v>
      </c>
      <c r="G35" s="181">
        <f t="shared" si="23"/>
        <v>365664.61418058322</v>
      </c>
      <c r="H35" s="181">
        <f t="shared" si="23"/>
        <v>440279.17686419492</v>
      </c>
      <c r="I35" s="181">
        <f t="shared" si="23"/>
        <v>703895.19880147884</v>
      </c>
      <c r="J35" s="181">
        <f t="shared" si="23"/>
        <v>852575.6435775084</v>
      </c>
      <c r="K35" s="181">
        <f t="shared" si="23"/>
        <v>1004229.6972490586</v>
      </c>
      <c r="L35" s="181">
        <f t="shared" si="23"/>
        <v>1147699.9535940397</v>
      </c>
      <c r="M35" s="181">
        <f t="shared" si="23"/>
        <v>1250062.9694796589</v>
      </c>
      <c r="N35" s="181">
        <f t="shared" ref="N35:AF35" si="24">$B$35*N29</f>
        <v>1272755.3912829906</v>
      </c>
      <c r="O35" s="181">
        <f t="shared" si="24"/>
        <v>1295901.6615223887</v>
      </c>
      <c r="P35" s="181">
        <f t="shared" si="24"/>
        <v>1319510.857166575</v>
      </c>
      <c r="Q35" s="181">
        <f t="shared" si="24"/>
        <v>1343592.2367236449</v>
      </c>
      <c r="R35" s="181">
        <f t="shared" si="24"/>
        <v>1368155.2438718562</v>
      </c>
      <c r="S35" s="181">
        <f t="shared" si="24"/>
        <v>1393209.5111630317</v>
      </c>
      <c r="T35" s="181">
        <f t="shared" si="24"/>
        <v>1418764.8638000307</v>
      </c>
      <c r="U35" s="181">
        <f t="shared" si="24"/>
        <v>1444831.3234897698</v>
      </c>
      <c r="V35" s="181">
        <f t="shared" si="24"/>
        <v>1471419.1123733036</v>
      </c>
      <c r="W35" s="181">
        <f t="shared" si="24"/>
        <v>1498538.6570345082</v>
      </c>
      <c r="X35" s="181">
        <f t="shared" si="24"/>
        <v>1526200.5925889367</v>
      </c>
      <c r="Y35" s="181">
        <f t="shared" si="24"/>
        <v>1554415.7668544538</v>
      </c>
      <c r="Z35" s="181">
        <f t="shared" si="24"/>
        <v>1583195.2446052809</v>
      </c>
      <c r="AA35" s="181">
        <f t="shared" si="24"/>
        <v>1612550.3119111254</v>
      </c>
      <c r="AB35" s="181">
        <f t="shared" si="24"/>
        <v>1642492.4805630862</v>
      </c>
      <c r="AC35" s="181">
        <f t="shared" si="24"/>
        <v>1673033.4925880863</v>
      </c>
      <c r="AD35" s="181">
        <f t="shared" si="24"/>
        <v>1704185.3248535867</v>
      </c>
      <c r="AE35" s="181">
        <f t="shared" si="24"/>
        <v>1735960.1937643969</v>
      </c>
      <c r="AF35" s="181">
        <f t="shared" si="24"/>
        <v>1768370.5600534228</v>
      </c>
      <c r="AG35" s="335" t="s">
        <v>164</v>
      </c>
      <c r="AH35" s="240" t="s">
        <v>194</v>
      </c>
      <c r="AI35" s="152"/>
    </row>
    <row r="36" spans="1:35" x14ac:dyDescent="0.25">
      <c r="A36" s="197" t="s">
        <v>158</v>
      </c>
      <c r="B36" s="196">
        <f>SUM(B32:B35)</f>
        <v>0.99999999999999989</v>
      </c>
      <c r="C36" s="191">
        <f>SUM(C32:C35)</f>
        <v>30915.653495440733</v>
      </c>
      <c r="D36" s="191">
        <f t="shared" ref="D36:AF36" si="25">SUM(D32:D35)</f>
        <v>296260.55199051672</v>
      </c>
      <c r="E36" s="191">
        <f t="shared" si="25"/>
        <v>630845.41103032709</v>
      </c>
      <c r="F36" s="214">
        <f t="shared" si="25"/>
        <v>835751.6632509334</v>
      </c>
      <c r="G36" s="191">
        <f t="shared" si="25"/>
        <v>1044756.040515952</v>
      </c>
      <c r="H36" s="191">
        <f t="shared" si="25"/>
        <v>1257940.5053262713</v>
      </c>
      <c r="I36" s="191">
        <f t="shared" si="25"/>
        <v>2011129.1394327967</v>
      </c>
      <c r="J36" s="191">
        <f t="shared" si="25"/>
        <v>2435930.4102214528</v>
      </c>
      <c r="K36" s="191">
        <f t="shared" si="25"/>
        <v>2869227.7064258819</v>
      </c>
      <c r="L36" s="191">
        <f t="shared" si="25"/>
        <v>3279142.724554399</v>
      </c>
      <c r="M36" s="191">
        <f t="shared" si="25"/>
        <v>3571608.4842275968</v>
      </c>
      <c r="N36" s="191">
        <f t="shared" si="25"/>
        <v>3636443.9750942588</v>
      </c>
      <c r="O36" s="191">
        <f t="shared" si="25"/>
        <v>3702576.175778253</v>
      </c>
      <c r="P36" s="191">
        <f t="shared" si="25"/>
        <v>3770031.0204759287</v>
      </c>
      <c r="Q36" s="191">
        <f t="shared" si="25"/>
        <v>3838834.9620675566</v>
      </c>
      <c r="R36" s="191">
        <f t="shared" si="25"/>
        <v>3909014.9824910183</v>
      </c>
      <c r="S36" s="191">
        <f t="shared" si="25"/>
        <v>3980598.6033229479</v>
      </c>
      <c r="T36" s="191">
        <f t="shared" si="25"/>
        <v>4053613.8965715165</v>
      </c>
      <c r="U36" s="191">
        <f t="shared" si="25"/>
        <v>4128089.4956850568</v>
      </c>
      <c r="V36" s="191">
        <f t="shared" si="25"/>
        <v>4204054.606780868</v>
      </c>
      <c r="W36" s="191">
        <f t="shared" si="25"/>
        <v>4281539.0200985949</v>
      </c>
      <c r="X36" s="191">
        <f t="shared" si="25"/>
        <v>4360573.1216826765</v>
      </c>
      <c r="Y36" s="191">
        <f t="shared" si="25"/>
        <v>4441187.9052984398</v>
      </c>
      <c r="Z36" s="191">
        <f t="shared" si="25"/>
        <v>4523414.9845865164</v>
      </c>
      <c r="AA36" s="191">
        <f t="shared" si="25"/>
        <v>4607286.6054603588</v>
      </c>
      <c r="AB36" s="191">
        <f t="shared" si="25"/>
        <v>4692835.6587516749</v>
      </c>
      <c r="AC36" s="191">
        <f t="shared" si="25"/>
        <v>4780095.6931088176</v>
      </c>
      <c r="AD36" s="191">
        <f t="shared" si="25"/>
        <v>4869100.9281531051</v>
      </c>
      <c r="AE36" s="191">
        <f t="shared" si="25"/>
        <v>4959886.2678982774</v>
      </c>
      <c r="AF36" s="191">
        <f t="shared" si="25"/>
        <v>5052487.3144383514</v>
      </c>
      <c r="AG36" s="227"/>
      <c r="AH36" s="238"/>
      <c r="AI36" s="152"/>
    </row>
    <row r="37" spans="1:35" ht="8.1" customHeight="1" x14ac:dyDescent="0.25">
      <c r="A37" s="141"/>
      <c r="B37" s="174"/>
      <c r="C37" s="136"/>
      <c r="D37" s="136"/>
      <c r="E37" s="136"/>
      <c r="F37" s="205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227"/>
      <c r="AH37" s="238"/>
      <c r="AI37" s="152"/>
    </row>
    <row r="38" spans="1:35" x14ac:dyDescent="0.25">
      <c r="A38" s="184" t="s">
        <v>159</v>
      </c>
      <c r="B38" s="439" t="s">
        <v>200</v>
      </c>
      <c r="C38" s="185"/>
      <c r="D38" s="185"/>
      <c r="E38" s="185"/>
      <c r="F38" s="21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227"/>
      <c r="AH38" s="238"/>
      <c r="AI38" s="152"/>
    </row>
    <row r="39" spans="1:35" x14ac:dyDescent="0.25">
      <c r="A39" s="186" t="s">
        <v>165</v>
      </c>
      <c r="B39" s="439"/>
      <c r="C39" s="185">
        <f>C35</f>
        <v>10820.478723404256</v>
      </c>
      <c r="D39" s="185">
        <f t="shared" ref="D39:L39" si="26">D35</f>
        <v>103691.19319668085</v>
      </c>
      <c r="E39" s="185">
        <f t="shared" si="26"/>
        <v>220795.89386061448</v>
      </c>
      <c r="F39" s="215">
        <f t="shared" si="26"/>
        <v>292513.08213782666</v>
      </c>
      <c r="G39" s="185">
        <f t="shared" si="26"/>
        <v>365664.61418058322</v>
      </c>
      <c r="H39" s="185">
        <f t="shared" si="26"/>
        <v>440279.17686419492</v>
      </c>
      <c r="I39" s="185">
        <f t="shared" si="26"/>
        <v>703895.19880147884</v>
      </c>
      <c r="J39" s="185">
        <f t="shared" si="26"/>
        <v>852575.6435775084</v>
      </c>
      <c r="K39" s="185">
        <f t="shared" si="26"/>
        <v>1004229.6972490586</v>
      </c>
      <c r="L39" s="185">
        <f t="shared" si="26"/>
        <v>1147699.9535940397</v>
      </c>
      <c r="M39" s="185">
        <f>M35</f>
        <v>1250062.9694796589</v>
      </c>
      <c r="N39" s="185">
        <f t="shared" ref="N39:AF39" si="27">N35</f>
        <v>1272755.3912829906</v>
      </c>
      <c r="O39" s="185">
        <f t="shared" si="27"/>
        <v>1295901.6615223887</v>
      </c>
      <c r="P39" s="185">
        <f t="shared" si="27"/>
        <v>1319510.857166575</v>
      </c>
      <c r="Q39" s="185">
        <f t="shared" si="27"/>
        <v>1343592.2367236449</v>
      </c>
      <c r="R39" s="185">
        <f t="shared" si="27"/>
        <v>1368155.2438718562</v>
      </c>
      <c r="S39" s="185">
        <f t="shared" si="27"/>
        <v>1393209.5111630317</v>
      </c>
      <c r="T39" s="185">
        <f t="shared" si="27"/>
        <v>1418764.8638000307</v>
      </c>
      <c r="U39" s="185">
        <f t="shared" si="27"/>
        <v>1444831.3234897698</v>
      </c>
      <c r="V39" s="185">
        <f t="shared" si="27"/>
        <v>1471419.1123733036</v>
      </c>
      <c r="W39" s="185">
        <f t="shared" si="27"/>
        <v>1498538.6570345082</v>
      </c>
      <c r="X39" s="185">
        <f t="shared" si="27"/>
        <v>1526200.5925889367</v>
      </c>
      <c r="Y39" s="185">
        <f t="shared" si="27"/>
        <v>1554415.7668544538</v>
      </c>
      <c r="Z39" s="185">
        <f t="shared" si="27"/>
        <v>1583195.2446052809</v>
      </c>
      <c r="AA39" s="185">
        <f t="shared" si="27"/>
        <v>1612550.3119111254</v>
      </c>
      <c r="AB39" s="185">
        <f t="shared" si="27"/>
        <v>1642492.4805630862</v>
      </c>
      <c r="AC39" s="185">
        <f t="shared" si="27"/>
        <v>1673033.4925880863</v>
      </c>
      <c r="AD39" s="185">
        <f t="shared" si="27"/>
        <v>1704185.3248535867</v>
      </c>
      <c r="AE39" s="185">
        <f t="shared" si="27"/>
        <v>1735960.1937643969</v>
      </c>
      <c r="AF39" s="185">
        <f t="shared" si="27"/>
        <v>1768370.5600534228</v>
      </c>
      <c r="AG39" s="227" t="s">
        <v>164</v>
      </c>
      <c r="AH39" s="238" t="s">
        <v>164</v>
      </c>
      <c r="AI39" s="152"/>
    </row>
    <row r="40" spans="1:35" x14ac:dyDescent="0.25">
      <c r="A40" s="186" t="str">
        <f>CONCATENATE("Less: 10% of Incremental FORA Share after 7/1/2012 (goes to ",A4,")")</f>
        <v>Less: 10% of Incremental FORA Share after 7/1/2012 (goes to Del Rey Oaks)</v>
      </c>
      <c r="B40" s="263">
        <v>0</v>
      </c>
      <c r="C40" s="185">
        <f t="shared" ref="C40:L40" si="28">IF(C39&gt;0,-(0.1*(C39-$B$40)),0)</f>
        <v>-1082.0478723404256</v>
      </c>
      <c r="D40" s="185">
        <f t="shared" si="28"/>
        <v>-10369.119319668085</v>
      </c>
      <c r="E40" s="185">
        <f t="shared" si="28"/>
        <v>-22079.589386061449</v>
      </c>
      <c r="F40" s="215">
        <f t="shared" si="28"/>
        <v>-29251.308213782668</v>
      </c>
      <c r="G40" s="185">
        <f t="shared" si="28"/>
        <v>-36566.461418058323</v>
      </c>
      <c r="H40" s="185">
        <f t="shared" si="28"/>
        <v>-44027.917686419496</v>
      </c>
      <c r="I40" s="185">
        <f t="shared" si="28"/>
        <v>-70389.519880147884</v>
      </c>
      <c r="J40" s="185">
        <f t="shared" si="28"/>
        <v>-85257.564357750845</v>
      </c>
      <c r="K40" s="185">
        <f t="shared" si="28"/>
        <v>-100422.96972490587</v>
      </c>
      <c r="L40" s="185">
        <f t="shared" si="28"/>
        <v>-114769.99535940397</v>
      </c>
      <c r="M40" s="185">
        <f>IF(M39&gt;0,-(0.1*(M39-$B$40)),0)</f>
        <v>-125006.29694796589</v>
      </c>
      <c r="N40" s="185">
        <f t="shared" ref="N40:AF40" si="29">IF(N39&gt;0,-(0.1*(N39-$B$40)),0)</f>
        <v>-127275.53912829906</v>
      </c>
      <c r="O40" s="185">
        <f t="shared" si="29"/>
        <v>-129590.16615223887</v>
      </c>
      <c r="P40" s="185">
        <f t="shared" si="29"/>
        <v>-131951.08571665752</v>
      </c>
      <c r="Q40" s="185">
        <f t="shared" si="29"/>
        <v>-134359.22367236449</v>
      </c>
      <c r="R40" s="185">
        <f t="shared" si="29"/>
        <v>-136815.52438718564</v>
      </c>
      <c r="S40" s="185">
        <f t="shared" si="29"/>
        <v>-139320.95111630319</v>
      </c>
      <c r="T40" s="185">
        <f t="shared" si="29"/>
        <v>-141876.48638000307</v>
      </c>
      <c r="U40" s="185">
        <f t="shared" si="29"/>
        <v>-144483.132348977</v>
      </c>
      <c r="V40" s="185">
        <f t="shared" si="29"/>
        <v>-147141.91123733038</v>
      </c>
      <c r="W40" s="185">
        <f t="shared" si="29"/>
        <v>-149853.86570345084</v>
      </c>
      <c r="X40" s="185">
        <f t="shared" si="29"/>
        <v>-152620.05925889369</v>
      </c>
      <c r="Y40" s="185">
        <f t="shared" si="29"/>
        <v>-155441.57668544538</v>
      </c>
      <c r="Z40" s="185">
        <f t="shared" si="29"/>
        <v>-158319.5244605281</v>
      </c>
      <c r="AA40" s="185">
        <f t="shared" si="29"/>
        <v>-161255.03119111256</v>
      </c>
      <c r="AB40" s="185">
        <f t="shared" si="29"/>
        <v>-164249.24805630863</v>
      </c>
      <c r="AC40" s="185">
        <f t="shared" si="29"/>
        <v>-167303.34925880865</v>
      </c>
      <c r="AD40" s="185">
        <f t="shared" si="29"/>
        <v>-170418.53248535868</v>
      </c>
      <c r="AE40" s="185">
        <f t="shared" si="29"/>
        <v>-173596.01937643971</v>
      </c>
      <c r="AF40" s="185">
        <f t="shared" si="29"/>
        <v>-176837.05600534228</v>
      </c>
      <c r="AG40" s="227" t="s">
        <v>148</v>
      </c>
      <c r="AH40" s="238"/>
      <c r="AI40" s="152"/>
    </row>
    <row r="41" spans="1:35" ht="15" customHeight="1" x14ac:dyDescent="0.25">
      <c r="A41" s="186" t="s">
        <v>80</v>
      </c>
      <c r="B41" s="188"/>
      <c r="C41" s="189">
        <f t="shared" ref="C41:AF41" si="30">C35+C40</f>
        <v>9738.4308510638311</v>
      </c>
      <c r="D41" s="189">
        <f t="shared" si="30"/>
        <v>93322.073877012765</v>
      </c>
      <c r="E41" s="189">
        <f t="shared" si="30"/>
        <v>198716.30447455304</v>
      </c>
      <c r="F41" s="216">
        <f t="shared" si="30"/>
        <v>263261.77392404398</v>
      </c>
      <c r="G41" s="189">
        <f t="shared" si="30"/>
        <v>329098.1527625249</v>
      </c>
      <c r="H41" s="189">
        <f t="shared" si="30"/>
        <v>396251.25917777541</v>
      </c>
      <c r="I41" s="189">
        <f t="shared" si="30"/>
        <v>633505.67892133095</v>
      </c>
      <c r="J41" s="189">
        <f t="shared" si="30"/>
        <v>767318.07921975758</v>
      </c>
      <c r="K41" s="189">
        <f t="shared" si="30"/>
        <v>903806.72752415272</v>
      </c>
      <c r="L41" s="189">
        <f t="shared" si="30"/>
        <v>1032929.9582346356</v>
      </c>
      <c r="M41" s="189">
        <f t="shared" si="30"/>
        <v>1125056.672531693</v>
      </c>
      <c r="N41" s="189">
        <f t="shared" si="30"/>
        <v>1145479.8521546915</v>
      </c>
      <c r="O41" s="189">
        <f t="shared" si="30"/>
        <v>1166311.4953701498</v>
      </c>
      <c r="P41" s="189">
        <f t="shared" si="30"/>
        <v>1187559.7714499175</v>
      </c>
      <c r="Q41" s="189">
        <f t="shared" si="30"/>
        <v>1209233.0130512803</v>
      </c>
      <c r="R41" s="189">
        <f t="shared" si="30"/>
        <v>1231339.7194846706</v>
      </c>
      <c r="S41" s="189">
        <f t="shared" si="30"/>
        <v>1253888.5600467285</v>
      </c>
      <c r="T41" s="189">
        <f t="shared" si="30"/>
        <v>1276888.3774200275</v>
      </c>
      <c r="U41" s="189">
        <f t="shared" si="30"/>
        <v>1300348.1911407928</v>
      </c>
      <c r="V41" s="189">
        <f t="shared" si="30"/>
        <v>1324277.2011359732</v>
      </c>
      <c r="W41" s="189">
        <f t="shared" si="30"/>
        <v>1348684.7913310574</v>
      </c>
      <c r="X41" s="189">
        <f t="shared" si="30"/>
        <v>1373580.5333300431</v>
      </c>
      <c r="Y41" s="189">
        <f t="shared" si="30"/>
        <v>1398974.1901690084</v>
      </c>
      <c r="Z41" s="189">
        <f t="shared" si="30"/>
        <v>1424875.7201447529</v>
      </c>
      <c r="AA41" s="189">
        <f t="shared" si="30"/>
        <v>1451295.280720013</v>
      </c>
      <c r="AB41" s="189">
        <f t="shared" si="30"/>
        <v>1478243.2325067776</v>
      </c>
      <c r="AC41" s="189">
        <f t="shared" si="30"/>
        <v>1505730.1433292776</v>
      </c>
      <c r="AD41" s="189">
        <f t="shared" si="30"/>
        <v>1533766.7923682281</v>
      </c>
      <c r="AE41" s="189">
        <f t="shared" si="30"/>
        <v>1562364.1743879572</v>
      </c>
      <c r="AF41" s="189">
        <f t="shared" si="30"/>
        <v>1591533.5040480806</v>
      </c>
      <c r="AG41" s="227" t="s">
        <v>183</v>
      </c>
      <c r="AH41" s="240" t="s">
        <v>195</v>
      </c>
      <c r="AI41" s="152"/>
    </row>
    <row r="42" spans="1:35" ht="15" customHeight="1" x14ac:dyDescent="0.25">
      <c r="A42" s="186" t="str">
        <f>CONCATENATE("Less: ",$A$4," Portion of FORA Remediation Bonds Debt Service")</f>
        <v>Less: Del Rey Oaks Portion of FORA Remediation Bonds Debt Service</v>
      </c>
      <c r="B42" s="186"/>
      <c r="C42" s="185">
        <v>0</v>
      </c>
      <c r="D42" s="185">
        <f>-'DS (Base Case)'!N54</f>
        <v>-6221.4940569748051</v>
      </c>
      <c r="E42" s="185">
        <f>-'DS (Base Case)'!O54</f>
        <v>-6227.2584058390812</v>
      </c>
      <c r="F42" s="215">
        <f>-'DS (Base Case)'!P54</f>
        <v>-6229.0071579344658</v>
      </c>
      <c r="G42" s="185">
        <f>-'DS (Base Case)'!Q54</f>
        <v>-6228.2598512670738</v>
      </c>
      <c r="H42" s="185">
        <f>-'DS (Base Case)'!R54</f>
        <v>-6224.6682216094123</v>
      </c>
      <c r="I42" s="185">
        <f>-'DS (Base Case)'!S54</f>
        <v>-6233.7324421463127</v>
      </c>
      <c r="J42" s="185">
        <f>-'DS (Base Case)'!T54</f>
        <v>-6219.0330785258393</v>
      </c>
      <c r="K42" s="185">
        <f>-'DS (Base Case)'!U54</f>
        <v>-6213.6354164722179</v>
      </c>
      <c r="L42" s="185">
        <f>-'DS (Base Case)'!V54</f>
        <v>-6234.3519982622602</v>
      </c>
      <c r="M42" s="185">
        <f>-'DS (Base Case)'!W54</f>
        <v>-6220.4709688818912</v>
      </c>
      <c r="N42" s="185">
        <f>-'DS (Base Case)'!X54</f>
        <v>-6232.5035474815495</v>
      </c>
      <c r="O42" s="185">
        <f>-'DS (Base Case)'!Y54</f>
        <v>-6222.6550512616441</v>
      </c>
      <c r="P42" s="185">
        <f>-'DS (Base Case)'!Z54</f>
        <v>-6222.4522480352853</v>
      </c>
      <c r="Q42" s="185">
        <f>-'DS (Base Case)'!AA54</f>
        <v>-6231.0195232617934</v>
      </c>
      <c r="R42" s="185">
        <f>-'DS (Base Case)'!AB54</f>
        <v>-6233.0939990123397</v>
      </c>
      <c r="S42" s="185">
        <f>-'DS (Base Case)'!AC54</f>
        <v>-6212.8242035667809</v>
      </c>
      <c r="T42" s="185">
        <f>-'DS (Base Case)'!AD54</f>
        <v>-6217.7781755083834</v>
      </c>
      <c r="U42" s="185">
        <f>-'DS (Base Case)'!AE54</f>
        <v>-6231.1229374260747</v>
      </c>
      <c r="V42" s="185">
        <f>-'DS (Base Case)'!AF54</f>
        <v>-6237.4671177437895</v>
      </c>
      <c r="W42" s="185">
        <f>-'DS (Base Case)'!AG54</f>
        <v>-6222.1903067688727</v>
      </c>
      <c r="X42" s="185">
        <f>-'DS (Base Case)'!AH54</f>
        <v>-6232.5998403111644</v>
      </c>
      <c r="Y42" s="185">
        <f>-'DS (Base Case)'!AI54</f>
        <v>-6220.5787177716202</v>
      </c>
      <c r="Z42" s="185">
        <f>-'DS (Base Case)'!AJ54</f>
        <v>-6233.6990028357077</v>
      </c>
      <c r="AA42" s="185">
        <f>-'DS (Base Case)'!AK54</f>
        <v>-6223.8158288122113</v>
      </c>
      <c r="AB42" s="185">
        <f>-'DS (Base Case)'!AL54</f>
        <v>-6222.8064570291099</v>
      </c>
      <c r="AC42" s="185">
        <f>-'DS (Base Case)'!AM54</f>
        <v>-6229.7156997714128</v>
      </c>
      <c r="AD42" s="185">
        <f>-'DS (Base Case)'!AN54</f>
        <v>-6228.9308048419152</v>
      </c>
      <c r="AE42" s="185">
        <f>-'DS (Base Case)'!AO54</f>
        <v>-6235.4824327346851</v>
      </c>
      <c r="AF42" s="185">
        <f>-'DS (Base Case)'!AP54</f>
        <v>-6218.0692213599523</v>
      </c>
      <c r="AG42" s="227" t="s">
        <v>147</v>
      </c>
      <c r="AH42" s="238" t="s">
        <v>147</v>
      </c>
      <c r="AI42" s="152"/>
    </row>
    <row r="43" spans="1:35" ht="15" customHeight="1" x14ac:dyDescent="0.25">
      <c r="A43" s="192" t="s">
        <v>166</v>
      </c>
      <c r="B43" s="187"/>
      <c r="C43" s="190">
        <f>SUM(C41:C42)</f>
        <v>9738.4308510638311</v>
      </c>
      <c r="D43" s="190">
        <f t="shared" ref="D43:AF43" si="31">SUM(D41:D42)</f>
        <v>87100.579820037965</v>
      </c>
      <c r="E43" s="190">
        <f t="shared" si="31"/>
        <v>192489.04606871394</v>
      </c>
      <c r="F43" s="217">
        <f t="shared" si="31"/>
        <v>257032.7667661095</v>
      </c>
      <c r="G43" s="190">
        <f t="shared" si="31"/>
        <v>322869.8929112578</v>
      </c>
      <c r="H43" s="190">
        <f t="shared" si="31"/>
        <v>390026.59095616598</v>
      </c>
      <c r="I43" s="190">
        <f t="shared" si="31"/>
        <v>627271.94647918467</v>
      </c>
      <c r="J43" s="190">
        <f t="shared" si="31"/>
        <v>761099.04614123178</v>
      </c>
      <c r="K43" s="190">
        <f t="shared" si="31"/>
        <v>897593.09210768051</v>
      </c>
      <c r="L43" s="190">
        <f t="shared" si="31"/>
        <v>1026695.6062363734</v>
      </c>
      <c r="M43" s="190">
        <f t="shared" si="31"/>
        <v>1118836.2015628112</v>
      </c>
      <c r="N43" s="190">
        <f t="shared" si="31"/>
        <v>1139247.34860721</v>
      </c>
      <c r="O43" s="190">
        <f t="shared" si="31"/>
        <v>1160088.8403188882</v>
      </c>
      <c r="P43" s="190">
        <f t="shared" si="31"/>
        <v>1181337.3192018822</v>
      </c>
      <c r="Q43" s="190">
        <f t="shared" si="31"/>
        <v>1203001.9935280185</v>
      </c>
      <c r="R43" s="190">
        <f t="shared" si="31"/>
        <v>1225106.6254856582</v>
      </c>
      <c r="S43" s="190">
        <f t="shared" si="31"/>
        <v>1247675.7358431616</v>
      </c>
      <c r="T43" s="190">
        <f t="shared" si="31"/>
        <v>1270670.5992445191</v>
      </c>
      <c r="U43" s="190">
        <f t="shared" si="31"/>
        <v>1294117.0682033668</v>
      </c>
      <c r="V43" s="190">
        <f t="shared" si="31"/>
        <v>1318039.7340182294</v>
      </c>
      <c r="W43" s="190">
        <f t="shared" si="31"/>
        <v>1342462.6010242885</v>
      </c>
      <c r="X43" s="190">
        <f t="shared" si="31"/>
        <v>1367347.933489732</v>
      </c>
      <c r="Y43" s="190">
        <f t="shared" si="31"/>
        <v>1392753.6114512368</v>
      </c>
      <c r="Z43" s="190">
        <f t="shared" si="31"/>
        <v>1418642.0211419172</v>
      </c>
      <c r="AA43" s="190">
        <f t="shared" si="31"/>
        <v>1445071.4648912007</v>
      </c>
      <c r="AB43" s="190">
        <f t="shared" si="31"/>
        <v>1472020.4260497484</v>
      </c>
      <c r="AC43" s="190">
        <f t="shared" si="31"/>
        <v>1499500.4276295062</v>
      </c>
      <c r="AD43" s="190">
        <f t="shared" si="31"/>
        <v>1527537.8615633862</v>
      </c>
      <c r="AE43" s="190">
        <f t="shared" si="31"/>
        <v>1556128.6919552225</v>
      </c>
      <c r="AF43" s="190">
        <f t="shared" si="31"/>
        <v>1585315.4348267207</v>
      </c>
      <c r="AG43" s="227" t="s">
        <v>184</v>
      </c>
      <c r="AH43" s="240" t="s">
        <v>196</v>
      </c>
      <c r="AI43" s="152"/>
    </row>
    <row r="44" spans="1:35" ht="8.1" customHeight="1" x14ac:dyDescent="0.25">
      <c r="A44" s="171"/>
      <c r="B44" s="172"/>
      <c r="C44" s="136"/>
      <c r="D44" s="136"/>
      <c r="E44" s="136"/>
      <c r="F44" s="205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227"/>
      <c r="AH44" s="238"/>
      <c r="AI44" s="152"/>
    </row>
    <row r="45" spans="1:35" ht="15" customHeight="1" x14ac:dyDescent="0.25">
      <c r="A45" s="198" t="s">
        <v>168</v>
      </c>
      <c r="B45" s="199"/>
      <c r="C45" s="135"/>
      <c r="D45" s="135"/>
      <c r="E45" s="135"/>
      <c r="F45" s="218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227"/>
      <c r="AH45" s="238"/>
      <c r="AI45" s="152"/>
    </row>
    <row r="46" spans="1:35" ht="15" customHeight="1" x14ac:dyDescent="0.25">
      <c r="A46" s="200" t="s">
        <v>161</v>
      </c>
      <c r="B46" s="201">
        <v>0.38</v>
      </c>
      <c r="C46" s="135">
        <v>0</v>
      </c>
      <c r="D46" s="135">
        <v>0</v>
      </c>
      <c r="E46" s="135">
        <v>0</v>
      </c>
      <c r="F46" s="218">
        <v>0</v>
      </c>
      <c r="G46" s="135">
        <f t="shared" ref="G46:AF46" si="32">G43*$B$46</f>
        <v>122690.55930627797</v>
      </c>
      <c r="H46" s="135">
        <f t="shared" si="32"/>
        <v>148210.10456334308</v>
      </c>
      <c r="I46" s="135">
        <f t="shared" si="32"/>
        <v>238363.33966209018</v>
      </c>
      <c r="J46" s="135">
        <f t="shared" si="32"/>
        <v>289217.63753366808</v>
      </c>
      <c r="K46" s="135">
        <f t="shared" si="32"/>
        <v>341085.37500091858</v>
      </c>
      <c r="L46" s="135">
        <f t="shared" si="32"/>
        <v>390144.33036982192</v>
      </c>
      <c r="M46" s="135">
        <f t="shared" si="32"/>
        <v>425157.75659386825</v>
      </c>
      <c r="N46" s="135">
        <f t="shared" si="32"/>
        <v>432913.99247073982</v>
      </c>
      <c r="O46" s="135">
        <f t="shared" si="32"/>
        <v>440833.75932117749</v>
      </c>
      <c r="P46" s="135">
        <f t="shared" si="32"/>
        <v>448908.18129671528</v>
      </c>
      <c r="Q46" s="135">
        <f t="shared" si="32"/>
        <v>457140.757540647</v>
      </c>
      <c r="R46" s="135">
        <f t="shared" si="32"/>
        <v>465540.51768455014</v>
      </c>
      <c r="S46" s="135">
        <f t="shared" si="32"/>
        <v>474116.77962040139</v>
      </c>
      <c r="T46" s="135">
        <f t="shared" si="32"/>
        <v>482854.82771291729</v>
      </c>
      <c r="U46" s="135">
        <f t="shared" si="32"/>
        <v>491764.48591727938</v>
      </c>
      <c r="V46" s="135">
        <f t="shared" si="32"/>
        <v>500855.0989269272</v>
      </c>
      <c r="W46" s="135">
        <f t="shared" si="32"/>
        <v>510135.78838922962</v>
      </c>
      <c r="X46" s="135">
        <f t="shared" si="32"/>
        <v>519592.21472609817</v>
      </c>
      <c r="Y46" s="135">
        <f t="shared" si="32"/>
        <v>529246.37235146994</v>
      </c>
      <c r="Z46" s="135">
        <f t="shared" si="32"/>
        <v>539083.96803392854</v>
      </c>
      <c r="AA46" s="135">
        <f t="shared" si="32"/>
        <v>549127.1566586562</v>
      </c>
      <c r="AB46" s="135">
        <f t="shared" si="32"/>
        <v>559367.76189890446</v>
      </c>
      <c r="AC46" s="135">
        <f t="shared" si="32"/>
        <v>569810.16249921231</v>
      </c>
      <c r="AD46" s="135">
        <f t="shared" si="32"/>
        <v>580464.38739408669</v>
      </c>
      <c r="AE46" s="135">
        <f t="shared" si="32"/>
        <v>591328.9029429846</v>
      </c>
      <c r="AF46" s="135">
        <f t="shared" si="32"/>
        <v>602419.86523415393</v>
      </c>
      <c r="AG46" s="234"/>
      <c r="AH46" s="244" t="s">
        <v>172</v>
      </c>
      <c r="AI46" s="124"/>
    </row>
    <row r="47" spans="1:35" ht="15" customHeight="1" x14ac:dyDescent="0.25">
      <c r="A47" s="200" t="s">
        <v>162</v>
      </c>
      <c r="B47" s="202">
        <v>0.08</v>
      </c>
      <c r="C47" s="135">
        <v>0</v>
      </c>
      <c r="D47" s="135">
        <v>0</v>
      </c>
      <c r="E47" s="135">
        <v>0</v>
      </c>
      <c r="F47" s="218">
        <v>0</v>
      </c>
      <c r="G47" s="135">
        <f t="shared" ref="G47:AF47" si="33">G43*$B$47</f>
        <v>25829.591432900626</v>
      </c>
      <c r="H47" s="135">
        <f t="shared" si="33"/>
        <v>31202.12727649328</v>
      </c>
      <c r="I47" s="135">
        <f t="shared" si="33"/>
        <v>50181.755718334774</v>
      </c>
      <c r="J47" s="135">
        <f t="shared" si="33"/>
        <v>60887.923691298543</v>
      </c>
      <c r="K47" s="135">
        <f t="shared" si="33"/>
        <v>71807.447368614448</v>
      </c>
      <c r="L47" s="135">
        <f t="shared" si="33"/>
        <v>82135.648498909883</v>
      </c>
      <c r="M47" s="135">
        <f t="shared" si="33"/>
        <v>89506.896125024898</v>
      </c>
      <c r="N47" s="135">
        <f t="shared" si="33"/>
        <v>91139.7878885768</v>
      </c>
      <c r="O47" s="135">
        <f t="shared" si="33"/>
        <v>92807.107225511063</v>
      </c>
      <c r="P47" s="135">
        <f t="shared" si="33"/>
        <v>94506.985536150576</v>
      </c>
      <c r="Q47" s="135">
        <f t="shared" si="33"/>
        <v>96240.159482241477</v>
      </c>
      <c r="R47" s="135">
        <f t="shared" si="33"/>
        <v>98008.530038852652</v>
      </c>
      <c r="S47" s="135">
        <f t="shared" si="33"/>
        <v>99814.058867452928</v>
      </c>
      <c r="T47" s="135">
        <f t="shared" si="33"/>
        <v>101653.64793956153</v>
      </c>
      <c r="U47" s="135">
        <f t="shared" si="33"/>
        <v>103529.36545626936</v>
      </c>
      <c r="V47" s="135">
        <f t="shared" si="33"/>
        <v>105443.17872145836</v>
      </c>
      <c r="W47" s="135">
        <f t="shared" si="33"/>
        <v>107397.00808194307</v>
      </c>
      <c r="X47" s="135">
        <f t="shared" si="33"/>
        <v>109387.83467917856</v>
      </c>
      <c r="Y47" s="135">
        <f t="shared" si="33"/>
        <v>111420.28891609894</v>
      </c>
      <c r="Z47" s="135">
        <f t="shared" si="33"/>
        <v>113491.36169135338</v>
      </c>
      <c r="AA47" s="135">
        <f t="shared" si="33"/>
        <v>115605.71719129605</v>
      </c>
      <c r="AB47" s="135">
        <f t="shared" si="33"/>
        <v>117761.63408397988</v>
      </c>
      <c r="AC47" s="135">
        <f t="shared" si="33"/>
        <v>119960.03421036049</v>
      </c>
      <c r="AD47" s="135">
        <f t="shared" si="33"/>
        <v>122203.02892507089</v>
      </c>
      <c r="AE47" s="135">
        <f t="shared" si="33"/>
        <v>124490.2953564178</v>
      </c>
      <c r="AF47" s="135">
        <f t="shared" si="33"/>
        <v>126825.23478613766</v>
      </c>
      <c r="AG47" s="233"/>
      <c r="AH47" s="243" t="s">
        <v>173</v>
      </c>
      <c r="AI47" s="152"/>
    </row>
    <row r="48" spans="1:35" ht="15" customHeight="1" x14ac:dyDescent="0.25">
      <c r="A48" s="200" t="s">
        <v>163</v>
      </c>
      <c r="B48" s="203">
        <v>0.54</v>
      </c>
      <c r="C48" s="135">
        <v>0</v>
      </c>
      <c r="D48" s="135">
        <v>0</v>
      </c>
      <c r="E48" s="135">
        <v>0</v>
      </c>
      <c r="F48" s="218">
        <v>0</v>
      </c>
      <c r="G48" s="135">
        <f t="shared" ref="G48:AF48" si="34">$B$48*G43</f>
        <v>174349.74217207922</v>
      </c>
      <c r="H48" s="135">
        <f t="shared" si="34"/>
        <v>210614.35911632964</v>
      </c>
      <c r="I48" s="135">
        <f t="shared" si="34"/>
        <v>338726.85109875974</v>
      </c>
      <c r="J48" s="135">
        <f t="shared" si="34"/>
        <v>410993.48491626518</v>
      </c>
      <c r="K48" s="135">
        <f t="shared" si="34"/>
        <v>484700.2697381475</v>
      </c>
      <c r="L48" s="135">
        <f t="shared" si="34"/>
        <v>554415.62736764166</v>
      </c>
      <c r="M48" s="135">
        <f t="shared" si="34"/>
        <v>604171.54884391802</v>
      </c>
      <c r="N48" s="135">
        <f t="shared" si="34"/>
        <v>615193.56824789348</v>
      </c>
      <c r="O48" s="135">
        <f t="shared" si="34"/>
        <v>626447.97377219971</v>
      </c>
      <c r="P48" s="135">
        <f t="shared" si="34"/>
        <v>637922.15236901643</v>
      </c>
      <c r="Q48" s="135">
        <f t="shared" si="34"/>
        <v>649621.07650513004</v>
      </c>
      <c r="R48" s="135">
        <f t="shared" si="34"/>
        <v>661557.57776225545</v>
      </c>
      <c r="S48" s="135">
        <f t="shared" si="34"/>
        <v>673744.89735530736</v>
      </c>
      <c r="T48" s="135">
        <f t="shared" si="34"/>
        <v>686162.12359204039</v>
      </c>
      <c r="U48" s="135">
        <f t="shared" si="34"/>
        <v>698823.21682981809</v>
      </c>
      <c r="V48" s="135">
        <f t="shared" si="34"/>
        <v>711741.45636984392</v>
      </c>
      <c r="W48" s="135">
        <f t="shared" si="34"/>
        <v>724929.80455311586</v>
      </c>
      <c r="X48" s="135">
        <f t="shared" si="34"/>
        <v>738367.88408445532</v>
      </c>
      <c r="Y48" s="135">
        <f t="shared" si="34"/>
        <v>752086.95018366794</v>
      </c>
      <c r="Z48" s="135">
        <f t="shared" si="34"/>
        <v>766066.69141663529</v>
      </c>
      <c r="AA48" s="135">
        <f t="shared" si="34"/>
        <v>780338.59104124841</v>
      </c>
      <c r="AB48" s="135">
        <f t="shared" si="34"/>
        <v>794891.03006686422</v>
      </c>
      <c r="AC48" s="135">
        <f t="shared" si="34"/>
        <v>809730.23091993341</v>
      </c>
      <c r="AD48" s="135">
        <f t="shared" si="34"/>
        <v>824870.44524422858</v>
      </c>
      <c r="AE48" s="135">
        <f t="shared" si="34"/>
        <v>840309.49365582026</v>
      </c>
      <c r="AF48" s="135">
        <f t="shared" si="34"/>
        <v>856070.33480642922</v>
      </c>
      <c r="AG48" s="227" t="s">
        <v>185</v>
      </c>
      <c r="AH48" s="240" t="s">
        <v>188</v>
      </c>
      <c r="AI48" s="152"/>
    </row>
    <row r="49" spans="1:35" ht="15" customHeight="1" x14ac:dyDescent="0.25">
      <c r="A49" s="220" t="s">
        <v>160</v>
      </c>
      <c r="B49" s="221">
        <f>SUM(B46:B48)</f>
        <v>1</v>
      </c>
      <c r="C49" s="222">
        <f>SUM(C46:C48)</f>
        <v>0</v>
      </c>
      <c r="D49" s="222">
        <f t="shared" ref="D49:AF49" si="35">SUM(D46:D48)</f>
        <v>0</v>
      </c>
      <c r="E49" s="222">
        <f t="shared" si="35"/>
        <v>0</v>
      </c>
      <c r="F49" s="223">
        <f t="shared" si="35"/>
        <v>0</v>
      </c>
      <c r="G49" s="222">
        <f t="shared" si="35"/>
        <v>322869.8929112578</v>
      </c>
      <c r="H49" s="222">
        <f t="shared" si="35"/>
        <v>390026.59095616598</v>
      </c>
      <c r="I49" s="222">
        <f t="shared" si="35"/>
        <v>627271.94647918467</v>
      </c>
      <c r="J49" s="222">
        <f t="shared" si="35"/>
        <v>761099.04614123178</v>
      </c>
      <c r="K49" s="222">
        <f t="shared" si="35"/>
        <v>897593.09210768051</v>
      </c>
      <c r="L49" s="222">
        <f t="shared" si="35"/>
        <v>1026695.6062363735</v>
      </c>
      <c r="M49" s="222">
        <f t="shared" si="35"/>
        <v>1118836.2015628112</v>
      </c>
      <c r="N49" s="222">
        <f t="shared" si="35"/>
        <v>1139247.34860721</v>
      </c>
      <c r="O49" s="222">
        <f t="shared" si="35"/>
        <v>1160088.8403188884</v>
      </c>
      <c r="P49" s="222">
        <f t="shared" si="35"/>
        <v>1181337.3192018825</v>
      </c>
      <c r="Q49" s="222">
        <f t="shared" si="35"/>
        <v>1203001.9935280185</v>
      </c>
      <c r="R49" s="222">
        <f t="shared" si="35"/>
        <v>1225106.6254856582</v>
      </c>
      <c r="S49" s="222">
        <f t="shared" si="35"/>
        <v>1247675.7358431616</v>
      </c>
      <c r="T49" s="222">
        <f t="shared" si="35"/>
        <v>1270670.5992445191</v>
      </c>
      <c r="U49" s="222">
        <f t="shared" si="35"/>
        <v>1294117.0682033668</v>
      </c>
      <c r="V49" s="222">
        <f t="shared" si="35"/>
        <v>1318039.7340182294</v>
      </c>
      <c r="W49" s="222">
        <f t="shared" si="35"/>
        <v>1342462.6010242887</v>
      </c>
      <c r="X49" s="222">
        <f t="shared" si="35"/>
        <v>1367347.933489732</v>
      </c>
      <c r="Y49" s="222">
        <f t="shared" si="35"/>
        <v>1392753.6114512368</v>
      </c>
      <c r="Z49" s="222">
        <f t="shared" si="35"/>
        <v>1418642.0211419172</v>
      </c>
      <c r="AA49" s="222">
        <f t="shared" si="35"/>
        <v>1445071.4648912007</v>
      </c>
      <c r="AB49" s="222">
        <f t="shared" si="35"/>
        <v>1472020.4260497484</v>
      </c>
      <c r="AC49" s="222">
        <f t="shared" si="35"/>
        <v>1499500.4276295062</v>
      </c>
      <c r="AD49" s="222">
        <f t="shared" si="35"/>
        <v>1527537.8615633862</v>
      </c>
      <c r="AE49" s="222">
        <f t="shared" si="35"/>
        <v>1556128.6919552227</v>
      </c>
      <c r="AF49" s="222">
        <f t="shared" si="35"/>
        <v>1585315.434826721</v>
      </c>
      <c r="AG49" s="227"/>
      <c r="AH49" s="238"/>
      <c r="AI49" s="152"/>
    </row>
    <row r="50" spans="1:35" ht="8.1" customHeight="1" x14ac:dyDescent="0.25">
      <c r="A50" s="140"/>
      <c r="B50" s="101"/>
      <c r="C50" s="136"/>
      <c r="D50" s="136"/>
      <c r="E50" s="136"/>
      <c r="F50" s="205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227"/>
      <c r="AH50" s="238"/>
      <c r="AI50" s="152"/>
    </row>
    <row r="51" spans="1:35" ht="15" customHeight="1" x14ac:dyDescent="0.25">
      <c r="A51" s="150" t="str">
        <f>CONCATENATE("Increase in ",A4," General Fund Revenues")</f>
        <v>Increase in Del Rey Oaks General Fund Revenues</v>
      </c>
      <c r="B51" s="251" t="s">
        <v>198</v>
      </c>
      <c r="C51" s="136"/>
      <c r="D51" s="136"/>
      <c r="E51" s="136"/>
      <c r="F51" s="205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227"/>
      <c r="AH51" s="238"/>
      <c r="AI51" s="152"/>
    </row>
    <row r="52" spans="1:35" ht="30" customHeight="1" x14ac:dyDescent="0.25">
      <c r="A52" s="178" t="s">
        <v>199</v>
      </c>
      <c r="B52" s="252">
        <f>Scenarios!D7</f>
        <v>0.2</v>
      </c>
      <c r="C52" s="177">
        <v>0</v>
      </c>
      <c r="D52" s="177">
        <v>0</v>
      </c>
      <c r="E52" s="177">
        <f t="shared" ref="E52:AF52" si="36">E48*$B$52</f>
        <v>0</v>
      </c>
      <c r="F52" s="224">
        <f t="shared" si="36"/>
        <v>0</v>
      </c>
      <c r="G52" s="177">
        <f t="shared" si="36"/>
        <v>34869.948434415848</v>
      </c>
      <c r="H52" s="177">
        <f t="shared" si="36"/>
        <v>42122.87182326593</v>
      </c>
      <c r="I52" s="177">
        <f t="shared" si="36"/>
        <v>67745.370219751945</v>
      </c>
      <c r="J52" s="177">
        <f t="shared" si="36"/>
        <v>82198.696983253045</v>
      </c>
      <c r="K52" s="177">
        <f t="shared" si="36"/>
        <v>96940.053947629509</v>
      </c>
      <c r="L52" s="177">
        <f t="shared" si="36"/>
        <v>110883.12547352834</v>
      </c>
      <c r="M52" s="177">
        <f t="shared" si="36"/>
        <v>120834.30976878361</v>
      </c>
      <c r="N52" s="177">
        <f t="shared" si="36"/>
        <v>123038.7136495787</v>
      </c>
      <c r="O52" s="177">
        <f t="shared" si="36"/>
        <v>125289.59475443995</v>
      </c>
      <c r="P52" s="177">
        <f t="shared" si="36"/>
        <v>127584.4304738033</v>
      </c>
      <c r="Q52" s="177">
        <f t="shared" si="36"/>
        <v>129924.21530102601</v>
      </c>
      <c r="R52" s="177">
        <f t="shared" si="36"/>
        <v>132311.51555245111</v>
      </c>
      <c r="S52" s="177">
        <f t="shared" si="36"/>
        <v>134748.97947106147</v>
      </c>
      <c r="T52" s="177">
        <f t="shared" si="36"/>
        <v>137232.42471840809</v>
      </c>
      <c r="U52" s="177">
        <f t="shared" si="36"/>
        <v>139764.64336596362</v>
      </c>
      <c r="V52" s="177">
        <f t="shared" si="36"/>
        <v>142348.29127396879</v>
      </c>
      <c r="W52" s="177">
        <f t="shared" si="36"/>
        <v>144985.96091062317</v>
      </c>
      <c r="X52" s="177">
        <f t="shared" si="36"/>
        <v>147673.57681689106</v>
      </c>
      <c r="Y52" s="177">
        <f t="shared" si="36"/>
        <v>150417.39003673359</v>
      </c>
      <c r="Z52" s="177">
        <f t="shared" si="36"/>
        <v>153213.33828332706</v>
      </c>
      <c r="AA52" s="177">
        <f t="shared" si="36"/>
        <v>156067.71820824969</v>
      </c>
      <c r="AB52" s="177">
        <f t="shared" si="36"/>
        <v>158978.20601337287</v>
      </c>
      <c r="AC52" s="177">
        <f t="shared" si="36"/>
        <v>161946.04618398671</v>
      </c>
      <c r="AD52" s="177">
        <f t="shared" si="36"/>
        <v>164974.08904884572</v>
      </c>
      <c r="AE52" s="177">
        <f t="shared" si="36"/>
        <v>168061.89873116405</v>
      </c>
      <c r="AF52" s="177">
        <f t="shared" si="36"/>
        <v>171214.06696128586</v>
      </c>
      <c r="AG52" s="235" t="s">
        <v>186</v>
      </c>
      <c r="AH52" s="245" t="s">
        <v>187</v>
      </c>
      <c r="AI52" s="152"/>
    </row>
    <row r="53" spans="1:35" ht="15" hidden="1" customHeight="1" x14ac:dyDescent="0.25">
      <c r="A53" s="151" t="str">
        <f>CONCATENATE("Add Back In: 10% of Incremental FORA Share sent to ",A4)</f>
        <v>Add Back In: 10% of Incremental FORA Share sent to Del Rey Oaks</v>
      </c>
      <c r="B53" s="142"/>
      <c r="C53" s="145">
        <f t="shared" ref="C53:M53" si="37">-C40</f>
        <v>1082.0478723404256</v>
      </c>
      <c r="D53" s="145">
        <f t="shared" si="37"/>
        <v>10369.119319668085</v>
      </c>
      <c r="E53" s="145">
        <f t="shared" si="37"/>
        <v>22079.589386061449</v>
      </c>
      <c r="F53" s="211">
        <f t="shared" si="37"/>
        <v>29251.308213782668</v>
      </c>
      <c r="G53" s="145">
        <f t="shared" si="37"/>
        <v>36566.461418058323</v>
      </c>
      <c r="H53" s="145">
        <f t="shared" si="37"/>
        <v>44027.917686419496</v>
      </c>
      <c r="I53" s="145">
        <f t="shared" si="37"/>
        <v>70389.519880147884</v>
      </c>
      <c r="J53" s="145">
        <f t="shared" si="37"/>
        <v>85257.564357750845</v>
      </c>
      <c r="K53" s="145">
        <f t="shared" si="37"/>
        <v>100422.96972490587</v>
      </c>
      <c r="L53" s="145">
        <f t="shared" si="37"/>
        <v>114769.99535940397</v>
      </c>
      <c r="M53" s="145">
        <f t="shared" si="37"/>
        <v>125006.29694796589</v>
      </c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227" t="s">
        <v>148</v>
      </c>
      <c r="AH53" s="238"/>
      <c r="AI53" s="26"/>
    </row>
    <row r="54" spans="1:35" x14ac:dyDescent="0.25">
      <c r="A54" s="161" t="str">
        <f>CONCATENATE("Increase in Net Property Taxes Received by ",A4," General Fund")</f>
        <v>Increase in Net Property Taxes Received by Del Rey Oaks General Fund</v>
      </c>
      <c r="B54" s="161"/>
      <c r="C54" s="162">
        <f>C52</f>
        <v>0</v>
      </c>
      <c r="D54" s="351">
        <f t="shared" ref="D54:L54" si="38">D52</f>
        <v>0</v>
      </c>
      <c r="E54" s="351">
        <f t="shared" si="38"/>
        <v>0</v>
      </c>
      <c r="F54" s="307">
        <f t="shared" si="38"/>
        <v>0</v>
      </c>
      <c r="G54" s="162">
        <f t="shared" si="38"/>
        <v>34869.948434415848</v>
      </c>
      <c r="H54" s="162">
        <f t="shared" si="38"/>
        <v>42122.87182326593</v>
      </c>
      <c r="I54" s="162">
        <f t="shared" si="38"/>
        <v>67745.370219751945</v>
      </c>
      <c r="J54" s="162">
        <f t="shared" si="38"/>
        <v>82198.696983253045</v>
      </c>
      <c r="K54" s="162">
        <f t="shared" si="38"/>
        <v>96940.053947629509</v>
      </c>
      <c r="L54" s="162">
        <f t="shared" si="38"/>
        <v>110883.12547352834</v>
      </c>
      <c r="M54" s="162">
        <f>M52</f>
        <v>120834.30976878361</v>
      </c>
      <c r="N54" s="162">
        <f t="shared" ref="N54:AF54" si="39">N52</f>
        <v>123038.7136495787</v>
      </c>
      <c r="O54" s="162">
        <f t="shared" si="39"/>
        <v>125289.59475443995</v>
      </c>
      <c r="P54" s="162">
        <f t="shared" si="39"/>
        <v>127584.4304738033</v>
      </c>
      <c r="Q54" s="162">
        <f t="shared" si="39"/>
        <v>129924.21530102601</v>
      </c>
      <c r="R54" s="162">
        <f t="shared" si="39"/>
        <v>132311.51555245111</v>
      </c>
      <c r="S54" s="162">
        <f t="shared" si="39"/>
        <v>134748.97947106147</v>
      </c>
      <c r="T54" s="162">
        <f t="shared" si="39"/>
        <v>137232.42471840809</v>
      </c>
      <c r="U54" s="162">
        <f t="shared" si="39"/>
        <v>139764.64336596362</v>
      </c>
      <c r="V54" s="162">
        <f t="shared" si="39"/>
        <v>142348.29127396879</v>
      </c>
      <c r="W54" s="162">
        <f t="shared" si="39"/>
        <v>144985.96091062317</v>
      </c>
      <c r="X54" s="162">
        <f t="shared" si="39"/>
        <v>147673.57681689106</v>
      </c>
      <c r="Y54" s="162">
        <f t="shared" si="39"/>
        <v>150417.39003673359</v>
      </c>
      <c r="Z54" s="162">
        <f t="shared" si="39"/>
        <v>153213.33828332706</v>
      </c>
      <c r="AA54" s="162">
        <f t="shared" si="39"/>
        <v>156067.71820824969</v>
      </c>
      <c r="AB54" s="162">
        <f t="shared" si="39"/>
        <v>158978.20601337287</v>
      </c>
      <c r="AC54" s="162">
        <f t="shared" si="39"/>
        <v>161946.04618398671</v>
      </c>
      <c r="AD54" s="162">
        <f t="shared" si="39"/>
        <v>164974.08904884572</v>
      </c>
      <c r="AE54" s="162">
        <f t="shared" si="39"/>
        <v>168061.89873116405</v>
      </c>
      <c r="AF54" s="162">
        <f t="shared" si="39"/>
        <v>171214.06696128586</v>
      </c>
      <c r="AG54" s="335"/>
      <c r="AH54" s="240" t="s">
        <v>216</v>
      </c>
    </row>
    <row r="55" spans="1:35" x14ac:dyDescent="0.25">
      <c r="A55" s="1" t="s">
        <v>103</v>
      </c>
      <c r="C55" s="109">
        <f>NPV(Assumptions!D4,'3 - DRO'!D54:AF54)+'3 - DRO'!C54</f>
        <v>1562178.1331749412</v>
      </c>
      <c r="E55" s="80"/>
      <c r="AG55" s="227"/>
      <c r="AH55" s="238"/>
    </row>
    <row r="56" spans="1:35" x14ac:dyDescent="0.25">
      <c r="D56" s="80"/>
      <c r="AG56" s="227"/>
      <c r="AH56" s="238"/>
    </row>
    <row r="57" spans="1:35" x14ac:dyDescent="0.25">
      <c r="A57" s="19" t="s">
        <v>204</v>
      </c>
      <c r="D57" s="80"/>
      <c r="AG57" s="227"/>
      <c r="AH57" s="238"/>
    </row>
    <row r="58" spans="1:35" x14ac:dyDescent="0.25">
      <c r="A58" s="19" t="s">
        <v>201</v>
      </c>
      <c r="E58" s="80"/>
      <c r="AG58" s="227"/>
      <c r="AH58" s="238"/>
    </row>
    <row r="59" spans="1:35" x14ac:dyDescent="0.25">
      <c r="A59" s="19"/>
      <c r="AG59" s="227"/>
      <c r="AH59" s="238"/>
    </row>
    <row r="60" spans="1:35" ht="15.75" x14ac:dyDescent="0.25">
      <c r="A60" s="65"/>
      <c r="AG60" s="227"/>
      <c r="AH60" s="238"/>
    </row>
    <row r="61" spans="1:35" x14ac:dyDescent="0.25">
      <c r="AG61" s="227"/>
      <c r="AH61" s="238"/>
    </row>
    <row r="62" spans="1:35" x14ac:dyDescent="0.25">
      <c r="AG62" s="236"/>
      <c r="AH62" s="246"/>
    </row>
  </sheetData>
  <mergeCells count="5">
    <mergeCell ref="C6:D6"/>
    <mergeCell ref="E6:M6"/>
    <mergeCell ref="AH10:AH12"/>
    <mergeCell ref="AM24:AM25"/>
    <mergeCell ref="B38:B39"/>
  </mergeCells>
  <pageMargins left="0.25" right="0.25" top="0.75" bottom="0.75" header="0.3" footer="0.3"/>
  <pageSetup scale="55" orientation="landscape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AJ81"/>
  <sheetViews>
    <sheetView showGridLines="0" topLeftCell="A7" zoomScale="80" zoomScaleNormal="80" workbookViewId="0">
      <selection activeCell="A74" sqref="A74"/>
    </sheetView>
  </sheetViews>
  <sheetFormatPr defaultColWidth="8.85546875" defaultRowHeight="15" x14ac:dyDescent="0.25"/>
  <cols>
    <col min="1" max="1" width="68.7109375" customWidth="1"/>
    <col min="2" max="2" width="15.28515625" customWidth="1"/>
    <col min="3" max="32" width="13.28515625" customWidth="1"/>
    <col min="33" max="33" width="8.28515625" style="226" bestFit="1" customWidth="1"/>
    <col min="34" max="34" width="17.7109375" style="237" customWidth="1"/>
    <col min="35" max="35" width="13.85546875" customWidth="1"/>
    <col min="36" max="36" width="11.28515625" bestFit="1" customWidth="1"/>
  </cols>
  <sheetData>
    <row r="1" spans="1:36" ht="18.75" x14ac:dyDescent="0.3">
      <c r="A1" s="53" t="s">
        <v>56</v>
      </c>
    </row>
    <row r="2" spans="1:36" ht="18.75" x14ac:dyDescent="0.3">
      <c r="A2" s="54" t="s">
        <v>128</v>
      </c>
    </row>
    <row r="3" spans="1:36" ht="18.75" x14ac:dyDescent="0.3">
      <c r="A3" s="54"/>
    </row>
    <row r="4" spans="1:36" ht="18.75" x14ac:dyDescent="0.3">
      <c r="A4" s="160" t="s">
        <v>4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</row>
    <row r="5" spans="1:36" x14ac:dyDescent="0.25">
      <c r="A5" s="52"/>
      <c r="AI5" s="264"/>
    </row>
    <row r="6" spans="1:36" x14ac:dyDescent="0.25">
      <c r="A6" s="52"/>
      <c r="B6" s="257"/>
      <c r="C6" s="442" t="s">
        <v>59</v>
      </c>
      <c r="D6" s="442"/>
      <c r="E6" s="442"/>
      <c r="F6" s="442"/>
      <c r="G6" s="350" t="s">
        <v>60</v>
      </c>
      <c r="H6" s="350"/>
      <c r="I6" s="350"/>
      <c r="J6" s="350"/>
      <c r="K6" s="350"/>
      <c r="L6" s="350"/>
      <c r="M6" s="350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I6" s="265"/>
    </row>
    <row r="7" spans="1:36" x14ac:dyDescent="0.25">
      <c r="A7" s="258" t="s">
        <v>92</v>
      </c>
      <c r="B7" s="259" t="s">
        <v>9</v>
      </c>
      <c r="C7" s="339">
        <v>201819</v>
      </c>
      <c r="D7" s="339">
        <f t="shared" ref="D7:AF7" si="0">C7+101</f>
        <v>201920</v>
      </c>
      <c r="E7" s="339">
        <f t="shared" si="0"/>
        <v>202021</v>
      </c>
      <c r="F7" s="339">
        <f t="shared" si="0"/>
        <v>202122</v>
      </c>
      <c r="G7" s="337">
        <f t="shared" si="0"/>
        <v>202223</v>
      </c>
      <c r="H7" s="337">
        <f t="shared" si="0"/>
        <v>202324</v>
      </c>
      <c r="I7" s="337">
        <f t="shared" si="0"/>
        <v>202425</v>
      </c>
      <c r="J7" s="337">
        <f t="shared" si="0"/>
        <v>202526</v>
      </c>
      <c r="K7" s="337">
        <f>J7+101</f>
        <v>202627</v>
      </c>
      <c r="L7" s="337">
        <f t="shared" si="0"/>
        <v>202728</v>
      </c>
      <c r="M7" s="337">
        <f t="shared" si="0"/>
        <v>202829</v>
      </c>
      <c r="N7" s="337">
        <f t="shared" si="0"/>
        <v>202930</v>
      </c>
      <c r="O7" s="337">
        <f t="shared" si="0"/>
        <v>203031</v>
      </c>
      <c r="P7" s="337">
        <f t="shared" si="0"/>
        <v>203132</v>
      </c>
      <c r="Q7" s="337">
        <f t="shared" si="0"/>
        <v>203233</v>
      </c>
      <c r="R7" s="337">
        <f t="shared" si="0"/>
        <v>203334</v>
      </c>
      <c r="S7" s="337">
        <f t="shared" si="0"/>
        <v>203435</v>
      </c>
      <c r="T7" s="337">
        <f t="shared" si="0"/>
        <v>203536</v>
      </c>
      <c r="U7" s="337">
        <f t="shared" si="0"/>
        <v>203637</v>
      </c>
      <c r="V7" s="337">
        <f t="shared" si="0"/>
        <v>203738</v>
      </c>
      <c r="W7" s="337">
        <f t="shared" si="0"/>
        <v>203839</v>
      </c>
      <c r="X7" s="337">
        <f t="shared" si="0"/>
        <v>203940</v>
      </c>
      <c r="Y7" s="337">
        <f t="shared" si="0"/>
        <v>204041</v>
      </c>
      <c r="Z7" s="337">
        <f t="shared" si="0"/>
        <v>204142</v>
      </c>
      <c r="AA7" s="337">
        <f t="shared" si="0"/>
        <v>204243</v>
      </c>
      <c r="AB7" s="337">
        <f t="shared" si="0"/>
        <v>204344</v>
      </c>
      <c r="AC7" s="337">
        <f t="shared" si="0"/>
        <v>204445</v>
      </c>
      <c r="AD7" s="337">
        <f t="shared" si="0"/>
        <v>204546</v>
      </c>
      <c r="AE7" s="337">
        <f t="shared" si="0"/>
        <v>204647</v>
      </c>
      <c r="AF7" s="337">
        <f t="shared" si="0"/>
        <v>204748</v>
      </c>
      <c r="AG7" s="227"/>
      <c r="AH7" s="238"/>
      <c r="AI7" s="265"/>
    </row>
    <row r="8" spans="1:36" x14ac:dyDescent="0.25">
      <c r="A8" s="139" t="s">
        <v>43</v>
      </c>
      <c r="B8" s="260">
        <v>533000</v>
      </c>
      <c r="C8" s="247">
        <v>192</v>
      </c>
      <c r="D8" s="247">
        <v>235</v>
      </c>
      <c r="E8" s="137">
        <v>120</v>
      </c>
      <c r="F8" s="137">
        <v>120</v>
      </c>
      <c r="G8" s="381">
        <v>120</v>
      </c>
      <c r="H8" s="137">
        <v>120</v>
      </c>
      <c r="I8" s="137">
        <v>82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60">
        <v>0</v>
      </c>
      <c r="AD8" s="60">
        <v>0</v>
      </c>
      <c r="AE8" s="60">
        <v>0</v>
      </c>
      <c r="AF8" s="60">
        <v>0</v>
      </c>
      <c r="AG8" s="227"/>
      <c r="AH8" s="238"/>
      <c r="AI8" s="265"/>
    </row>
    <row r="9" spans="1:36" x14ac:dyDescent="0.25">
      <c r="A9" s="139" t="s">
        <v>44</v>
      </c>
      <c r="B9" s="261">
        <v>220</v>
      </c>
      <c r="C9" s="247">
        <v>0</v>
      </c>
      <c r="D9" s="247">
        <v>23000</v>
      </c>
      <c r="E9" s="137">
        <v>24000</v>
      </c>
      <c r="F9" s="137">
        <v>24000</v>
      </c>
      <c r="G9" s="381">
        <v>0</v>
      </c>
      <c r="H9" s="137">
        <v>0</v>
      </c>
      <c r="I9" s="137">
        <v>0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60">
        <v>0</v>
      </c>
      <c r="AD9" s="60">
        <v>0</v>
      </c>
      <c r="AE9" s="60">
        <v>0</v>
      </c>
      <c r="AF9" s="60">
        <v>0</v>
      </c>
      <c r="AG9" s="227"/>
      <c r="AH9" s="238"/>
      <c r="AI9" s="265"/>
    </row>
    <row r="10" spans="1:36" x14ac:dyDescent="0.25">
      <c r="A10" s="139" t="s">
        <v>45</v>
      </c>
      <c r="B10" s="261">
        <v>90</v>
      </c>
      <c r="C10" s="247">
        <v>0</v>
      </c>
      <c r="D10" s="247">
        <v>0</v>
      </c>
      <c r="E10" s="137">
        <v>0</v>
      </c>
      <c r="F10" s="137">
        <v>0</v>
      </c>
      <c r="G10" s="381">
        <v>0</v>
      </c>
      <c r="H10" s="137">
        <v>0</v>
      </c>
      <c r="I10" s="137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C10" s="60">
        <v>0</v>
      </c>
      <c r="AD10" s="60">
        <v>0</v>
      </c>
      <c r="AE10" s="60">
        <v>0</v>
      </c>
      <c r="AF10" s="60">
        <v>0</v>
      </c>
      <c r="AG10" s="334"/>
      <c r="AH10" s="444" t="s">
        <v>197</v>
      </c>
      <c r="AI10" s="265"/>
    </row>
    <row r="11" spans="1:36" ht="15" customHeight="1" x14ac:dyDescent="0.25">
      <c r="A11" s="139" t="s">
        <v>46</v>
      </c>
      <c r="B11" s="261">
        <v>265</v>
      </c>
      <c r="C11" s="247">
        <v>0</v>
      </c>
      <c r="D11" s="247">
        <v>20000</v>
      </c>
      <c r="E11" s="137">
        <v>12000</v>
      </c>
      <c r="F11" s="137">
        <v>10000</v>
      </c>
      <c r="G11" s="381">
        <v>0</v>
      </c>
      <c r="H11" s="137">
        <v>0</v>
      </c>
      <c r="I11" s="137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60">
        <v>0</v>
      </c>
      <c r="AD11" s="60">
        <v>0</v>
      </c>
      <c r="AE11" s="60">
        <v>0</v>
      </c>
      <c r="AF11" s="60">
        <v>0</v>
      </c>
      <c r="AG11" s="334"/>
      <c r="AH11" s="444"/>
      <c r="AI11" s="143"/>
      <c r="AJ11" s="80"/>
    </row>
    <row r="12" spans="1:36" x14ac:dyDescent="0.25">
      <c r="A12" s="139" t="s">
        <v>47</v>
      </c>
      <c r="B12" s="262">
        <v>162000</v>
      </c>
      <c r="C12" s="249">
        <v>0</v>
      </c>
      <c r="D12" s="249">
        <v>0</v>
      </c>
      <c r="E12" s="137">
        <v>0</v>
      </c>
      <c r="F12" s="138">
        <v>0</v>
      </c>
      <c r="G12" s="382">
        <v>0</v>
      </c>
      <c r="H12" s="138">
        <v>0</v>
      </c>
      <c r="I12" s="138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334" t="s">
        <v>189</v>
      </c>
      <c r="AH12" s="444"/>
      <c r="AI12" s="152"/>
    </row>
    <row r="13" spans="1:36" x14ac:dyDescent="0.25">
      <c r="A13" s="37" t="s">
        <v>49</v>
      </c>
      <c r="B13" s="24"/>
      <c r="C13" s="318">
        <v>55181490</v>
      </c>
      <c r="D13" s="136">
        <v>64724916</v>
      </c>
      <c r="E13" s="302">
        <f>SUMPRODUCT($B$8:$B$12,E8:E12)</f>
        <v>72420000</v>
      </c>
      <c r="F13" s="147">
        <f t="shared" ref="F13:L13" si="1">SUMPRODUCT($B$8:$B$12,F8:F12)</f>
        <v>71890000</v>
      </c>
      <c r="G13" s="383">
        <f t="shared" si="1"/>
        <v>63960000</v>
      </c>
      <c r="H13" s="147">
        <f t="shared" si="1"/>
        <v>63960000</v>
      </c>
      <c r="I13" s="147">
        <f t="shared" si="1"/>
        <v>43706000</v>
      </c>
      <c r="J13" s="147">
        <f t="shared" si="1"/>
        <v>0</v>
      </c>
      <c r="K13" s="147">
        <f t="shared" si="1"/>
        <v>0</v>
      </c>
      <c r="L13" s="147">
        <f t="shared" si="1"/>
        <v>0</v>
      </c>
      <c r="M13" s="147">
        <f>SUMPRODUCT($B$8:$B$12,M8:M12)</f>
        <v>0</v>
      </c>
      <c r="N13" s="147">
        <f t="shared" ref="N13:AF13" si="2">SUMPRODUCT($B$8:$B$12,N8:N12)</f>
        <v>0</v>
      </c>
      <c r="O13" s="147">
        <f t="shared" si="2"/>
        <v>0</v>
      </c>
      <c r="P13" s="147">
        <f t="shared" si="2"/>
        <v>0</v>
      </c>
      <c r="Q13" s="147">
        <f t="shared" si="2"/>
        <v>0</v>
      </c>
      <c r="R13" s="147">
        <f t="shared" si="2"/>
        <v>0</v>
      </c>
      <c r="S13" s="147">
        <f t="shared" si="2"/>
        <v>0</v>
      </c>
      <c r="T13" s="147">
        <f t="shared" si="2"/>
        <v>0</v>
      </c>
      <c r="U13" s="147">
        <f t="shared" si="2"/>
        <v>0</v>
      </c>
      <c r="V13" s="147">
        <f t="shared" si="2"/>
        <v>0</v>
      </c>
      <c r="W13" s="147">
        <f t="shared" si="2"/>
        <v>0</v>
      </c>
      <c r="X13" s="147">
        <f t="shared" si="2"/>
        <v>0</v>
      </c>
      <c r="Y13" s="147">
        <f t="shared" si="2"/>
        <v>0</v>
      </c>
      <c r="Z13" s="147">
        <f t="shared" si="2"/>
        <v>0</v>
      </c>
      <c r="AA13" s="147">
        <f t="shared" si="2"/>
        <v>0</v>
      </c>
      <c r="AB13" s="147">
        <f t="shared" si="2"/>
        <v>0</v>
      </c>
      <c r="AC13" s="147">
        <f t="shared" si="2"/>
        <v>0</v>
      </c>
      <c r="AD13" s="147">
        <f t="shared" si="2"/>
        <v>0</v>
      </c>
      <c r="AE13" s="147">
        <f t="shared" si="2"/>
        <v>0</v>
      </c>
      <c r="AF13" s="147">
        <f t="shared" si="2"/>
        <v>0</v>
      </c>
      <c r="AG13" s="229" t="s">
        <v>143</v>
      </c>
      <c r="AH13" s="239"/>
      <c r="AI13" s="143"/>
      <c r="AJ13" s="24"/>
    </row>
    <row r="14" spans="1:36" x14ac:dyDescent="0.25">
      <c r="A14" t="s">
        <v>97</v>
      </c>
      <c r="C14" s="319">
        <f>C16-C13-C15</f>
        <v>297505879.83759463</v>
      </c>
      <c r="D14" s="136">
        <f>C16</f>
        <v>358142355</v>
      </c>
      <c r="E14" s="175">
        <f>D16</f>
        <v>430030118.10000002</v>
      </c>
      <c r="F14" s="144">
        <f>E16</f>
        <v>511050720.46200001</v>
      </c>
      <c r="G14" s="354">
        <f t="shared" ref="G14:L14" si="3">F16</f>
        <v>593161734.87124002</v>
      </c>
      <c r="H14" s="144">
        <f t="shared" si="3"/>
        <v>668984969.56866479</v>
      </c>
      <c r="I14" s="144">
        <f t="shared" si="3"/>
        <v>746324668.96003807</v>
      </c>
      <c r="J14" s="144">
        <f t="shared" si="3"/>
        <v>804957162.33923888</v>
      </c>
      <c r="K14" s="144">
        <f t="shared" si="3"/>
        <v>821056305.58602369</v>
      </c>
      <c r="L14" s="144">
        <f t="shared" si="3"/>
        <v>837477431.69774413</v>
      </c>
      <c r="M14" s="144">
        <f>L16</f>
        <v>854226980.33169901</v>
      </c>
      <c r="N14" s="144">
        <f t="shared" ref="N14:AF14" si="4">M16</f>
        <v>871311519.93833303</v>
      </c>
      <c r="O14" s="144">
        <f t="shared" si="4"/>
        <v>888737750.33709967</v>
      </c>
      <c r="P14" s="144">
        <f t="shared" si="4"/>
        <v>906512505.34384167</v>
      </c>
      <c r="Q14" s="144">
        <f t="shared" si="4"/>
        <v>924642755.45071852</v>
      </c>
      <c r="R14" s="144">
        <f t="shared" si="4"/>
        <v>943135610.55973291</v>
      </c>
      <c r="S14" s="144">
        <f t="shared" si="4"/>
        <v>961998322.77092755</v>
      </c>
      <c r="T14" s="144">
        <f t="shared" si="4"/>
        <v>981238289.22634614</v>
      </c>
      <c r="U14" s="144">
        <f t="shared" si="4"/>
        <v>1000863055.0108731</v>
      </c>
      <c r="V14" s="144">
        <f t="shared" si="4"/>
        <v>1020880316.1110905</v>
      </c>
      <c r="W14" s="144">
        <f t="shared" si="4"/>
        <v>1041297922.4333123</v>
      </c>
      <c r="X14" s="144">
        <f t="shared" si="4"/>
        <v>1062123880.8819785</v>
      </c>
      <c r="Y14" s="144">
        <f t="shared" si="4"/>
        <v>1083366358.4996181</v>
      </c>
      <c r="Z14" s="144">
        <f t="shared" si="4"/>
        <v>1105033685.6696105</v>
      </c>
      <c r="AA14" s="144">
        <f t="shared" si="4"/>
        <v>1127134359.3830028</v>
      </c>
      <c r="AB14" s="144">
        <f t="shared" si="4"/>
        <v>1149677046.5706627</v>
      </c>
      <c r="AC14" s="144">
        <f t="shared" si="4"/>
        <v>1172670587.5020759</v>
      </c>
      <c r="AD14" s="144">
        <f t="shared" si="4"/>
        <v>1196123999.2521174</v>
      </c>
      <c r="AE14" s="144">
        <f t="shared" si="4"/>
        <v>1220046479.2371597</v>
      </c>
      <c r="AF14" s="144">
        <f t="shared" si="4"/>
        <v>1244447408.821903</v>
      </c>
      <c r="AG14" s="227" t="s">
        <v>145</v>
      </c>
      <c r="AH14" s="238"/>
      <c r="AI14" s="152"/>
    </row>
    <row r="15" spans="1:36" x14ac:dyDescent="0.25">
      <c r="A15" t="s">
        <v>94</v>
      </c>
      <c r="B15" s="8"/>
      <c r="C15" s="320">
        <v>5454985.1624053884</v>
      </c>
      <c r="D15" s="132">
        <f>D14*0.02</f>
        <v>7162847.1000000006</v>
      </c>
      <c r="E15" s="136">
        <f t="shared" ref="E15:L15" si="5">E14*0.02</f>
        <v>8600602.3619999997</v>
      </c>
      <c r="F15" s="132">
        <f t="shared" si="5"/>
        <v>10221014.40924</v>
      </c>
      <c r="G15" s="355">
        <f t="shared" si="5"/>
        <v>11863234.697424801</v>
      </c>
      <c r="H15" s="132">
        <f t="shared" si="5"/>
        <v>13379699.391373295</v>
      </c>
      <c r="I15" s="132">
        <f t="shared" si="5"/>
        <v>14926493.379200762</v>
      </c>
      <c r="J15" s="132">
        <f t="shared" si="5"/>
        <v>16099143.246784778</v>
      </c>
      <c r="K15" s="132">
        <f t="shared" si="5"/>
        <v>16421126.111720474</v>
      </c>
      <c r="L15" s="132">
        <f t="shared" si="5"/>
        <v>16749548.633954883</v>
      </c>
      <c r="M15" s="132">
        <f>M14*0.02</f>
        <v>17084539.60663398</v>
      </c>
      <c r="N15" s="132">
        <f t="shared" ref="N15:AF15" si="6">N14*0.02</f>
        <v>17426230.398766659</v>
      </c>
      <c r="O15" s="132">
        <f t="shared" si="6"/>
        <v>17774755.006741993</v>
      </c>
      <c r="P15" s="132">
        <f t="shared" si="6"/>
        <v>18130250.106876835</v>
      </c>
      <c r="Q15" s="132">
        <f t="shared" si="6"/>
        <v>18492855.10901437</v>
      </c>
      <c r="R15" s="132">
        <f t="shared" si="6"/>
        <v>18862712.211194661</v>
      </c>
      <c r="S15" s="132">
        <f t="shared" si="6"/>
        <v>19239966.455418553</v>
      </c>
      <c r="T15" s="132">
        <f t="shared" si="6"/>
        <v>19624765.784526922</v>
      </c>
      <c r="U15" s="132">
        <f t="shared" si="6"/>
        <v>20017261.100217462</v>
      </c>
      <c r="V15" s="132">
        <f t="shared" si="6"/>
        <v>20417606.322221812</v>
      </c>
      <c r="W15" s="132">
        <f t="shared" si="6"/>
        <v>20825958.448666245</v>
      </c>
      <c r="X15" s="132">
        <f t="shared" si="6"/>
        <v>21242477.617639571</v>
      </c>
      <c r="Y15" s="132">
        <f t="shared" si="6"/>
        <v>21667327.169992361</v>
      </c>
      <c r="Z15" s="132">
        <f t="shared" si="6"/>
        <v>22100673.713392209</v>
      </c>
      <c r="AA15" s="132">
        <f t="shared" si="6"/>
        <v>22542687.187660057</v>
      </c>
      <c r="AB15" s="132">
        <f t="shared" si="6"/>
        <v>22993540.931413256</v>
      </c>
      <c r="AC15" s="132">
        <f t="shared" si="6"/>
        <v>23453411.750041518</v>
      </c>
      <c r="AD15" s="132">
        <f t="shared" si="6"/>
        <v>23922479.985042349</v>
      </c>
      <c r="AE15" s="132">
        <f t="shared" si="6"/>
        <v>24400929.584743194</v>
      </c>
      <c r="AF15" s="132">
        <f t="shared" si="6"/>
        <v>24888948.17643806</v>
      </c>
      <c r="AG15" s="227" t="s">
        <v>146</v>
      </c>
      <c r="AH15" s="238"/>
      <c r="AI15" s="152"/>
    </row>
    <row r="16" spans="1:36" x14ac:dyDescent="0.25">
      <c r="A16" t="s">
        <v>203</v>
      </c>
      <c r="C16" s="82">
        <f>C20/B20</f>
        <v>358142355</v>
      </c>
      <c r="D16" s="173">
        <f>D13+D14+D15</f>
        <v>430030118.10000002</v>
      </c>
      <c r="E16" s="303">
        <f t="shared" ref="E16:AF16" si="7">E13+E14+E15</f>
        <v>511050720.46200001</v>
      </c>
      <c r="F16" s="82">
        <f t="shared" si="7"/>
        <v>593161734.87124002</v>
      </c>
      <c r="G16" s="346">
        <f t="shared" si="7"/>
        <v>668984969.56866479</v>
      </c>
      <c r="H16" s="82">
        <f t="shared" si="7"/>
        <v>746324668.96003807</v>
      </c>
      <c r="I16" s="82">
        <f t="shared" si="7"/>
        <v>804957162.33923888</v>
      </c>
      <c r="J16" s="82">
        <f t="shared" si="7"/>
        <v>821056305.58602369</v>
      </c>
      <c r="K16" s="82">
        <f t="shared" si="7"/>
        <v>837477431.69774413</v>
      </c>
      <c r="L16" s="82">
        <f t="shared" si="7"/>
        <v>854226980.33169901</v>
      </c>
      <c r="M16" s="82">
        <f t="shared" si="7"/>
        <v>871311519.93833303</v>
      </c>
      <c r="N16" s="82">
        <f t="shared" si="7"/>
        <v>888737750.33709967</v>
      </c>
      <c r="O16" s="82">
        <f t="shared" si="7"/>
        <v>906512505.34384167</v>
      </c>
      <c r="P16" s="82">
        <f t="shared" si="7"/>
        <v>924642755.45071852</v>
      </c>
      <c r="Q16" s="82">
        <f t="shared" si="7"/>
        <v>943135610.55973291</v>
      </c>
      <c r="R16" s="82">
        <f t="shared" si="7"/>
        <v>961998322.77092755</v>
      </c>
      <c r="S16" s="82">
        <f t="shared" si="7"/>
        <v>981238289.22634614</v>
      </c>
      <c r="T16" s="82">
        <f t="shared" si="7"/>
        <v>1000863055.0108731</v>
      </c>
      <c r="U16" s="82">
        <f t="shared" si="7"/>
        <v>1020880316.1110905</v>
      </c>
      <c r="V16" s="82">
        <f t="shared" si="7"/>
        <v>1041297922.4333123</v>
      </c>
      <c r="W16" s="82">
        <f t="shared" si="7"/>
        <v>1062123880.8819785</v>
      </c>
      <c r="X16" s="82">
        <f t="shared" si="7"/>
        <v>1083366358.4996181</v>
      </c>
      <c r="Y16" s="82">
        <f t="shared" si="7"/>
        <v>1105033685.6696105</v>
      </c>
      <c r="Z16" s="82">
        <f t="shared" si="7"/>
        <v>1127134359.3830028</v>
      </c>
      <c r="AA16" s="82">
        <f t="shared" si="7"/>
        <v>1149677046.5706627</v>
      </c>
      <c r="AB16" s="82">
        <f t="shared" si="7"/>
        <v>1172670587.5020759</v>
      </c>
      <c r="AC16" s="82">
        <f t="shared" si="7"/>
        <v>1196123999.2521174</v>
      </c>
      <c r="AD16" s="82">
        <f t="shared" si="7"/>
        <v>1220046479.2371597</v>
      </c>
      <c r="AE16" s="82">
        <f t="shared" si="7"/>
        <v>1244447408.821903</v>
      </c>
      <c r="AF16" s="82">
        <f t="shared" si="7"/>
        <v>1269336356.9983411</v>
      </c>
      <c r="AG16" s="335" t="s">
        <v>176</v>
      </c>
      <c r="AH16" s="240" t="s">
        <v>190</v>
      </c>
      <c r="AI16" s="152"/>
    </row>
    <row r="17" spans="1:35" x14ac:dyDescent="0.25">
      <c r="A17" t="s">
        <v>12</v>
      </c>
      <c r="C17" s="146">
        <f t="shared" ref="C17:AF17" si="8">-$B$6</f>
        <v>0</v>
      </c>
      <c r="D17" s="146">
        <f t="shared" si="8"/>
        <v>0</v>
      </c>
      <c r="E17" s="69">
        <f t="shared" si="8"/>
        <v>0</v>
      </c>
      <c r="F17" s="56">
        <f t="shared" si="8"/>
        <v>0</v>
      </c>
      <c r="G17" s="356">
        <f t="shared" si="8"/>
        <v>0</v>
      </c>
      <c r="H17" s="56">
        <f t="shared" si="8"/>
        <v>0</v>
      </c>
      <c r="I17" s="56">
        <f t="shared" si="8"/>
        <v>0</v>
      </c>
      <c r="J17" s="56">
        <f t="shared" si="8"/>
        <v>0</v>
      </c>
      <c r="K17" s="56">
        <f t="shared" si="8"/>
        <v>0</v>
      </c>
      <c r="L17" s="56">
        <f t="shared" si="8"/>
        <v>0</v>
      </c>
      <c r="M17" s="56">
        <f t="shared" si="8"/>
        <v>0</v>
      </c>
      <c r="N17" s="56">
        <f t="shared" si="8"/>
        <v>0</v>
      </c>
      <c r="O17" s="56">
        <f t="shared" si="8"/>
        <v>0</v>
      </c>
      <c r="P17" s="56">
        <f t="shared" si="8"/>
        <v>0</v>
      </c>
      <c r="Q17" s="56">
        <f t="shared" si="8"/>
        <v>0</v>
      </c>
      <c r="R17" s="56">
        <f t="shared" si="8"/>
        <v>0</v>
      </c>
      <c r="S17" s="56">
        <f t="shared" si="8"/>
        <v>0</v>
      </c>
      <c r="T17" s="56">
        <f t="shared" si="8"/>
        <v>0</v>
      </c>
      <c r="U17" s="56">
        <f t="shared" si="8"/>
        <v>0</v>
      </c>
      <c r="V17" s="56">
        <f t="shared" si="8"/>
        <v>0</v>
      </c>
      <c r="W17" s="56">
        <f t="shared" si="8"/>
        <v>0</v>
      </c>
      <c r="X17" s="56">
        <f t="shared" si="8"/>
        <v>0</v>
      </c>
      <c r="Y17" s="56">
        <f t="shared" si="8"/>
        <v>0</v>
      </c>
      <c r="Z17" s="56">
        <f t="shared" si="8"/>
        <v>0</v>
      </c>
      <c r="AA17" s="56">
        <f t="shared" si="8"/>
        <v>0</v>
      </c>
      <c r="AB17" s="56">
        <f t="shared" si="8"/>
        <v>0</v>
      </c>
      <c r="AC17" s="56">
        <f t="shared" si="8"/>
        <v>0</v>
      </c>
      <c r="AD17" s="56">
        <f t="shared" si="8"/>
        <v>0</v>
      </c>
      <c r="AE17" s="56">
        <f t="shared" si="8"/>
        <v>0</v>
      </c>
      <c r="AF17" s="56">
        <f t="shared" si="8"/>
        <v>0</v>
      </c>
      <c r="AG17" s="227" t="s">
        <v>144</v>
      </c>
      <c r="AH17" s="238" t="s">
        <v>144</v>
      </c>
      <c r="AI17" s="152"/>
    </row>
    <row r="18" spans="1:35" x14ac:dyDescent="0.25">
      <c r="A18" s="1" t="s">
        <v>51</v>
      </c>
      <c r="C18" s="96">
        <f>C20/B20</f>
        <v>358142355</v>
      </c>
      <c r="D18" s="299">
        <f t="shared" ref="D18:AF18" si="9">SUM(D16:D17)</f>
        <v>430030118.10000002</v>
      </c>
      <c r="E18" s="353">
        <f t="shared" si="9"/>
        <v>511050720.46200001</v>
      </c>
      <c r="F18" s="70">
        <f t="shared" si="9"/>
        <v>593161734.87124002</v>
      </c>
      <c r="G18" s="357">
        <f t="shared" si="9"/>
        <v>668984969.56866479</v>
      </c>
      <c r="H18" s="70">
        <f t="shared" si="9"/>
        <v>746324668.96003807</v>
      </c>
      <c r="I18" s="70">
        <f t="shared" si="9"/>
        <v>804957162.33923888</v>
      </c>
      <c r="J18" s="70">
        <f t="shared" si="9"/>
        <v>821056305.58602369</v>
      </c>
      <c r="K18" s="70">
        <f t="shared" si="9"/>
        <v>837477431.69774413</v>
      </c>
      <c r="L18" s="70">
        <f t="shared" si="9"/>
        <v>854226980.33169901</v>
      </c>
      <c r="M18" s="70">
        <f t="shared" si="9"/>
        <v>871311519.93833303</v>
      </c>
      <c r="N18" s="70">
        <f t="shared" si="9"/>
        <v>888737750.33709967</v>
      </c>
      <c r="O18" s="70">
        <f t="shared" si="9"/>
        <v>906512505.34384167</v>
      </c>
      <c r="P18" s="70">
        <f t="shared" si="9"/>
        <v>924642755.45071852</v>
      </c>
      <c r="Q18" s="70">
        <f t="shared" si="9"/>
        <v>943135610.55973291</v>
      </c>
      <c r="R18" s="70">
        <f t="shared" si="9"/>
        <v>961998322.77092755</v>
      </c>
      <c r="S18" s="70">
        <f t="shared" si="9"/>
        <v>981238289.22634614</v>
      </c>
      <c r="T18" s="70">
        <f t="shared" si="9"/>
        <v>1000863055.0108731</v>
      </c>
      <c r="U18" s="70">
        <f t="shared" si="9"/>
        <v>1020880316.1110905</v>
      </c>
      <c r="V18" s="70">
        <f t="shared" si="9"/>
        <v>1041297922.4333123</v>
      </c>
      <c r="W18" s="70">
        <f t="shared" si="9"/>
        <v>1062123880.8819785</v>
      </c>
      <c r="X18" s="70">
        <f t="shared" si="9"/>
        <v>1083366358.4996181</v>
      </c>
      <c r="Y18" s="70">
        <f t="shared" si="9"/>
        <v>1105033685.6696105</v>
      </c>
      <c r="Z18" s="70">
        <f t="shared" si="9"/>
        <v>1127134359.3830028</v>
      </c>
      <c r="AA18" s="70">
        <f t="shared" si="9"/>
        <v>1149677046.5706627</v>
      </c>
      <c r="AB18" s="70">
        <f t="shared" si="9"/>
        <v>1172670587.5020759</v>
      </c>
      <c r="AC18" s="70">
        <f t="shared" si="9"/>
        <v>1196123999.2521174</v>
      </c>
      <c r="AD18" s="70">
        <f t="shared" si="9"/>
        <v>1220046479.2371597</v>
      </c>
      <c r="AE18" s="70">
        <f t="shared" si="9"/>
        <v>1244447408.821903</v>
      </c>
      <c r="AF18" s="70">
        <f t="shared" si="9"/>
        <v>1269336356.9983411</v>
      </c>
      <c r="AG18" s="227" t="s">
        <v>177</v>
      </c>
      <c r="AH18" s="238" t="s">
        <v>191</v>
      </c>
      <c r="AI18" s="152"/>
    </row>
    <row r="19" spans="1:35" ht="8.1" customHeight="1" x14ac:dyDescent="0.25">
      <c r="C19" s="82"/>
      <c r="D19" s="173"/>
      <c r="E19" s="69"/>
      <c r="F19" s="68"/>
      <c r="G19" s="35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227"/>
      <c r="AH19" s="238"/>
      <c r="AI19" s="152"/>
    </row>
    <row r="20" spans="1:35" x14ac:dyDescent="0.25">
      <c r="A20" t="s">
        <v>42</v>
      </c>
      <c r="B20" s="253">
        <v>0.01</v>
      </c>
      <c r="C20" s="82">
        <v>3581423.55</v>
      </c>
      <c r="D20" s="173">
        <f>D18*B20</f>
        <v>4300301.1809999999</v>
      </c>
      <c r="E20" s="69">
        <f t="shared" ref="E20:L20" si="10">1%*E18</f>
        <v>5110507.20462</v>
      </c>
      <c r="F20" s="68">
        <f t="shared" si="10"/>
        <v>5931617.3487124005</v>
      </c>
      <c r="G20" s="358">
        <f t="shared" si="10"/>
        <v>6689849.6956866477</v>
      </c>
      <c r="H20" s="68">
        <f t="shared" si="10"/>
        <v>7463246.6896003811</v>
      </c>
      <c r="I20" s="68">
        <f t="shared" si="10"/>
        <v>8049571.6233923892</v>
      </c>
      <c r="J20" s="68">
        <f t="shared" si="10"/>
        <v>8210563.0558602372</v>
      </c>
      <c r="K20" s="68">
        <f t="shared" si="10"/>
        <v>8374774.3169774413</v>
      </c>
      <c r="L20" s="68">
        <f t="shared" si="10"/>
        <v>8542269.8033169899</v>
      </c>
      <c r="M20" s="68">
        <f>1%*M18</f>
        <v>8713115.1993833296</v>
      </c>
      <c r="N20" s="68">
        <f t="shared" ref="N20:AF20" si="11">1%*N18</f>
        <v>8887377.5033709966</v>
      </c>
      <c r="O20" s="68">
        <f t="shared" si="11"/>
        <v>9065125.0534384176</v>
      </c>
      <c r="P20" s="68">
        <f t="shared" si="11"/>
        <v>9246427.5545071848</v>
      </c>
      <c r="Q20" s="68">
        <f t="shared" si="11"/>
        <v>9431356.1055973303</v>
      </c>
      <c r="R20" s="68">
        <f t="shared" si="11"/>
        <v>9619983.2277092766</v>
      </c>
      <c r="S20" s="68">
        <f t="shared" si="11"/>
        <v>9812382.8922634609</v>
      </c>
      <c r="T20" s="68">
        <f t="shared" si="11"/>
        <v>10008630.550108731</v>
      </c>
      <c r="U20" s="68">
        <f t="shared" si="11"/>
        <v>10208803.161110906</v>
      </c>
      <c r="V20" s="68">
        <f t="shared" si="11"/>
        <v>10412979.224333122</v>
      </c>
      <c r="W20" s="68">
        <f t="shared" si="11"/>
        <v>10621238.808819786</v>
      </c>
      <c r="X20" s="68">
        <f t="shared" si="11"/>
        <v>10833663.584996181</v>
      </c>
      <c r="Y20" s="68">
        <f t="shared" si="11"/>
        <v>11050336.856696105</v>
      </c>
      <c r="Z20" s="68">
        <f t="shared" si="11"/>
        <v>11271343.593830029</v>
      </c>
      <c r="AA20" s="68">
        <f t="shared" si="11"/>
        <v>11496770.465706628</v>
      </c>
      <c r="AB20" s="68">
        <f t="shared" si="11"/>
        <v>11726705.875020759</v>
      </c>
      <c r="AC20" s="68">
        <f t="shared" si="11"/>
        <v>11961239.992521174</v>
      </c>
      <c r="AD20" s="68">
        <f t="shared" si="11"/>
        <v>12200464.792371597</v>
      </c>
      <c r="AE20" s="68">
        <f t="shared" si="11"/>
        <v>12444474.08821903</v>
      </c>
      <c r="AF20" s="68">
        <f t="shared" si="11"/>
        <v>12693363.569983412</v>
      </c>
      <c r="AG20" s="227" t="s">
        <v>178</v>
      </c>
      <c r="AH20" s="240" t="s">
        <v>192</v>
      </c>
      <c r="AI20" s="152"/>
    </row>
    <row r="21" spans="1:35" x14ac:dyDescent="0.25">
      <c r="A21" t="s">
        <v>41</v>
      </c>
      <c r="B21" s="176">
        <v>0.2</v>
      </c>
      <c r="C21" s="173">
        <f t="shared" ref="C21:L21" si="12">-$B21*C20</f>
        <v>-716284.71</v>
      </c>
      <c r="D21" s="173">
        <f t="shared" si="12"/>
        <v>-860060.23620000004</v>
      </c>
      <c r="E21" s="69">
        <f t="shared" si="12"/>
        <v>-1022101.440924</v>
      </c>
      <c r="F21" s="69">
        <f t="shared" si="12"/>
        <v>-1186323.4697424802</v>
      </c>
      <c r="G21" s="358">
        <f t="shared" si="12"/>
        <v>-1337969.9391373296</v>
      </c>
      <c r="H21" s="69">
        <f t="shared" si="12"/>
        <v>-1492649.3379200762</v>
      </c>
      <c r="I21" s="69">
        <f t="shared" si="12"/>
        <v>-1609914.3246784778</v>
      </c>
      <c r="J21" s="69">
        <f t="shared" si="12"/>
        <v>-1642112.6111720474</v>
      </c>
      <c r="K21" s="69">
        <f t="shared" si="12"/>
        <v>-1674954.8633954884</v>
      </c>
      <c r="L21" s="69">
        <f t="shared" si="12"/>
        <v>-1708453.960663398</v>
      </c>
      <c r="M21" s="69">
        <f>-$B21*M20</f>
        <v>-1742623.0398766659</v>
      </c>
      <c r="N21" s="69">
        <f t="shared" ref="N21:AF21" si="13">-$B21*N20</f>
        <v>-1777475.5006741993</v>
      </c>
      <c r="O21" s="69">
        <f t="shared" si="13"/>
        <v>-1813025.0106876837</v>
      </c>
      <c r="P21" s="69">
        <f t="shared" si="13"/>
        <v>-1849285.5109014371</v>
      </c>
      <c r="Q21" s="69">
        <f t="shared" si="13"/>
        <v>-1886271.2211194662</v>
      </c>
      <c r="R21" s="69">
        <f t="shared" si="13"/>
        <v>-1923996.6455418554</v>
      </c>
      <c r="S21" s="69">
        <f t="shared" si="13"/>
        <v>-1962476.5784526924</v>
      </c>
      <c r="T21" s="69">
        <f t="shared" si="13"/>
        <v>-2001726.1100217463</v>
      </c>
      <c r="U21" s="69">
        <f t="shared" si="13"/>
        <v>-2041760.6322221812</v>
      </c>
      <c r="V21" s="69">
        <f t="shared" si="13"/>
        <v>-2082595.8448666246</v>
      </c>
      <c r="W21" s="69">
        <f t="shared" si="13"/>
        <v>-2124247.7617639573</v>
      </c>
      <c r="X21" s="69">
        <f t="shared" si="13"/>
        <v>-2166732.716999236</v>
      </c>
      <c r="Y21" s="69">
        <f t="shared" si="13"/>
        <v>-2210067.371339221</v>
      </c>
      <c r="Z21" s="69">
        <f t="shared" si="13"/>
        <v>-2254268.7187660057</v>
      </c>
      <c r="AA21" s="69">
        <f t="shared" si="13"/>
        <v>-2299354.0931413257</v>
      </c>
      <c r="AB21" s="69">
        <f t="shared" si="13"/>
        <v>-2345341.1750041521</v>
      </c>
      <c r="AC21" s="69">
        <f t="shared" si="13"/>
        <v>-2392247.9985042349</v>
      </c>
      <c r="AD21" s="69">
        <f t="shared" si="13"/>
        <v>-2440092.9584743194</v>
      </c>
      <c r="AE21" s="69">
        <f t="shared" si="13"/>
        <v>-2488894.8176438059</v>
      </c>
      <c r="AF21" s="69">
        <f t="shared" si="13"/>
        <v>-2538672.7139966823</v>
      </c>
      <c r="AG21" s="231" t="s">
        <v>179</v>
      </c>
      <c r="AH21" s="241" t="s">
        <v>193</v>
      </c>
      <c r="AI21" s="152"/>
    </row>
    <row r="22" spans="1:35" x14ac:dyDescent="0.25">
      <c r="A22" s="1" t="s">
        <v>69</v>
      </c>
      <c r="B22" s="254"/>
      <c r="C22" s="204">
        <f>C20+C21</f>
        <v>2865138.84</v>
      </c>
      <c r="D22" s="112">
        <f t="shared" ref="D22:AF22" si="14">SUM(D20:D21)</f>
        <v>3440240.9447999997</v>
      </c>
      <c r="E22" s="71">
        <f t="shared" si="14"/>
        <v>4088405.763696</v>
      </c>
      <c r="F22" s="71">
        <f t="shared" si="14"/>
        <v>4745293.8789699208</v>
      </c>
      <c r="G22" s="359">
        <f t="shared" si="14"/>
        <v>5351879.7565493183</v>
      </c>
      <c r="H22" s="71">
        <f t="shared" si="14"/>
        <v>5970597.3516803049</v>
      </c>
      <c r="I22" s="71">
        <f t="shared" si="14"/>
        <v>6439657.2987139113</v>
      </c>
      <c r="J22" s="71">
        <f t="shared" si="14"/>
        <v>6568450.4446881898</v>
      </c>
      <c r="K22" s="71">
        <f t="shared" si="14"/>
        <v>6699819.4535819534</v>
      </c>
      <c r="L22" s="71">
        <f t="shared" si="14"/>
        <v>6833815.8426535921</v>
      </c>
      <c r="M22" s="71">
        <f t="shared" si="14"/>
        <v>6970492.1595066637</v>
      </c>
      <c r="N22" s="71">
        <f t="shared" si="14"/>
        <v>7109902.0026967973</v>
      </c>
      <c r="O22" s="71">
        <f t="shared" si="14"/>
        <v>7252100.0427507339</v>
      </c>
      <c r="P22" s="71">
        <f t="shared" si="14"/>
        <v>7397142.0436057476</v>
      </c>
      <c r="Q22" s="71">
        <f t="shared" si="14"/>
        <v>7545084.884477864</v>
      </c>
      <c r="R22" s="71">
        <f t="shared" si="14"/>
        <v>7695986.5821674215</v>
      </c>
      <c r="S22" s="71">
        <f t="shared" si="14"/>
        <v>7849906.3138107685</v>
      </c>
      <c r="T22" s="71">
        <f t="shared" si="14"/>
        <v>8006904.440086985</v>
      </c>
      <c r="U22" s="71">
        <f t="shared" si="14"/>
        <v>8167042.5288887247</v>
      </c>
      <c r="V22" s="71">
        <f t="shared" si="14"/>
        <v>8330383.3794664983</v>
      </c>
      <c r="W22" s="71">
        <f t="shared" si="14"/>
        <v>8496991.0470558293</v>
      </c>
      <c r="X22" s="71">
        <f t="shared" si="14"/>
        <v>8666930.8679969441</v>
      </c>
      <c r="Y22" s="71">
        <f t="shared" si="14"/>
        <v>8840269.4853568841</v>
      </c>
      <c r="Z22" s="71">
        <f t="shared" si="14"/>
        <v>9017074.8750640228</v>
      </c>
      <c r="AA22" s="71">
        <f t="shared" si="14"/>
        <v>9197416.372565303</v>
      </c>
      <c r="AB22" s="71">
        <f t="shared" si="14"/>
        <v>9381364.7000166066</v>
      </c>
      <c r="AC22" s="71">
        <f t="shared" si="14"/>
        <v>9568991.9940169398</v>
      </c>
      <c r="AD22" s="71">
        <f t="shared" si="14"/>
        <v>9760371.8338972777</v>
      </c>
      <c r="AE22" s="71">
        <f t="shared" si="14"/>
        <v>9955579.2705752235</v>
      </c>
      <c r="AF22" s="71">
        <f t="shared" si="14"/>
        <v>10154690.855986729</v>
      </c>
      <c r="AG22" s="227" t="s">
        <v>180</v>
      </c>
      <c r="AH22" s="238" t="s">
        <v>150</v>
      </c>
      <c r="AI22" s="152"/>
    </row>
    <row r="23" spans="1:35" ht="7.5" customHeight="1" x14ac:dyDescent="0.25">
      <c r="A23" s="1"/>
      <c r="B23" s="254"/>
      <c r="C23" s="82"/>
      <c r="D23" s="173"/>
      <c r="E23" s="69"/>
      <c r="F23" s="68"/>
      <c r="G23" s="35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227"/>
      <c r="AH23" s="238"/>
      <c r="AI23" s="152"/>
    </row>
    <row r="24" spans="1:35" ht="15" customHeight="1" x14ac:dyDescent="0.25">
      <c r="A24" s="1" t="s">
        <v>222</v>
      </c>
      <c r="B24" s="254"/>
      <c r="C24" s="82"/>
      <c r="D24" s="173"/>
      <c r="E24" s="69"/>
      <c r="F24" s="68"/>
      <c r="G24" s="35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227"/>
      <c r="AH24" s="238"/>
      <c r="AI24" s="152"/>
    </row>
    <row r="25" spans="1:35" x14ac:dyDescent="0.25">
      <c r="A25" s="19" t="s">
        <v>220</v>
      </c>
      <c r="B25" s="321">
        <v>0.25</v>
      </c>
      <c r="D25" s="173"/>
      <c r="E25" s="69"/>
      <c r="F25" s="68"/>
      <c r="G25" s="35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227"/>
      <c r="AH25" s="240"/>
      <c r="AI25" s="152"/>
    </row>
    <row r="26" spans="1:35" x14ac:dyDescent="0.25">
      <c r="A26" t="s">
        <v>218</v>
      </c>
      <c r="B26" s="255">
        <v>0.54453700000000005</v>
      </c>
      <c r="C26" s="82">
        <f>-$B$25*$B$26*C$22</f>
        <v>-390043.52712927002</v>
      </c>
      <c r="D26" s="173">
        <f t="shared" ref="D26:AF26" si="15">-$B$25*$B$26*D$22</f>
        <v>-468334.62083963939</v>
      </c>
      <c r="E26" s="69">
        <f t="shared" si="15"/>
        <v>-556572.05233643227</v>
      </c>
      <c r="F26" s="68">
        <f t="shared" si="15"/>
        <v>-645997.02324316103</v>
      </c>
      <c r="G26" s="358">
        <f t="shared" si="15"/>
        <v>-728574.13674802415</v>
      </c>
      <c r="H26" s="68">
        <f t="shared" si="15"/>
        <v>-812802.79252298456</v>
      </c>
      <c r="I26" s="68">
        <f t="shared" si="15"/>
        <v>-876657.91661744437</v>
      </c>
      <c r="J26" s="68">
        <f t="shared" si="15"/>
        <v>-894191.07494979328</v>
      </c>
      <c r="K26" s="68">
        <f t="shared" si="15"/>
        <v>-912074.89644878916</v>
      </c>
      <c r="L26" s="68">
        <f t="shared" si="15"/>
        <v>-930316.3943777649</v>
      </c>
      <c r="M26" s="68">
        <f t="shared" si="15"/>
        <v>-948922.72226532013</v>
      </c>
      <c r="N26" s="68">
        <f t="shared" si="15"/>
        <v>-967901.17671062658</v>
      </c>
      <c r="O26" s="68">
        <f t="shared" si="15"/>
        <v>-987259.20024483919</v>
      </c>
      <c r="P26" s="68">
        <f t="shared" si="15"/>
        <v>-1007004.3842497359</v>
      </c>
      <c r="Q26" s="68">
        <f t="shared" si="15"/>
        <v>-1027144.4719347308</v>
      </c>
      <c r="R26" s="68">
        <f t="shared" si="15"/>
        <v>-1047687.3613734253</v>
      </c>
      <c r="S26" s="68">
        <f t="shared" si="15"/>
        <v>-1068641.1086008938</v>
      </c>
      <c r="T26" s="68">
        <f t="shared" si="15"/>
        <v>-1090013.9307729118</v>
      </c>
      <c r="U26" s="68">
        <f t="shared" si="15"/>
        <v>-1111814.2093883699</v>
      </c>
      <c r="V26" s="68">
        <f t="shared" si="15"/>
        <v>-1134050.4935761373</v>
      </c>
      <c r="W26" s="68">
        <f t="shared" si="15"/>
        <v>-1156731.5034476602</v>
      </c>
      <c r="X26" s="68">
        <f t="shared" si="15"/>
        <v>-1179866.1335166132</v>
      </c>
      <c r="Y26" s="68">
        <f t="shared" si="15"/>
        <v>-1203463.4561869456</v>
      </c>
      <c r="Z26" s="68">
        <f t="shared" si="15"/>
        <v>-1227532.7253106846</v>
      </c>
      <c r="AA26" s="68">
        <f t="shared" si="15"/>
        <v>-1252083.3798168981</v>
      </c>
      <c r="AB26" s="68">
        <f t="shared" si="15"/>
        <v>-1277125.0474132358</v>
      </c>
      <c r="AC26" s="68">
        <f t="shared" si="15"/>
        <v>-1302667.5483615007</v>
      </c>
      <c r="AD26" s="68">
        <f t="shared" si="15"/>
        <v>-1328720.8993287305</v>
      </c>
      <c r="AE26" s="68">
        <f t="shared" si="15"/>
        <v>-1355295.3173153054</v>
      </c>
      <c r="AF26" s="68">
        <f t="shared" si="15"/>
        <v>-1382401.2236616116</v>
      </c>
      <c r="AG26" s="227" t="s">
        <v>224</v>
      </c>
      <c r="AH26" s="240" t="s">
        <v>228</v>
      </c>
      <c r="AI26" s="152"/>
    </row>
    <row r="27" spans="1:35" x14ac:dyDescent="0.25">
      <c r="A27" t="s">
        <v>219</v>
      </c>
      <c r="B27" s="255">
        <v>5.8806999999999998E-2</v>
      </c>
      <c r="C27" s="82">
        <f>-C22*$B$27*$B$25</f>
        <v>-42122.554940969996</v>
      </c>
      <c r="D27" s="173">
        <f t="shared" ref="D27:AF27" si="16">-D22*$B$27*$B$25</f>
        <v>-50577.562310213398</v>
      </c>
      <c r="E27" s="69">
        <f t="shared" si="16"/>
        <v>-60106.719436417668</v>
      </c>
      <c r="F27" s="68">
        <f t="shared" si="16"/>
        <v>-69764.124285146027</v>
      </c>
      <c r="G27" s="358">
        <f t="shared" si="16"/>
        <v>-78681.998210848935</v>
      </c>
      <c r="H27" s="68">
        <f t="shared" si="16"/>
        <v>-87778.229615065924</v>
      </c>
      <c r="I27" s="68">
        <f t="shared" si="16"/>
        <v>-94674.23169136724</v>
      </c>
      <c r="J27" s="68">
        <f t="shared" si="16"/>
        <v>-96567.716325194589</v>
      </c>
      <c r="K27" s="68">
        <f t="shared" si="16"/>
        <v>-98499.070651698479</v>
      </c>
      <c r="L27" s="68">
        <f t="shared" si="16"/>
        <v>-100469.05206473244</v>
      </c>
      <c r="M27" s="68">
        <f t="shared" si="16"/>
        <v>-102478.43310602709</v>
      </c>
      <c r="N27" s="68">
        <f t="shared" si="16"/>
        <v>-104528.00176814763</v>
      </c>
      <c r="O27" s="68">
        <f t="shared" si="16"/>
        <v>-106618.5618035106</v>
      </c>
      <c r="P27" s="68">
        <f t="shared" si="16"/>
        <v>-108750.93303958079</v>
      </c>
      <c r="Q27" s="68">
        <f t="shared" si="16"/>
        <v>-110925.95170037243</v>
      </c>
      <c r="R27" s="68">
        <f t="shared" si="16"/>
        <v>-113144.47073437988</v>
      </c>
      <c r="S27" s="68">
        <f t="shared" si="16"/>
        <v>-115407.36014906746</v>
      </c>
      <c r="T27" s="68">
        <f t="shared" si="16"/>
        <v>-117715.50735204882</v>
      </c>
      <c r="U27" s="68">
        <f t="shared" si="16"/>
        <v>-120069.81749908981</v>
      </c>
      <c r="V27" s="68">
        <f t="shared" si="16"/>
        <v>-122471.21384907159</v>
      </c>
      <c r="W27" s="68">
        <f t="shared" si="16"/>
        <v>-124920.63812605303</v>
      </c>
      <c r="X27" s="68">
        <f t="shared" si="16"/>
        <v>-127419.05088857407</v>
      </c>
      <c r="Y27" s="68">
        <f t="shared" si="16"/>
        <v>-129967.43190634556</v>
      </c>
      <c r="Z27" s="68">
        <f t="shared" si="16"/>
        <v>-132566.78054447248</v>
      </c>
      <c r="AA27" s="68">
        <f t="shared" si="16"/>
        <v>-135218.11615536193</v>
      </c>
      <c r="AB27" s="68">
        <f t="shared" si="16"/>
        <v>-137922.47847846913</v>
      </c>
      <c r="AC27" s="68">
        <f t="shared" si="16"/>
        <v>-140680.92804803854</v>
      </c>
      <c r="AD27" s="68">
        <f t="shared" si="16"/>
        <v>-143494.54660899928</v>
      </c>
      <c r="AE27" s="68">
        <f t="shared" si="16"/>
        <v>-146364.4375411793</v>
      </c>
      <c r="AF27" s="68">
        <f t="shared" si="16"/>
        <v>-149291.72629200289</v>
      </c>
      <c r="AG27" s="227" t="s">
        <v>225</v>
      </c>
      <c r="AH27" s="240" t="s">
        <v>229</v>
      </c>
      <c r="AI27" s="152"/>
    </row>
    <row r="28" spans="1:35" ht="26.25" x14ac:dyDescent="0.25">
      <c r="A28" s="322" t="s">
        <v>232</v>
      </c>
      <c r="B28" s="321"/>
      <c r="C28" s="99" t="s">
        <v>231</v>
      </c>
      <c r="D28" s="136">
        <f>D22-$C$22</f>
        <v>575102.10479999986</v>
      </c>
      <c r="E28" s="175">
        <f t="shared" ref="E28:L28" si="17">E22-$C$22</f>
        <v>1223266.9236960001</v>
      </c>
      <c r="F28" s="144">
        <f t="shared" si="17"/>
        <v>1880155.0389699209</v>
      </c>
      <c r="G28" s="354">
        <f t="shared" si="17"/>
        <v>2486740.9165493185</v>
      </c>
      <c r="H28" s="144">
        <f t="shared" si="17"/>
        <v>3105458.511680305</v>
      </c>
      <c r="I28" s="144">
        <f t="shared" si="17"/>
        <v>3574518.4587139115</v>
      </c>
      <c r="J28" s="144">
        <f t="shared" si="17"/>
        <v>3703311.6046881899</v>
      </c>
      <c r="K28" s="144">
        <f t="shared" si="17"/>
        <v>3834680.6135819536</v>
      </c>
      <c r="L28" s="144">
        <f t="shared" si="17"/>
        <v>3968677.0026535923</v>
      </c>
      <c r="M28" s="144">
        <f>M22-$C$22</f>
        <v>4105353.3195066638</v>
      </c>
      <c r="N28" s="144">
        <f t="shared" ref="N28:AF28" si="18">N22-$C$22</f>
        <v>4244763.1626967974</v>
      </c>
      <c r="O28" s="144">
        <f t="shared" si="18"/>
        <v>4386961.2027507341</v>
      </c>
      <c r="P28" s="144">
        <f t="shared" si="18"/>
        <v>4532003.2036057478</v>
      </c>
      <c r="Q28" s="144">
        <f t="shared" si="18"/>
        <v>4679946.0444778642</v>
      </c>
      <c r="R28" s="144">
        <f t="shared" si="18"/>
        <v>4830847.7421674216</v>
      </c>
      <c r="S28" s="144">
        <f t="shared" si="18"/>
        <v>4984767.4738107687</v>
      </c>
      <c r="T28" s="144">
        <f t="shared" si="18"/>
        <v>5141765.6000869852</v>
      </c>
      <c r="U28" s="144">
        <f>U22-$C$22</f>
        <v>5301903.6888887249</v>
      </c>
      <c r="V28" s="144">
        <f t="shared" si="18"/>
        <v>5465244.5394664984</v>
      </c>
      <c r="W28" s="144">
        <f>W22-$C$22</f>
        <v>5631852.2070558295</v>
      </c>
      <c r="X28" s="144">
        <f t="shared" si="18"/>
        <v>5801792.0279969443</v>
      </c>
      <c r="Y28" s="144">
        <f t="shared" si="18"/>
        <v>5975130.6453568842</v>
      </c>
      <c r="Z28" s="144">
        <f t="shared" si="18"/>
        <v>6151936.035064023</v>
      </c>
      <c r="AA28" s="144">
        <f t="shared" si="18"/>
        <v>6332277.5325653031</v>
      </c>
      <c r="AB28" s="144">
        <f t="shared" si="18"/>
        <v>6516225.8600166067</v>
      </c>
      <c r="AC28" s="144">
        <f t="shared" si="18"/>
        <v>6703853.1540169399</v>
      </c>
      <c r="AD28" s="144">
        <f t="shared" si="18"/>
        <v>6895232.9938972779</v>
      </c>
      <c r="AE28" s="144">
        <f t="shared" si="18"/>
        <v>7090440.4305752236</v>
      </c>
      <c r="AF28" s="144">
        <f t="shared" si="18"/>
        <v>7289552.0159867294</v>
      </c>
      <c r="AG28" s="227" t="s">
        <v>181</v>
      </c>
      <c r="AH28" s="246" t="s">
        <v>233</v>
      </c>
      <c r="AI28" s="152"/>
    </row>
    <row r="29" spans="1:35" x14ac:dyDescent="0.25">
      <c r="A29" s="317" t="s">
        <v>283</v>
      </c>
      <c r="B29" s="321">
        <v>0.21</v>
      </c>
      <c r="C29" s="82"/>
      <c r="D29" s="173"/>
      <c r="E29" s="69"/>
      <c r="F29" s="68"/>
      <c r="G29" s="35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227"/>
      <c r="AH29" s="240"/>
      <c r="AI29" s="152"/>
    </row>
    <row r="30" spans="1:35" x14ac:dyDescent="0.25">
      <c r="A30" s="316" t="s">
        <v>218</v>
      </c>
      <c r="B30" s="255">
        <v>0.54453700000000005</v>
      </c>
      <c r="C30" s="82">
        <v>0</v>
      </c>
      <c r="D30" s="173">
        <f t="shared" ref="D30:AF30" si="19">-(D28)*$B$29*$B$30</f>
        <v>-65764.518716710285</v>
      </c>
      <c r="E30" s="69">
        <f t="shared" si="19"/>
        <v>-139883.96117401627</v>
      </c>
      <c r="F30" s="68">
        <f t="shared" si="19"/>
        <v>-215000.93673566842</v>
      </c>
      <c r="G30" s="358">
        <f t="shared" si="19"/>
        <v>-284365.71207975346</v>
      </c>
      <c r="H30" s="68">
        <f t="shared" si="19"/>
        <v>-355117.78293072025</v>
      </c>
      <c r="I30" s="68">
        <f t="shared" si="19"/>
        <v>-408756.08717006643</v>
      </c>
      <c r="J30" s="68">
        <f t="shared" si="19"/>
        <v>-423483.94016923953</v>
      </c>
      <c r="K30" s="68">
        <f t="shared" si="19"/>
        <v>-438506.35022839601</v>
      </c>
      <c r="L30" s="68">
        <f t="shared" si="19"/>
        <v>-453829.20848873566</v>
      </c>
      <c r="M30" s="68">
        <f t="shared" si="19"/>
        <v>-469458.52391428209</v>
      </c>
      <c r="N30" s="68">
        <f t="shared" si="19"/>
        <v>-485400.4256483395</v>
      </c>
      <c r="O30" s="68">
        <f t="shared" si="19"/>
        <v>-501661.16541707807</v>
      </c>
      <c r="P30" s="68">
        <f t="shared" si="19"/>
        <v>-518247.11998119124</v>
      </c>
      <c r="Q30" s="68">
        <f t="shared" si="19"/>
        <v>-535164.79363658698</v>
      </c>
      <c r="R30" s="68">
        <f t="shared" si="19"/>
        <v>-552420.82076509052</v>
      </c>
      <c r="S30" s="68">
        <f t="shared" si="19"/>
        <v>-570021.96843616397</v>
      </c>
      <c r="T30" s="68">
        <f t="shared" si="19"/>
        <v>-587975.13906065898</v>
      </c>
      <c r="U30" s="68">
        <f t="shared" si="19"/>
        <v>-606287.37309764395</v>
      </c>
      <c r="V30" s="68">
        <f t="shared" si="19"/>
        <v>-624965.8518153684</v>
      </c>
      <c r="W30" s="68">
        <f t="shared" si="19"/>
        <v>-644017.90010744764</v>
      </c>
      <c r="X30" s="68">
        <f t="shared" si="19"/>
        <v>-663450.98936536815</v>
      </c>
      <c r="Y30" s="68">
        <f t="shared" si="19"/>
        <v>-683272.74040844734</v>
      </c>
      <c r="Z30" s="68">
        <f t="shared" si="19"/>
        <v>-703490.92647238821</v>
      </c>
      <c r="AA30" s="68">
        <f t="shared" si="19"/>
        <v>-724113.47625760769</v>
      </c>
      <c r="AB30" s="68">
        <f t="shared" si="19"/>
        <v>-745148.47703853133</v>
      </c>
      <c r="AC30" s="68">
        <f t="shared" si="19"/>
        <v>-766604.17783507367</v>
      </c>
      <c r="AD30" s="68">
        <f t="shared" si="19"/>
        <v>-788488.99264754693</v>
      </c>
      <c r="AE30" s="68">
        <f t="shared" si="19"/>
        <v>-810811.50375626958</v>
      </c>
      <c r="AF30" s="68">
        <f t="shared" si="19"/>
        <v>-833580.46508716687</v>
      </c>
      <c r="AG30" s="227" t="s">
        <v>226</v>
      </c>
      <c r="AH30" s="240" t="s">
        <v>302</v>
      </c>
      <c r="AI30" s="152"/>
    </row>
    <row r="31" spans="1:35" x14ac:dyDescent="0.25">
      <c r="A31" s="316" t="s">
        <v>219</v>
      </c>
      <c r="B31" s="255">
        <v>5.8806999999999998E-2</v>
      </c>
      <c r="C31" s="173">
        <v>0</v>
      </c>
      <c r="D31" s="173">
        <f t="shared" ref="D31:AF31" si="20">-(D28)*$B$31*$B$29</f>
        <v>-7102.2061901644538</v>
      </c>
      <c r="E31" s="69">
        <f t="shared" si="20"/>
        <v>-15106.698176176042</v>
      </c>
      <c r="F31" s="69">
        <f t="shared" si="20"/>
        <v>-23218.918249107868</v>
      </c>
      <c r="G31" s="358">
        <f t="shared" si="20"/>
        <v>-30709.932346698308</v>
      </c>
      <c r="H31" s="69">
        <f t="shared" si="20"/>
        <v>-38350.766726240574</v>
      </c>
      <c r="I31" s="69">
        <f t="shared" si="20"/>
        <v>-44143.408470333685</v>
      </c>
      <c r="J31" s="69">
        <f t="shared" si="20"/>
        <v>-45733.935562748658</v>
      </c>
      <c r="K31" s="69">
        <f t="shared" si="20"/>
        <v>-47356.273197011928</v>
      </c>
      <c r="L31" s="69">
        <f t="shared" si="20"/>
        <v>-49011.057583960457</v>
      </c>
      <c r="M31" s="69">
        <f t="shared" si="20"/>
        <v>-50698.937658647956</v>
      </c>
      <c r="N31" s="69">
        <f t="shared" si="20"/>
        <v>-52420.57533482922</v>
      </c>
      <c r="O31" s="69">
        <f t="shared" si="20"/>
        <v>-54176.645764534107</v>
      </c>
      <c r="P31" s="69">
        <f t="shared" si="20"/>
        <v>-55967.837602833075</v>
      </c>
      <c r="Q31" s="69">
        <f t="shared" si="20"/>
        <v>-57794.853277898052</v>
      </c>
      <c r="R31" s="69">
        <f t="shared" si="20"/>
        <v>-59658.409266464303</v>
      </c>
      <c r="S31" s="69">
        <f t="shared" si="20"/>
        <v>-61559.236374801862</v>
      </c>
      <c r="T31" s="69">
        <f t="shared" si="20"/>
        <v>-63498.080025306219</v>
      </c>
      <c r="U31" s="69">
        <f t="shared" si="20"/>
        <v>-65475.700548820634</v>
      </c>
      <c r="V31" s="69">
        <f t="shared" si="20"/>
        <v>-67492.873482805328</v>
      </c>
      <c r="W31" s="69">
        <f t="shared" si="20"/>
        <v>-69550.389875469758</v>
      </c>
      <c r="X31" s="69">
        <f t="shared" si="20"/>
        <v>-71649.056595987407</v>
      </c>
      <c r="Y31" s="69">
        <f t="shared" si="20"/>
        <v>-73789.696650915474</v>
      </c>
      <c r="Z31" s="69">
        <f t="shared" si="20"/>
        <v>-75973.149506942093</v>
      </c>
      <c r="AA31" s="69">
        <f t="shared" si="20"/>
        <v>-78200.271420089222</v>
      </c>
      <c r="AB31" s="69">
        <f t="shared" si="20"/>
        <v>-80471.93577149928</v>
      </c>
      <c r="AC31" s="69">
        <f t="shared" si="20"/>
        <v>-82789.033409937576</v>
      </c>
      <c r="AD31" s="69">
        <f t="shared" si="20"/>
        <v>-85152.473001144608</v>
      </c>
      <c r="AE31" s="69">
        <f t="shared" si="20"/>
        <v>-87563.181384175812</v>
      </c>
      <c r="AF31" s="69">
        <f t="shared" si="20"/>
        <v>-90022.103934867628</v>
      </c>
      <c r="AG31" s="227" t="s">
        <v>227</v>
      </c>
      <c r="AH31" s="240" t="s">
        <v>303</v>
      </c>
      <c r="AI31" s="152"/>
    </row>
    <row r="32" spans="1:35" ht="26.25" x14ac:dyDescent="0.25">
      <c r="A32" s="322" t="s">
        <v>232</v>
      </c>
      <c r="B32" s="321"/>
      <c r="C32" s="136">
        <v>0</v>
      </c>
      <c r="D32" s="136">
        <v>0</v>
      </c>
      <c r="E32" s="136">
        <v>0</v>
      </c>
      <c r="F32" s="136">
        <v>0</v>
      </c>
      <c r="G32" s="365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75">
        <f>W22-$V$22</f>
        <v>166607.66758933105</v>
      </c>
      <c r="X32" s="175">
        <f t="shared" ref="X32:AF32" si="21">X22-$V$22</f>
        <v>336547.48853044584</v>
      </c>
      <c r="Y32" s="175">
        <f t="shared" si="21"/>
        <v>509886.10589038581</v>
      </c>
      <c r="Z32" s="175">
        <f t="shared" si="21"/>
        <v>686691.49559752457</v>
      </c>
      <c r="AA32" s="175">
        <f t="shared" si="21"/>
        <v>867032.99309880473</v>
      </c>
      <c r="AB32" s="175">
        <f t="shared" si="21"/>
        <v>1050981.3205501083</v>
      </c>
      <c r="AC32" s="175">
        <f t="shared" si="21"/>
        <v>1238608.6145504415</v>
      </c>
      <c r="AD32" s="175">
        <f t="shared" si="21"/>
        <v>1429988.4544307794</v>
      </c>
      <c r="AE32" s="175">
        <f t="shared" si="21"/>
        <v>1625195.8911087252</v>
      </c>
      <c r="AF32" s="175">
        <f t="shared" si="21"/>
        <v>1824307.476520231</v>
      </c>
      <c r="AG32" s="227" t="s">
        <v>181</v>
      </c>
      <c r="AH32" s="246" t="s">
        <v>294</v>
      </c>
      <c r="AI32" s="152"/>
    </row>
    <row r="33" spans="1:35" x14ac:dyDescent="0.25">
      <c r="A33" s="317" t="s">
        <v>282</v>
      </c>
      <c r="B33" s="321">
        <v>0.14000000000000001</v>
      </c>
      <c r="C33" s="82"/>
      <c r="D33" s="173"/>
      <c r="E33" s="69"/>
      <c r="F33" s="68"/>
      <c r="G33" s="35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227"/>
      <c r="AH33" s="240"/>
      <c r="AI33" s="152"/>
    </row>
    <row r="34" spans="1:35" x14ac:dyDescent="0.25">
      <c r="A34" s="316" t="s">
        <v>218</v>
      </c>
      <c r="B34" s="255">
        <v>0.54453700000000005</v>
      </c>
      <c r="C34" s="82">
        <f>-C32*$B$34*$B$33</f>
        <v>0</v>
      </c>
      <c r="D34" s="173">
        <f t="shared" ref="D34:L34" si="22">-D32*$B$34*$B$33</f>
        <v>0</v>
      </c>
      <c r="E34" s="173">
        <f t="shared" si="22"/>
        <v>0</v>
      </c>
      <c r="F34" s="82">
        <f t="shared" si="22"/>
        <v>0</v>
      </c>
      <c r="G34" s="346">
        <f t="shared" si="22"/>
        <v>0</v>
      </c>
      <c r="H34" s="82">
        <f t="shared" si="22"/>
        <v>0</v>
      </c>
      <c r="I34" s="82">
        <f t="shared" si="22"/>
        <v>0</v>
      </c>
      <c r="J34" s="82">
        <f t="shared" si="22"/>
        <v>0</v>
      </c>
      <c r="K34" s="82">
        <f t="shared" si="22"/>
        <v>0</v>
      </c>
      <c r="L34" s="82">
        <f t="shared" si="22"/>
        <v>0</v>
      </c>
      <c r="M34" s="82">
        <f>-M32*$B$34*$B$33</f>
        <v>0</v>
      </c>
      <c r="N34" s="82">
        <f t="shared" ref="N34:AF34" si="23">-N32*$B$34*$B$33</f>
        <v>0</v>
      </c>
      <c r="O34" s="82">
        <f t="shared" si="23"/>
        <v>0</v>
      </c>
      <c r="P34" s="82">
        <f t="shared" si="23"/>
        <v>0</v>
      </c>
      <c r="Q34" s="82">
        <f t="shared" si="23"/>
        <v>0</v>
      </c>
      <c r="R34" s="82">
        <f t="shared" si="23"/>
        <v>0</v>
      </c>
      <c r="S34" s="82">
        <f t="shared" si="23"/>
        <v>0</v>
      </c>
      <c r="T34" s="82">
        <f t="shared" si="23"/>
        <v>0</v>
      </c>
      <c r="U34" s="82">
        <f t="shared" si="23"/>
        <v>0</v>
      </c>
      <c r="V34" s="82">
        <f t="shared" si="23"/>
        <v>0</v>
      </c>
      <c r="W34" s="82">
        <f t="shared" si="23"/>
        <v>-12701.36552805282</v>
      </c>
      <c r="X34" s="82">
        <f t="shared" si="23"/>
        <v>-25656.758366666476</v>
      </c>
      <c r="Y34" s="82">
        <f t="shared" si="23"/>
        <v>-38871.259062052632</v>
      </c>
      <c r="Z34" s="82">
        <f t="shared" si="23"/>
        <v>-52350.049771346501</v>
      </c>
      <c r="AA34" s="82">
        <f t="shared" si="23"/>
        <v>-66098.416294826151</v>
      </c>
      <c r="AB34" s="82">
        <f t="shared" si="23"/>
        <v>-80121.750148775216</v>
      </c>
      <c r="AC34" s="82">
        <f t="shared" si="23"/>
        <v>-94425.550679803549</v>
      </c>
      <c r="AD34" s="82">
        <f t="shared" si="23"/>
        <v>-109015.42722145229</v>
      </c>
      <c r="AE34" s="82">
        <f t="shared" si="23"/>
        <v>-123897.10129393409</v>
      </c>
      <c r="AF34" s="82">
        <f t="shared" si="23"/>
        <v>-139076.40884786559</v>
      </c>
      <c r="AG34" s="227" t="s">
        <v>284</v>
      </c>
      <c r="AH34" s="240" t="s">
        <v>304</v>
      </c>
      <c r="AI34" s="152"/>
    </row>
    <row r="35" spans="1:35" x14ac:dyDescent="0.25">
      <c r="A35" s="316" t="s">
        <v>219</v>
      </c>
      <c r="B35" s="255">
        <v>5.8806999999999998E-2</v>
      </c>
      <c r="C35" s="146">
        <f>-C32*$B$35*$B$33</f>
        <v>0</v>
      </c>
      <c r="D35" s="146">
        <f t="shared" ref="D35:AF35" si="24">-D32*$B$35*$B$33</f>
        <v>0</v>
      </c>
      <c r="E35" s="173">
        <f t="shared" si="24"/>
        <v>0</v>
      </c>
      <c r="F35" s="146">
        <f t="shared" si="24"/>
        <v>0</v>
      </c>
      <c r="G35" s="360">
        <f t="shared" si="24"/>
        <v>0</v>
      </c>
      <c r="H35" s="146">
        <f t="shared" si="24"/>
        <v>0</v>
      </c>
      <c r="I35" s="146">
        <f t="shared" si="24"/>
        <v>0</v>
      </c>
      <c r="J35" s="146">
        <f t="shared" si="24"/>
        <v>0</v>
      </c>
      <c r="K35" s="146">
        <f t="shared" si="24"/>
        <v>0</v>
      </c>
      <c r="L35" s="146">
        <f t="shared" si="24"/>
        <v>0</v>
      </c>
      <c r="M35" s="146">
        <f t="shared" si="24"/>
        <v>0</v>
      </c>
      <c r="N35" s="146">
        <f t="shared" si="24"/>
        <v>0</v>
      </c>
      <c r="O35" s="146">
        <f t="shared" si="24"/>
        <v>0</v>
      </c>
      <c r="P35" s="146">
        <f t="shared" si="24"/>
        <v>0</v>
      </c>
      <c r="Q35" s="146">
        <f t="shared" si="24"/>
        <v>0</v>
      </c>
      <c r="R35" s="146">
        <f t="shared" si="24"/>
        <v>0</v>
      </c>
      <c r="S35" s="146">
        <f t="shared" si="24"/>
        <v>0</v>
      </c>
      <c r="T35" s="146">
        <f t="shared" si="24"/>
        <v>0</v>
      </c>
      <c r="U35" s="146">
        <f t="shared" si="24"/>
        <v>0</v>
      </c>
      <c r="V35" s="146">
        <f t="shared" si="24"/>
        <v>0</v>
      </c>
      <c r="W35" s="146">
        <f t="shared" si="24"/>
        <v>-1371.6775951096108</v>
      </c>
      <c r="X35" s="146">
        <f t="shared" si="24"/>
        <v>-2770.7887421213904</v>
      </c>
      <c r="Y35" s="146">
        <f t="shared" si="24"/>
        <v>-4197.8821120734283</v>
      </c>
      <c r="Z35" s="146">
        <f t="shared" si="24"/>
        <v>-5653.5173494245082</v>
      </c>
      <c r="AA35" s="146">
        <f t="shared" si="24"/>
        <v>-7138.2652915225981</v>
      </c>
      <c r="AB35" s="146">
        <f t="shared" si="24"/>
        <v>-8652.7081924626309</v>
      </c>
      <c r="AC35" s="146">
        <f t="shared" si="24"/>
        <v>-10197.439951421495</v>
      </c>
      <c r="AD35" s="146">
        <f t="shared" si="24"/>
        <v>-11773.066345559519</v>
      </c>
      <c r="AE35" s="146">
        <f t="shared" si="24"/>
        <v>-13380.205267580315</v>
      </c>
      <c r="AF35" s="146">
        <f t="shared" si="24"/>
        <v>-15019.486968041532</v>
      </c>
      <c r="AG35" s="227" t="s">
        <v>285</v>
      </c>
      <c r="AH35" s="240" t="s">
        <v>305</v>
      </c>
      <c r="AI35" s="152"/>
    </row>
    <row r="36" spans="1:35" x14ac:dyDescent="0.25">
      <c r="A36" s="1" t="s">
        <v>223</v>
      </c>
      <c r="B36" s="266"/>
      <c r="C36" s="112">
        <f>C22+SUM(C26:C27)+SUM(C30:C31)+SUM(C34:C35)</f>
        <v>2432972.75792976</v>
      </c>
      <c r="D36" s="112">
        <f t="shared" ref="D36:AF36" si="25">D22+SUM(D26:D27)+SUM(D30:D31)</f>
        <v>2848462.0367432721</v>
      </c>
      <c r="E36" s="71">
        <f t="shared" si="25"/>
        <v>3316736.332572958</v>
      </c>
      <c r="F36" s="71">
        <f t="shared" si="25"/>
        <v>3791312.8764568376</v>
      </c>
      <c r="G36" s="359">
        <f t="shared" si="25"/>
        <v>4229547.9771639928</v>
      </c>
      <c r="H36" s="71">
        <f t="shared" si="25"/>
        <v>4676547.779885293</v>
      </c>
      <c r="I36" s="71">
        <f t="shared" si="25"/>
        <v>5015425.6547646997</v>
      </c>
      <c r="J36" s="71">
        <f t="shared" si="25"/>
        <v>5108473.7776812138</v>
      </c>
      <c r="K36" s="71">
        <f t="shared" si="25"/>
        <v>5203382.8630560571</v>
      </c>
      <c r="L36" s="71">
        <f t="shared" si="25"/>
        <v>5300190.1301383991</v>
      </c>
      <c r="M36" s="71">
        <f t="shared" si="25"/>
        <v>5398933.542562386</v>
      </c>
      <c r="N36" s="71">
        <f t="shared" si="25"/>
        <v>5499651.8232348552</v>
      </c>
      <c r="O36" s="71">
        <f t="shared" si="25"/>
        <v>5602384.4695207719</v>
      </c>
      <c r="P36" s="71">
        <f t="shared" si="25"/>
        <v>5707171.7687324071</v>
      </c>
      <c r="Q36" s="71">
        <f t="shared" si="25"/>
        <v>5814054.8139282754</v>
      </c>
      <c r="R36" s="71">
        <f t="shared" si="25"/>
        <v>5923075.5200280612</v>
      </c>
      <c r="S36" s="71">
        <f t="shared" si="25"/>
        <v>6034276.6402498418</v>
      </c>
      <c r="T36" s="71">
        <f t="shared" si="25"/>
        <v>6147701.7828760594</v>
      </c>
      <c r="U36" s="71">
        <f t="shared" si="25"/>
        <v>6263395.4283548007</v>
      </c>
      <c r="V36" s="71">
        <f t="shared" si="25"/>
        <v>6381402.9467431158</v>
      </c>
      <c r="W36" s="71">
        <f>W22+SUM(W26:W27)+SUM(W30:W31)</f>
        <v>6501770.6154991984</v>
      </c>
      <c r="X36" s="71">
        <f t="shared" si="25"/>
        <v>6624545.6376304012</v>
      </c>
      <c r="Y36" s="71">
        <f t="shared" si="25"/>
        <v>6749776.1602042308</v>
      </c>
      <c r="Z36" s="71">
        <f t="shared" si="25"/>
        <v>6877511.2932295352</v>
      </c>
      <c r="AA36" s="71">
        <f t="shared" si="25"/>
        <v>7007801.1289153462</v>
      </c>
      <c r="AB36" s="71">
        <f t="shared" si="25"/>
        <v>7140696.7613148717</v>
      </c>
      <c r="AC36" s="71">
        <f t="shared" si="25"/>
        <v>7276250.3063623887</v>
      </c>
      <c r="AD36" s="71">
        <f t="shared" si="25"/>
        <v>7414514.9223108562</v>
      </c>
      <c r="AE36" s="71">
        <f t="shared" si="25"/>
        <v>7555544.8305782937</v>
      </c>
      <c r="AF36" s="71">
        <f t="shared" si="25"/>
        <v>7699395.3370110812</v>
      </c>
      <c r="AG36" s="227" t="s">
        <v>182</v>
      </c>
      <c r="AH36" s="240" t="s">
        <v>286</v>
      </c>
      <c r="AI36" s="152"/>
    </row>
    <row r="37" spans="1:35" ht="8.1" customHeight="1" x14ac:dyDescent="0.25">
      <c r="A37" s="1"/>
      <c r="B37" s="152"/>
      <c r="C37" s="114"/>
      <c r="D37" s="145"/>
      <c r="E37" s="134"/>
      <c r="F37" s="111"/>
      <c r="G37" s="36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227"/>
      <c r="AH37" s="238"/>
      <c r="AI37" s="152"/>
    </row>
    <row r="38" spans="1:35" x14ac:dyDescent="0.25">
      <c r="A38" s="193" t="s">
        <v>167</v>
      </c>
      <c r="B38" s="194"/>
      <c r="C38" s="195"/>
      <c r="D38" s="300"/>
      <c r="E38" s="300"/>
      <c r="F38" s="195"/>
      <c r="G38" s="362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227"/>
      <c r="AH38" s="238"/>
      <c r="AI38" s="152"/>
    </row>
    <row r="39" spans="1:35" ht="15" customHeight="1" x14ac:dyDescent="0.25">
      <c r="A39" s="179" t="s">
        <v>157</v>
      </c>
      <c r="B39" s="180">
        <v>0.25</v>
      </c>
      <c r="C39" s="181">
        <f>$B$39*C$36</f>
        <v>608243.18948244001</v>
      </c>
      <c r="D39" s="181">
        <f t="shared" ref="D39:L39" si="26">$B$39*D$36</f>
        <v>712115.50918581802</v>
      </c>
      <c r="E39" s="181">
        <f t="shared" si="26"/>
        <v>829184.08314323949</v>
      </c>
      <c r="F39" s="181">
        <f t="shared" si="26"/>
        <v>947828.21911420941</v>
      </c>
      <c r="G39" s="363">
        <f t="shared" si="26"/>
        <v>1057386.9942909982</v>
      </c>
      <c r="H39" s="181">
        <f t="shared" si="26"/>
        <v>1169136.9449713232</v>
      </c>
      <c r="I39" s="181">
        <f t="shared" si="26"/>
        <v>1253856.4136911749</v>
      </c>
      <c r="J39" s="181">
        <f t="shared" si="26"/>
        <v>1277118.4444203035</v>
      </c>
      <c r="K39" s="181">
        <f t="shared" si="26"/>
        <v>1300845.7157640143</v>
      </c>
      <c r="L39" s="181">
        <f t="shared" si="26"/>
        <v>1325047.5325345998</v>
      </c>
      <c r="M39" s="181">
        <f>$B$39*M$36</f>
        <v>1349733.3856405965</v>
      </c>
      <c r="N39" s="181">
        <f t="shared" ref="N39:AF39" si="27">$B$39*N$36</f>
        <v>1374912.9558087138</v>
      </c>
      <c r="O39" s="181">
        <f t="shared" si="27"/>
        <v>1400596.117380193</v>
      </c>
      <c r="P39" s="181">
        <f t="shared" si="27"/>
        <v>1426792.9421831018</v>
      </c>
      <c r="Q39" s="181">
        <f t="shared" si="27"/>
        <v>1453513.7034820688</v>
      </c>
      <c r="R39" s="181">
        <f t="shared" si="27"/>
        <v>1480768.8800070153</v>
      </c>
      <c r="S39" s="181">
        <f t="shared" si="27"/>
        <v>1508569.1600624605</v>
      </c>
      <c r="T39" s="181">
        <f t="shared" si="27"/>
        <v>1536925.4457190149</v>
      </c>
      <c r="U39" s="181">
        <f t="shared" si="27"/>
        <v>1565848.8570887002</v>
      </c>
      <c r="V39" s="181">
        <f t="shared" si="27"/>
        <v>1595350.7366857789</v>
      </c>
      <c r="W39" s="181">
        <f t="shared" si="27"/>
        <v>1625442.6538747996</v>
      </c>
      <c r="X39" s="181">
        <f t="shared" si="27"/>
        <v>1656136.4094076003</v>
      </c>
      <c r="Y39" s="181">
        <f t="shared" si="27"/>
        <v>1687444.0400510577</v>
      </c>
      <c r="Z39" s="181">
        <f t="shared" si="27"/>
        <v>1719377.8233073838</v>
      </c>
      <c r="AA39" s="181">
        <f t="shared" si="27"/>
        <v>1751950.2822288366</v>
      </c>
      <c r="AB39" s="181">
        <f t="shared" si="27"/>
        <v>1785174.1903287179</v>
      </c>
      <c r="AC39" s="181">
        <f t="shared" si="27"/>
        <v>1819062.5765905972</v>
      </c>
      <c r="AD39" s="181">
        <f t="shared" si="27"/>
        <v>1853628.730577714</v>
      </c>
      <c r="AE39" s="181">
        <f t="shared" si="27"/>
        <v>1888886.2076445734</v>
      </c>
      <c r="AF39" s="181">
        <f t="shared" si="27"/>
        <v>1924848.8342527703</v>
      </c>
      <c r="AG39" s="232"/>
      <c r="AH39" s="242" t="s">
        <v>169</v>
      </c>
      <c r="AI39" s="124"/>
    </row>
    <row r="40" spans="1:35" ht="15" customHeight="1" x14ac:dyDescent="0.25">
      <c r="A40" s="179" t="s">
        <v>156</v>
      </c>
      <c r="B40" s="182">
        <v>0.05</v>
      </c>
      <c r="C40" s="181">
        <f>B40*C$36</f>
        <v>121648.63789648801</v>
      </c>
      <c r="D40" s="181">
        <f>B40*D$36</f>
        <v>142423.10183716362</v>
      </c>
      <c r="E40" s="181">
        <f>$B$40*E36</f>
        <v>165836.81662864791</v>
      </c>
      <c r="F40" s="181">
        <f t="shared" ref="F40:AF40" si="28">$B$40*F36</f>
        <v>189565.6438228419</v>
      </c>
      <c r="G40" s="363">
        <f t="shared" si="28"/>
        <v>211477.39885819965</v>
      </c>
      <c r="H40" s="181">
        <f t="shared" si="28"/>
        <v>233827.38899426465</v>
      </c>
      <c r="I40" s="181">
        <f t="shared" si="28"/>
        <v>250771.28273823499</v>
      </c>
      <c r="J40" s="181">
        <f t="shared" si="28"/>
        <v>255423.68888406071</v>
      </c>
      <c r="K40" s="181">
        <f t="shared" si="28"/>
        <v>260169.14315280286</v>
      </c>
      <c r="L40" s="181">
        <f t="shared" si="28"/>
        <v>265009.50650691998</v>
      </c>
      <c r="M40" s="181">
        <f t="shared" si="28"/>
        <v>269946.67712811934</v>
      </c>
      <c r="N40" s="181">
        <f t="shared" si="28"/>
        <v>274982.59116174275</v>
      </c>
      <c r="O40" s="181">
        <f t="shared" si="28"/>
        <v>280119.22347603861</v>
      </c>
      <c r="P40" s="181">
        <f t="shared" si="28"/>
        <v>285358.58843662037</v>
      </c>
      <c r="Q40" s="181">
        <f t="shared" si="28"/>
        <v>290702.74069641379</v>
      </c>
      <c r="R40" s="181">
        <f t="shared" si="28"/>
        <v>296153.77600140305</v>
      </c>
      <c r="S40" s="181">
        <f t="shared" si="28"/>
        <v>301713.83201249212</v>
      </c>
      <c r="T40" s="181">
        <f t="shared" si="28"/>
        <v>307385.08914380299</v>
      </c>
      <c r="U40" s="181">
        <f t="shared" si="28"/>
        <v>313169.77141774003</v>
      </c>
      <c r="V40" s="181">
        <f t="shared" si="28"/>
        <v>319070.14733715582</v>
      </c>
      <c r="W40" s="181">
        <f t="shared" si="28"/>
        <v>325088.53077495995</v>
      </c>
      <c r="X40" s="181">
        <f t="shared" si="28"/>
        <v>331227.28188152006</v>
      </c>
      <c r="Y40" s="181">
        <f t="shared" si="28"/>
        <v>337488.80801021156</v>
      </c>
      <c r="Z40" s="181">
        <f t="shared" si="28"/>
        <v>343875.56466147676</v>
      </c>
      <c r="AA40" s="181">
        <f t="shared" si="28"/>
        <v>350390.05644576735</v>
      </c>
      <c r="AB40" s="181">
        <f t="shared" si="28"/>
        <v>357034.83806574362</v>
      </c>
      <c r="AC40" s="181">
        <f t="shared" si="28"/>
        <v>363812.51531811943</v>
      </c>
      <c r="AD40" s="181">
        <f t="shared" si="28"/>
        <v>370725.74611554283</v>
      </c>
      <c r="AE40" s="181">
        <f t="shared" si="28"/>
        <v>377777.24152891472</v>
      </c>
      <c r="AF40" s="181">
        <f t="shared" si="28"/>
        <v>384969.76685055409</v>
      </c>
      <c r="AG40" s="233"/>
      <c r="AH40" s="243" t="s">
        <v>170</v>
      </c>
      <c r="AI40" s="152"/>
    </row>
    <row r="41" spans="1:35" ht="15" customHeight="1" x14ac:dyDescent="0.25">
      <c r="A41" s="179" t="s">
        <v>58</v>
      </c>
      <c r="B41" s="182">
        <v>0.35</v>
      </c>
      <c r="C41" s="181">
        <f>B41*C$36</f>
        <v>851540.46527541592</v>
      </c>
      <c r="D41" s="181">
        <f>B41*(D$36)</f>
        <v>996961.71286014514</v>
      </c>
      <c r="E41" s="181">
        <f>$B$41*(E36)</f>
        <v>1160857.7164005353</v>
      </c>
      <c r="F41" s="181">
        <f t="shared" ref="F41:AF41" si="29">$B$41*(F36)</f>
        <v>1326959.5067598931</v>
      </c>
      <c r="G41" s="363">
        <f t="shared" si="29"/>
        <v>1480341.7920073974</v>
      </c>
      <c r="H41" s="181">
        <f t="shared" si="29"/>
        <v>1636791.7229598525</v>
      </c>
      <c r="I41" s="181">
        <f t="shared" si="29"/>
        <v>1755398.9791676449</v>
      </c>
      <c r="J41" s="181">
        <f t="shared" si="29"/>
        <v>1787965.8221884246</v>
      </c>
      <c r="K41" s="181">
        <f t="shared" si="29"/>
        <v>1821184.0020696199</v>
      </c>
      <c r="L41" s="181">
        <f t="shared" si="29"/>
        <v>1855066.5455484395</v>
      </c>
      <c r="M41" s="181">
        <f t="shared" si="29"/>
        <v>1889626.7398968351</v>
      </c>
      <c r="N41" s="181">
        <f t="shared" si="29"/>
        <v>1924878.1381321992</v>
      </c>
      <c r="O41" s="181">
        <f t="shared" si="29"/>
        <v>1960834.5643322701</v>
      </c>
      <c r="P41" s="181">
        <f t="shared" si="29"/>
        <v>1997510.1190563424</v>
      </c>
      <c r="Q41" s="181">
        <f t="shared" si="29"/>
        <v>2034919.1848748962</v>
      </c>
      <c r="R41" s="181">
        <f t="shared" si="29"/>
        <v>2073076.4320098213</v>
      </c>
      <c r="S41" s="181">
        <f t="shared" si="29"/>
        <v>2111996.8240874447</v>
      </c>
      <c r="T41" s="181">
        <f t="shared" si="29"/>
        <v>2151695.6240066206</v>
      </c>
      <c r="U41" s="181">
        <f t="shared" si="29"/>
        <v>2192188.39992418</v>
      </c>
      <c r="V41" s="181">
        <f t="shared" si="29"/>
        <v>2233491.0313600902</v>
      </c>
      <c r="W41" s="181">
        <f t="shared" si="29"/>
        <v>2275619.7154247193</v>
      </c>
      <c r="X41" s="181">
        <f t="shared" si="29"/>
        <v>2318590.9731706404</v>
      </c>
      <c r="Y41" s="181">
        <f t="shared" si="29"/>
        <v>2362421.6560714808</v>
      </c>
      <c r="Z41" s="181">
        <f t="shared" si="29"/>
        <v>2407128.9526303373</v>
      </c>
      <c r="AA41" s="181">
        <f t="shared" si="29"/>
        <v>2452730.3951203711</v>
      </c>
      <c r="AB41" s="181">
        <f t="shared" si="29"/>
        <v>2499243.8664602051</v>
      </c>
      <c r="AC41" s="181">
        <f t="shared" si="29"/>
        <v>2546687.607226836</v>
      </c>
      <c r="AD41" s="181">
        <f t="shared" si="29"/>
        <v>2595080.2228087997</v>
      </c>
      <c r="AE41" s="181">
        <f t="shared" si="29"/>
        <v>2644440.6907024025</v>
      </c>
      <c r="AF41" s="181">
        <f t="shared" si="29"/>
        <v>2694788.3679538784</v>
      </c>
      <c r="AG41" s="335"/>
      <c r="AH41" s="240" t="s">
        <v>171</v>
      </c>
      <c r="AI41" s="152"/>
    </row>
    <row r="42" spans="1:35" x14ac:dyDescent="0.25">
      <c r="A42" s="179" t="s">
        <v>165</v>
      </c>
      <c r="B42" s="183">
        <v>0.35</v>
      </c>
      <c r="C42" s="181">
        <f>B42*C36</f>
        <v>851540.46527541592</v>
      </c>
      <c r="D42" s="181">
        <f>B42*D36</f>
        <v>996961.71286014514</v>
      </c>
      <c r="E42" s="181">
        <f>$B$42*E36</f>
        <v>1160857.7164005353</v>
      </c>
      <c r="F42" s="181">
        <f t="shared" ref="F42:AF42" si="30">$B$42*F36</f>
        <v>1326959.5067598931</v>
      </c>
      <c r="G42" s="363">
        <f t="shared" si="30"/>
        <v>1480341.7920073974</v>
      </c>
      <c r="H42" s="181">
        <f t="shared" si="30"/>
        <v>1636791.7229598525</v>
      </c>
      <c r="I42" s="181">
        <f t="shared" si="30"/>
        <v>1755398.9791676449</v>
      </c>
      <c r="J42" s="181">
        <f t="shared" si="30"/>
        <v>1787965.8221884246</v>
      </c>
      <c r="K42" s="181">
        <f t="shared" si="30"/>
        <v>1821184.0020696199</v>
      </c>
      <c r="L42" s="181">
        <f t="shared" si="30"/>
        <v>1855066.5455484395</v>
      </c>
      <c r="M42" s="181">
        <f t="shared" si="30"/>
        <v>1889626.7398968351</v>
      </c>
      <c r="N42" s="181">
        <f t="shared" si="30"/>
        <v>1924878.1381321992</v>
      </c>
      <c r="O42" s="181">
        <f t="shared" si="30"/>
        <v>1960834.5643322701</v>
      </c>
      <c r="P42" s="181">
        <f t="shared" si="30"/>
        <v>1997510.1190563424</v>
      </c>
      <c r="Q42" s="181">
        <f t="shared" si="30"/>
        <v>2034919.1848748962</v>
      </c>
      <c r="R42" s="181">
        <f t="shared" si="30"/>
        <v>2073076.4320098213</v>
      </c>
      <c r="S42" s="181">
        <f t="shared" si="30"/>
        <v>2111996.8240874447</v>
      </c>
      <c r="T42" s="181">
        <f t="shared" si="30"/>
        <v>2151695.6240066206</v>
      </c>
      <c r="U42" s="181">
        <f t="shared" si="30"/>
        <v>2192188.39992418</v>
      </c>
      <c r="V42" s="181">
        <f t="shared" si="30"/>
        <v>2233491.0313600902</v>
      </c>
      <c r="W42" s="181">
        <f t="shared" si="30"/>
        <v>2275619.7154247193</v>
      </c>
      <c r="X42" s="181">
        <f t="shared" si="30"/>
        <v>2318590.9731706404</v>
      </c>
      <c r="Y42" s="181">
        <f t="shared" si="30"/>
        <v>2362421.6560714808</v>
      </c>
      <c r="Z42" s="181">
        <f t="shared" si="30"/>
        <v>2407128.9526303373</v>
      </c>
      <c r="AA42" s="181">
        <f t="shared" si="30"/>
        <v>2452730.3951203711</v>
      </c>
      <c r="AB42" s="181">
        <f t="shared" si="30"/>
        <v>2499243.8664602051</v>
      </c>
      <c r="AC42" s="181">
        <f t="shared" si="30"/>
        <v>2546687.607226836</v>
      </c>
      <c r="AD42" s="181">
        <f t="shared" si="30"/>
        <v>2595080.2228087997</v>
      </c>
      <c r="AE42" s="181">
        <f t="shared" si="30"/>
        <v>2644440.6907024025</v>
      </c>
      <c r="AF42" s="181">
        <f t="shared" si="30"/>
        <v>2694788.3679538784</v>
      </c>
      <c r="AG42" s="335" t="s">
        <v>164</v>
      </c>
      <c r="AH42" s="240" t="s">
        <v>194</v>
      </c>
      <c r="AI42" s="152"/>
    </row>
    <row r="43" spans="1:35" x14ac:dyDescent="0.25">
      <c r="A43" s="197" t="s">
        <v>158</v>
      </c>
      <c r="B43" s="196">
        <f>SUM(B39:B42)</f>
        <v>0.99999999999999989</v>
      </c>
      <c r="C43" s="191">
        <f>SUM(C39:C42)</f>
        <v>2432972.75792976</v>
      </c>
      <c r="D43" s="191">
        <f t="shared" ref="D43:AF43" si="31">SUM(D39:D42)</f>
        <v>2848462.0367432721</v>
      </c>
      <c r="E43" s="191">
        <f t="shared" si="31"/>
        <v>3316736.332572958</v>
      </c>
      <c r="F43" s="191">
        <f t="shared" si="31"/>
        <v>3791312.8764568376</v>
      </c>
      <c r="G43" s="364">
        <f t="shared" si="31"/>
        <v>4229547.9771639928</v>
      </c>
      <c r="H43" s="191">
        <f t="shared" si="31"/>
        <v>4676547.779885293</v>
      </c>
      <c r="I43" s="191">
        <f t="shared" si="31"/>
        <v>5015425.6547646997</v>
      </c>
      <c r="J43" s="191">
        <f t="shared" si="31"/>
        <v>5108473.7776812138</v>
      </c>
      <c r="K43" s="191">
        <f t="shared" si="31"/>
        <v>5203382.8630560571</v>
      </c>
      <c r="L43" s="191">
        <f t="shared" si="31"/>
        <v>5300190.1301383991</v>
      </c>
      <c r="M43" s="191">
        <f t="shared" si="31"/>
        <v>5398933.542562386</v>
      </c>
      <c r="N43" s="191">
        <f t="shared" si="31"/>
        <v>5499651.8232348543</v>
      </c>
      <c r="O43" s="191">
        <f t="shared" si="31"/>
        <v>5602384.4695207719</v>
      </c>
      <c r="P43" s="191">
        <f t="shared" si="31"/>
        <v>5707171.7687324071</v>
      </c>
      <c r="Q43" s="191">
        <f t="shared" si="31"/>
        <v>5814054.8139282744</v>
      </c>
      <c r="R43" s="191">
        <f t="shared" si="31"/>
        <v>5923075.5200280603</v>
      </c>
      <c r="S43" s="191">
        <f t="shared" si="31"/>
        <v>6034276.6402498418</v>
      </c>
      <c r="T43" s="191">
        <f t="shared" si="31"/>
        <v>6147701.7828760594</v>
      </c>
      <c r="U43" s="191">
        <f t="shared" si="31"/>
        <v>6263395.4283547997</v>
      </c>
      <c r="V43" s="191">
        <f t="shared" si="31"/>
        <v>6381402.9467431158</v>
      </c>
      <c r="W43" s="191">
        <f t="shared" si="31"/>
        <v>6501770.6154991975</v>
      </c>
      <c r="X43" s="191">
        <f t="shared" si="31"/>
        <v>6624545.6376304012</v>
      </c>
      <c r="Y43" s="191">
        <f t="shared" si="31"/>
        <v>6749776.1602042299</v>
      </c>
      <c r="Z43" s="191">
        <f t="shared" si="31"/>
        <v>6877511.2932295352</v>
      </c>
      <c r="AA43" s="191">
        <f t="shared" si="31"/>
        <v>7007801.1289153462</v>
      </c>
      <c r="AB43" s="191">
        <f t="shared" si="31"/>
        <v>7140696.7613148717</v>
      </c>
      <c r="AC43" s="191">
        <f t="shared" si="31"/>
        <v>7276250.3063623887</v>
      </c>
      <c r="AD43" s="191">
        <f t="shared" si="31"/>
        <v>7414514.9223108562</v>
      </c>
      <c r="AE43" s="191">
        <f t="shared" si="31"/>
        <v>7555544.8305782937</v>
      </c>
      <c r="AF43" s="191">
        <f t="shared" si="31"/>
        <v>7699395.3370110802</v>
      </c>
      <c r="AG43" s="227"/>
      <c r="AH43" s="238"/>
      <c r="AI43" s="152"/>
    </row>
    <row r="44" spans="1:35" ht="8.1" customHeight="1" x14ac:dyDescent="0.25">
      <c r="A44" s="141"/>
      <c r="B44" s="174"/>
      <c r="C44" s="136"/>
      <c r="D44" s="136"/>
      <c r="E44" s="136"/>
      <c r="F44" s="136"/>
      <c r="G44" s="365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227"/>
      <c r="AH44" s="238"/>
      <c r="AI44" s="152"/>
    </row>
    <row r="45" spans="1:35" x14ac:dyDescent="0.25">
      <c r="A45" s="184" t="s">
        <v>159</v>
      </c>
      <c r="B45" s="439" t="s">
        <v>200</v>
      </c>
      <c r="C45" s="185"/>
      <c r="D45" s="185"/>
      <c r="E45" s="185"/>
      <c r="F45" s="185"/>
      <c r="G45" s="366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227"/>
      <c r="AH45" s="238"/>
      <c r="AI45" s="152"/>
    </row>
    <row r="46" spans="1:35" x14ac:dyDescent="0.25">
      <c r="A46" s="186" t="s">
        <v>165</v>
      </c>
      <c r="B46" s="439"/>
      <c r="C46" s="185">
        <f>C42</f>
        <v>851540.46527541592</v>
      </c>
      <c r="D46" s="185">
        <f t="shared" ref="D46:L46" si="32">D42</f>
        <v>996961.71286014514</v>
      </c>
      <c r="E46" s="185">
        <f t="shared" si="32"/>
        <v>1160857.7164005353</v>
      </c>
      <c r="F46" s="185">
        <f t="shared" si="32"/>
        <v>1326959.5067598931</v>
      </c>
      <c r="G46" s="366">
        <f t="shared" si="32"/>
        <v>1480341.7920073974</v>
      </c>
      <c r="H46" s="185">
        <f t="shared" si="32"/>
        <v>1636791.7229598525</v>
      </c>
      <c r="I46" s="185">
        <f t="shared" si="32"/>
        <v>1755398.9791676449</v>
      </c>
      <c r="J46" s="185">
        <f t="shared" si="32"/>
        <v>1787965.8221884246</v>
      </c>
      <c r="K46" s="185">
        <f t="shared" si="32"/>
        <v>1821184.0020696199</v>
      </c>
      <c r="L46" s="185">
        <f t="shared" si="32"/>
        <v>1855066.5455484395</v>
      </c>
      <c r="M46" s="185">
        <f>M42</f>
        <v>1889626.7398968351</v>
      </c>
      <c r="N46" s="185">
        <f t="shared" ref="N46:AF46" si="33">N42</f>
        <v>1924878.1381321992</v>
      </c>
      <c r="O46" s="185">
        <f t="shared" si="33"/>
        <v>1960834.5643322701</v>
      </c>
      <c r="P46" s="185">
        <f t="shared" si="33"/>
        <v>1997510.1190563424</v>
      </c>
      <c r="Q46" s="185">
        <f t="shared" si="33"/>
        <v>2034919.1848748962</v>
      </c>
      <c r="R46" s="185">
        <f t="shared" si="33"/>
        <v>2073076.4320098213</v>
      </c>
      <c r="S46" s="185">
        <f t="shared" si="33"/>
        <v>2111996.8240874447</v>
      </c>
      <c r="T46" s="185">
        <f t="shared" si="33"/>
        <v>2151695.6240066206</v>
      </c>
      <c r="U46" s="185">
        <f t="shared" si="33"/>
        <v>2192188.39992418</v>
      </c>
      <c r="V46" s="185">
        <f t="shared" si="33"/>
        <v>2233491.0313600902</v>
      </c>
      <c r="W46" s="185">
        <f t="shared" si="33"/>
        <v>2275619.7154247193</v>
      </c>
      <c r="X46" s="185">
        <f t="shared" si="33"/>
        <v>2318590.9731706404</v>
      </c>
      <c r="Y46" s="185">
        <f t="shared" si="33"/>
        <v>2362421.6560714808</v>
      </c>
      <c r="Z46" s="185">
        <f t="shared" si="33"/>
        <v>2407128.9526303373</v>
      </c>
      <c r="AA46" s="185">
        <f t="shared" si="33"/>
        <v>2452730.3951203711</v>
      </c>
      <c r="AB46" s="185">
        <f t="shared" si="33"/>
        <v>2499243.8664602051</v>
      </c>
      <c r="AC46" s="185">
        <f t="shared" si="33"/>
        <v>2546687.607226836</v>
      </c>
      <c r="AD46" s="185">
        <f t="shared" si="33"/>
        <v>2595080.2228087997</v>
      </c>
      <c r="AE46" s="185">
        <f t="shared" si="33"/>
        <v>2644440.6907024025</v>
      </c>
      <c r="AF46" s="185">
        <f t="shared" si="33"/>
        <v>2694788.3679538784</v>
      </c>
      <c r="AG46" s="227" t="s">
        <v>164</v>
      </c>
      <c r="AH46" s="238" t="s">
        <v>164</v>
      </c>
      <c r="AI46" s="152"/>
    </row>
    <row r="47" spans="1:35" ht="15" customHeight="1" x14ac:dyDescent="0.25">
      <c r="A47" s="186" t="str">
        <f>CONCATENATE("Less: ",$A$4," Portion of FORA Remediation Bonds Debt Service")</f>
        <v>Less: Monterey County Portion of FORA Remediation Bonds Debt Service</v>
      </c>
      <c r="B47" s="186"/>
      <c r="C47" s="185">
        <v>0</v>
      </c>
      <c r="D47" s="280">
        <f>-'DS (Base Case)'!N55</f>
        <v>-536727.67714299669</v>
      </c>
      <c r="E47" s="185">
        <f>-'DS (Base Case)'!O55</f>
        <v>-537224.96694956592</v>
      </c>
      <c r="F47" s="280">
        <f>-'DS (Base Case)'!P55</f>
        <v>-537375.83161992638</v>
      </c>
      <c r="G47" s="304">
        <f>-'DS (Base Case)'!Q55</f>
        <v>-537311.36154762062</v>
      </c>
      <c r="H47" s="280">
        <f>-'DS (Base Case)'!R55</f>
        <v>-537001.51201217773</v>
      </c>
      <c r="I47" s="280">
        <f>-'DS (Base Case)'!S55</f>
        <v>-537783.48142166843</v>
      </c>
      <c r="J47" s="280">
        <f>-'DS (Base Case)'!T55</f>
        <v>-536515.36877553444</v>
      </c>
      <c r="K47" s="280">
        <f>-'DS (Base Case)'!U55</f>
        <v>-536049.71300386405</v>
      </c>
      <c r="L47" s="280">
        <f>-'DS (Base Case)'!V55</f>
        <v>-537836.93046653236</v>
      </c>
      <c r="M47" s="280">
        <f>-'DS (Base Case)'!W55</f>
        <v>-536639.41543437913</v>
      </c>
      <c r="N47" s="280">
        <f>-'DS (Base Case)'!X55</f>
        <v>-537677.46480044664</v>
      </c>
      <c r="O47" s="280">
        <f>-'DS (Base Case)'!Y55</f>
        <v>-536827.83600532869</v>
      </c>
      <c r="P47" s="280">
        <f>-'DS (Base Case)'!Z55</f>
        <v>-536810.34019104287</v>
      </c>
      <c r="Q47" s="280">
        <f>-'DS (Base Case)'!AA55</f>
        <v>-537549.43817774171</v>
      </c>
      <c r="R47" s="280">
        <f>-'DS (Base Case)'!AB55</f>
        <v>-537728.40299562679</v>
      </c>
      <c r="S47" s="280">
        <f>-'DS (Base Case)'!AC55</f>
        <v>-535979.72974672099</v>
      </c>
      <c r="T47" s="280">
        <f>-'DS (Base Case)'!AD55</f>
        <v>-536407.10841629747</v>
      </c>
      <c r="U47" s="280">
        <f>-'DS (Base Case)'!AE55</f>
        <v>-537558.359707469</v>
      </c>
      <c r="V47" s="280">
        <f>-'DS (Base Case)'!AF55</f>
        <v>-538105.67151619541</v>
      </c>
      <c r="W47" s="280">
        <f>-'DS (Base Case)'!AG55</f>
        <v>-536787.74254388898</v>
      </c>
      <c r="X47" s="280">
        <f>-'DS (Base Case)'!AH55</f>
        <v>-537685.77197333658</v>
      </c>
      <c r="Y47" s="280">
        <f>-'DS (Base Case)'!AI55</f>
        <v>-536648.71092044236</v>
      </c>
      <c r="Z47" s="280">
        <f>-'DS (Base Case)'!AJ55</f>
        <v>-537780.59661564883</v>
      </c>
      <c r="AA47" s="280">
        <f>-'DS (Base Case)'!AK55</f>
        <v>-536927.97616984381</v>
      </c>
      <c r="AB47" s="280">
        <f>-'DS (Base Case)'!AL55</f>
        <v>-536840.89776591759</v>
      </c>
      <c r="AC47" s="280">
        <f>-'DS (Base Case)'!AM55</f>
        <v>-537436.95745414251</v>
      </c>
      <c r="AD47" s="280">
        <f>-'DS (Base Case)'!AN55</f>
        <v>-537369.24464618147</v>
      </c>
      <c r="AE47" s="280">
        <f>-'DS (Base Case)'!AO55</f>
        <v>-537934.45293669635</v>
      </c>
      <c r="AF47" s="280">
        <f>-'DS (Base Case)'!AP55</f>
        <v>-536432.21691313502</v>
      </c>
      <c r="AG47" s="227" t="s">
        <v>147</v>
      </c>
      <c r="AH47" s="238" t="s">
        <v>147</v>
      </c>
      <c r="AI47" s="152"/>
    </row>
    <row r="48" spans="1:35" ht="15" customHeight="1" x14ac:dyDescent="0.25">
      <c r="A48" s="192" t="s">
        <v>166</v>
      </c>
      <c r="B48" s="187"/>
      <c r="C48" s="190">
        <f>SUM(C46:C47)</f>
        <v>851540.46527541592</v>
      </c>
      <c r="D48" s="190">
        <f t="shared" ref="D48:AF48" si="34">SUM(D46:D47)</f>
        <v>460234.03571714845</v>
      </c>
      <c r="E48" s="190">
        <f t="shared" si="34"/>
        <v>623632.74945096939</v>
      </c>
      <c r="F48" s="225">
        <f t="shared" si="34"/>
        <v>789583.67513996677</v>
      </c>
      <c r="G48" s="384">
        <f t="shared" si="34"/>
        <v>943030.43045977678</v>
      </c>
      <c r="H48" s="225">
        <f t="shared" si="34"/>
        <v>1099790.2109476747</v>
      </c>
      <c r="I48" s="225">
        <f t="shared" si="34"/>
        <v>1217615.4977459763</v>
      </c>
      <c r="J48" s="225">
        <f t="shared" si="34"/>
        <v>1251450.4534128902</v>
      </c>
      <c r="K48" s="225">
        <f t="shared" si="34"/>
        <v>1285134.2890657559</v>
      </c>
      <c r="L48" s="225">
        <f t="shared" si="34"/>
        <v>1317229.6150819072</v>
      </c>
      <c r="M48" s="225">
        <f t="shared" si="34"/>
        <v>1352987.3244624559</v>
      </c>
      <c r="N48" s="225">
        <f t="shared" si="34"/>
        <v>1387200.6733317524</v>
      </c>
      <c r="O48" s="225">
        <f t="shared" si="34"/>
        <v>1424006.7283269414</v>
      </c>
      <c r="P48" s="225">
        <f t="shared" si="34"/>
        <v>1460699.7788652997</v>
      </c>
      <c r="Q48" s="225">
        <f t="shared" si="34"/>
        <v>1497369.7466971544</v>
      </c>
      <c r="R48" s="225">
        <f t="shared" si="34"/>
        <v>1535348.0290141944</v>
      </c>
      <c r="S48" s="225">
        <f t="shared" si="34"/>
        <v>1576017.0943407237</v>
      </c>
      <c r="T48" s="225">
        <f t="shared" si="34"/>
        <v>1615288.5155903231</v>
      </c>
      <c r="U48" s="225">
        <f t="shared" si="34"/>
        <v>1654630.0402167109</v>
      </c>
      <c r="V48" s="225">
        <f t="shared" si="34"/>
        <v>1695385.3598438948</v>
      </c>
      <c r="W48" s="225">
        <f t="shared" si="34"/>
        <v>1738831.9728808303</v>
      </c>
      <c r="X48" s="225">
        <f t="shared" si="34"/>
        <v>1780905.2011973038</v>
      </c>
      <c r="Y48" s="225">
        <f t="shared" si="34"/>
        <v>1825772.9451510385</v>
      </c>
      <c r="Z48" s="225">
        <f t="shared" si="34"/>
        <v>1869348.3560146885</v>
      </c>
      <c r="AA48" s="225">
        <f t="shared" si="34"/>
        <v>1915802.4189505274</v>
      </c>
      <c r="AB48" s="225">
        <f t="shared" si="34"/>
        <v>1962402.9686942874</v>
      </c>
      <c r="AC48" s="225">
        <f t="shared" si="34"/>
        <v>2009250.6497726934</v>
      </c>
      <c r="AD48" s="225">
        <f t="shared" si="34"/>
        <v>2057710.9781626184</v>
      </c>
      <c r="AE48" s="225">
        <f t="shared" si="34"/>
        <v>2106506.2377657061</v>
      </c>
      <c r="AF48" s="225">
        <f t="shared" si="34"/>
        <v>2158356.1510407431</v>
      </c>
      <c r="AG48" s="227" t="s">
        <v>184</v>
      </c>
      <c r="AH48" s="240" t="s">
        <v>196</v>
      </c>
      <c r="AI48" s="152"/>
    </row>
    <row r="49" spans="1:35" ht="8.1" customHeight="1" x14ac:dyDescent="0.25">
      <c r="A49" s="171"/>
      <c r="B49" s="172"/>
      <c r="C49" s="136"/>
      <c r="D49" s="136"/>
      <c r="E49" s="136"/>
      <c r="F49" s="136"/>
      <c r="G49" s="365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227"/>
      <c r="AH49" s="238"/>
      <c r="AI49" s="152"/>
    </row>
    <row r="50" spans="1:35" ht="15" customHeight="1" x14ac:dyDescent="0.25">
      <c r="A50" s="198" t="s">
        <v>168</v>
      </c>
      <c r="B50" s="199"/>
      <c r="C50" s="135"/>
      <c r="D50" s="135"/>
      <c r="E50" s="135"/>
      <c r="F50" s="135"/>
      <c r="G50" s="369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227"/>
      <c r="AH50" s="238"/>
      <c r="AI50" s="152"/>
    </row>
    <row r="51" spans="1:35" ht="15" customHeight="1" x14ac:dyDescent="0.25">
      <c r="A51" s="200" t="s">
        <v>161</v>
      </c>
      <c r="B51" s="201">
        <v>0.38</v>
      </c>
      <c r="C51" s="135">
        <v>0</v>
      </c>
      <c r="D51" s="135">
        <v>0</v>
      </c>
      <c r="E51" s="135">
        <v>0</v>
      </c>
      <c r="F51" s="135">
        <v>0</v>
      </c>
      <c r="G51" s="369">
        <f t="shared" ref="G51:L51" si="35">G48*$B$51</f>
        <v>358351.56357471517</v>
      </c>
      <c r="H51" s="135">
        <f t="shared" si="35"/>
        <v>417920.28016011638</v>
      </c>
      <c r="I51" s="135">
        <f t="shared" si="35"/>
        <v>462693.88914347102</v>
      </c>
      <c r="J51" s="135">
        <f t="shared" si="35"/>
        <v>475551.17229689826</v>
      </c>
      <c r="K51" s="135">
        <f t="shared" si="35"/>
        <v>488351.02984498726</v>
      </c>
      <c r="L51" s="135">
        <f t="shared" si="35"/>
        <v>500547.25373112474</v>
      </c>
      <c r="M51" s="135">
        <f>M48*$B$51</f>
        <v>514135.18329573324</v>
      </c>
      <c r="N51" s="135">
        <f t="shared" ref="N51:AF51" si="36">N48*$B$51</f>
        <v>527136.25586606597</v>
      </c>
      <c r="O51" s="135">
        <f t="shared" si="36"/>
        <v>541122.5567642377</v>
      </c>
      <c r="P51" s="135">
        <f t="shared" si="36"/>
        <v>555065.91596881382</v>
      </c>
      <c r="Q51" s="135">
        <f t="shared" si="36"/>
        <v>569000.50374491862</v>
      </c>
      <c r="R51" s="135">
        <f t="shared" si="36"/>
        <v>583432.25102539384</v>
      </c>
      <c r="S51" s="135">
        <f t="shared" si="36"/>
        <v>598886.49584947503</v>
      </c>
      <c r="T51" s="135">
        <f t="shared" si="36"/>
        <v>613809.63592432276</v>
      </c>
      <c r="U51" s="135">
        <f t="shared" si="36"/>
        <v>628759.41528235015</v>
      </c>
      <c r="V51" s="135">
        <f t="shared" si="36"/>
        <v>644246.43674068002</v>
      </c>
      <c r="W51" s="135">
        <f t="shared" si="36"/>
        <v>660756.14969471551</v>
      </c>
      <c r="X51" s="135">
        <f t="shared" si="36"/>
        <v>676743.97645497543</v>
      </c>
      <c r="Y51" s="135">
        <f t="shared" si="36"/>
        <v>693793.7191573946</v>
      </c>
      <c r="Z51" s="135">
        <f t="shared" si="36"/>
        <v>710352.37528558169</v>
      </c>
      <c r="AA51" s="135">
        <f t="shared" si="36"/>
        <v>728004.91920120048</v>
      </c>
      <c r="AB51" s="135">
        <f t="shared" si="36"/>
        <v>745713.12810382922</v>
      </c>
      <c r="AC51" s="135">
        <f t="shared" si="36"/>
        <v>763515.24691362353</v>
      </c>
      <c r="AD51" s="135">
        <f t="shared" si="36"/>
        <v>781930.17170179496</v>
      </c>
      <c r="AE51" s="135">
        <f t="shared" si="36"/>
        <v>800472.37035096833</v>
      </c>
      <c r="AF51" s="135">
        <f t="shared" si="36"/>
        <v>820175.33739548235</v>
      </c>
      <c r="AG51" s="234" t="s">
        <v>149</v>
      </c>
      <c r="AH51" s="244" t="s">
        <v>172</v>
      </c>
      <c r="AI51" s="124"/>
    </row>
    <row r="52" spans="1:35" ht="15" customHeight="1" x14ac:dyDescent="0.25">
      <c r="A52" s="200" t="s">
        <v>162</v>
      </c>
      <c r="B52" s="202">
        <v>0.08</v>
      </c>
      <c r="C52" s="135">
        <v>0</v>
      </c>
      <c r="D52" s="135">
        <v>0</v>
      </c>
      <c r="E52" s="135">
        <v>0</v>
      </c>
      <c r="F52" s="135">
        <v>0</v>
      </c>
      <c r="G52" s="369">
        <f t="shared" ref="G52:L52" si="37">G48*$B$52</f>
        <v>75442.434436782147</v>
      </c>
      <c r="H52" s="135">
        <f t="shared" si="37"/>
        <v>87983.216875813974</v>
      </c>
      <c r="I52" s="135">
        <f t="shared" si="37"/>
        <v>97409.239819678114</v>
      </c>
      <c r="J52" s="135">
        <f t="shared" si="37"/>
        <v>100116.03627303122</v>
      </c>
      <c r="K52" s="135">
        <f t="shared" si="37"/>
        <v>102810.74312526047</v>
      </c>
      <c r="L52" s="135">
        <f t="shared" si="37"/>
        <v>105378.36920655258</v>
      </c>
      <c r="M52" s="135">
        <f>M48*$B$52</f>
        <v>108238.98595699648</v>
      </c>
      <c r="N52" s="135">
        <f t="shared" ref="N52:AF52" si="38">N48*$B$52</f>
        <v>110976.0538665402</v>
      </c>
      <c r="O52" s="135">
        <f t="shared" si="38"/>
        <v>113920.53826615532</v>
      </c>
      <c r="P52" s="135">
        <f t="shared" si="38"/>
        <v>116855.98230922397</v>
      </c>
      <c r="Q52" s="135">
        <f t="shared" si="38"/>
        <v>119789.57973577235</v>
      </c>
      <c r="R52" s="135">
        <f t="shared" si="38"/>
        <v>122827.84232113555</v>
      </c>
      <c r="S52" s="135">
        <f t="shared" si="38"/>
        <v>126081.36754725791</v>
      </c>
      <c r="T52" s="135">
        <f t="shared" si="38"/>
        <v>129223.08124722585</v>
      </c>
      <c r="U52" s="135">
        <f t="shared" si="38"/>
        <v>132370.40321733686</v>
      </c>
      <c r="V52" s="135">
        <f t="shared" si="38"/>
        <v>135630.82878751159</v>
      </c>
      <c r="W52" s="135">
        <f t="shared" si="38"/>
        <v>139106.55783046642</v>
      </c>
      <c r="X52" s="135">
        <f t="shared" si="38"/>
        <v>142472.41609578431</v>
      </c>
      <c r="Y52" s="135">
        <f t="shared" si="38"/>
        <v>146061.83561208309</v>
      </c>
      <c r="Z52" s="135">
        <f t="shared" si="38"/>
        <v>149547.86848117507</v>
      </c>
      <c r="AA52" s="135">
        <f t="shared" si="38"/>
        <v>153264.1935160422</v>
      </c>
      <c r="AB52" s="135">
        <f t="shared" si="38"/>
        <v>156992.237495543</v>
      </c>
      <c r="AC52" s="135">
        <f t="shared" si="38"/>
        <v>160740.05198181549</v>
      </c>
      <c r="AD52" s="135">
        <f t="shared" si="38"/>
        <v>164616.87825300946</v>
      </c>
      <c r="AE52" s="135">
        <f t="shared" si="38"/>
        <v>168520.49902125649</v>
      </c>
      <c r="AF52" s="135">
        <f t="shared" si="38"/>
        <v>172668.49208325945</v>
      </c>
      <c r="AG52" s="233"/>
      <c r="AH52" s="243" t="s">
        <v>173</v>
      </c>
      <c r="AI52" s="152"/>
    </row>
    <row r="53" spans="1:35" ht="15" customHeight="1" x14ac:dyDescent="0.25">
      <c r="A53" s="200" t="s">
        <v>163</v>
      </c>
      <c r="B53" s="203">
        <v>0.54</v>
      </c>
      <c r="C53" s="135">
        <v>0</v>
      </c>
      <c r="D53" s="135">
        <v>0</v>
      </c>
      <c r="E53" s="135">
        <v>0</v>
      </c>
      <c r="F53" s="135">
        <v>0</v>
      </c>
      <c r="G53" s="369">
        <f t="shared" ref="G53:L53" si="39">$B$53*G48</f>
        <v>509236.43244827952</v>
      </c>
      <c r="H53" s="135">
        <f t="shared" si="39"/>
        <v>593886.71391174442</v>
      </c>
      <c r="I53" s="135">
        <f t="shared" si="39"/>
        <v>657512.36878282728</v>
      </c>
      <c r="J53" s="135">
        <f t="shared" si="39"/>
        <v>675783.24484296073</v>
      </c>
      <c r="K53" s="135">
        <f t="shared" si="39"/>
        <v>693972.51609550824</v>
      </c>
      <c r="L53" s="135">
        <f t="shared" si="39"/>
        <v>711303.99214422994</v>
      </c>
      <c r="M53" s="135">
        <f>$B$53*M48</f>
        <v>730613.1552097263</v>
      </c>
      <c r="N53" s="135">
        <f t="shared" ref="N53:AF53" si="40">$B$53*N48</f>
        <v>749088.36359914637</v>
      </c>
      <c r="O53" s="135">
        <f t="shared" si="40"/>
        <v>768963.63329654839</v>
      </c>
      <c r="P53" s="135">
        <f t="shared" si="40"/>
        <v>788777.88058726187</v>
      </c>
      <c r="Q53" s="135">
        <f t="shared" si="40"/>
        <v>808579.66321646341</v>
      </c>
      <c r="R53" s="135">
        <f t="shared" si="40"/>
        <v>829087.93566766498</v>
      </c>
      <c r="S53" s="135">
        <f t="shared" si="40"/>
        <v>851049.23094399087</v>
      </c>
      <c r="T53" s="135">
        <f t="shared" si="40"/>
        <v>872255.7984187745</v>
      </c>
      <c r="U53" s="135">
        <f t="shared" si="40"/>
        <v>893500.22171702399</v>
      </c>
      <c r="V53" s="135">
        <f t="shared" si="40"/>
        <v>915508.09431570326</v>
      </c>
      <c r="W53" s="135">
        <f t="shared" si="40"/>
        <v>938969.26535564847</v>
      </c>
      <c r="X53" s="135">
        <f t="shared" si="40"/>
        <v>961688.80864654412</v>
      </c>
      <c r="Y53" s="135">
        <f t="shared" si="40"/>
        <v>985917.39038156089</v>
      </c>
      <c r="Z53" s="135">
        <f t="shared" si="40"/>
        <v>1009448.1122479319</v>
      </c>
      <c r="AA53" s="135">
        <f t="shared" si="40"/>
        <v>1034533.3062332849</v>
      </c>
      <c r="AB53" s="135">
        <f t="shared" si="40"/>
        <v>1059697.6030949152</v>
      </c>
      <c r="AC53" s="135">
        <f t="shared" si="40"/>
        <v>1084995.3508772545</v>
      </c>
      <c r="AD53" s="135">
        <f t="shared" si="40"/>
        <v>1111163.928207814</v>
      </c>
      <c r="AE53" s="135">
        <f t="shared" si="40"/>
        <v>1137513.3683934815</v>
      </c>
      <c r="AF53" s="135">
        <f t="shared" si="40"/>
        <v>1165512.3215620012</v>
      </c>
      <c r="AG53" s="227" t="s">
        <v>185</v>
      </c>
      <c r="AH53" s="240" t="s">
        <v>188</v>
      </c>
      <c r="AI53" s="152"/>
    </row>
    <row r="54" spans="1:35" ht="15" customHeight="1" x14ac:dyDescent="0.25">
      <c r="A54" s="220" t="s">
        <v>160</v>
      </c>
      <c r="B54" s="221">
        <f>SUM(B51:B53)</f>
        <v>1</v>
      </c>
      <c r="C54" s="222">
        <f>SUM(C51:C53)</f>
        <v>0</v>
      </c>
      <c r="D54" s="222">
        <f t="shared" ref="D54:L54" si="41">SUM(D51:D53)</f>
        <v>0</v>
      </c>
      <c r="E54" s="222">
        <f t="shared" si="41"/>
        <v>0</v>
      </c>
      <c r="F54" s="222">
        <f t="shared" si="41"/>
        <v>0</v>
      </c>
      <c r="G54" s="370">
        <f t="shared" si="41"/>
        <v>943030.43045977689</v>
      </c>
      <c r="H54" s="222">
        <f t="shared" si="41"/>
        <v>1099790.2109476747</v>
      </c>
      <c r="I54" s="222">
        <f t="shared" si="41"/>
        <v>1217615.4977459763</v>
      </c>
      <c r="J54" s="222">
        <f t="shared" si="41"/>
        <v>1251450.4534128902</v>
      </c>
      <c r="K54" s="222">
        <f t="shared" si="41"/>
        <v>1285134.2890657559</v>
      </c>
      <c r="L54" s="222">
        <f t="shared" si="41"/>
        <v>1317229.6150819072</v>
      </c>
      <c r="M54" s="222">
        <f>SUM(M51:M53)</f>
        <v>1352987.3244624562</v>
      </c>
      <c r="N54" s="222">
        <f t="shared" ref="N54:AF54" si="42">SUM(N51:N53)</f>
        <v>1387200.6733317524</v>
      </c>
      <c r="O54" s="222">
        <f t="shared" si="42"/>
        <v>1424006.7283269414</v>
      </c>
      <c r="P54" s="222">
        <f t="shared" si="42"/>
        <v>1460699.7788652997</v>
      </c>
      <c r="Q54" s="222">
        <f t="shared" si="42"/>
        <v>1497369.7466971544</v>
      </c>
      <c r="R54" s="222">
        <f t="shared" si="42"/>
        <v>1535348.0290141944</v>
      </c>
      <c r="S54" s="222">
        <f t="shared" si="42"/>
        <v>1576017.0943407239</v>
      </c>
      <c r="T54" s="222">
        <f t="shared" si="42"/>
        <v>1615288.5155903231</v>
      </c>
      <c r="U54" s="222">
        <f t="shared" si="42"/>
        <v>1654630.0402167109</v>
      </c>
      <c r="V54" s="222">
        <f t="shared" si="42"/>
        <v>1695385.3598438948</v>
      </c>
      <c r="W54" s="222">
        <f t="shared" si="42"/>
        <v>1738831.9728808305</v>
      </c>
      <c r="X54" s="222">
        <f t="shared" si="42"/>
        <v>1780905.2011973038</v>
      </c>
      <c r="Y54" s="222">
        <f t="shared" si="42"/>
        <v>1825772.9451510385</v>
      </c>
      <c r="Z54" s="222">
        <f t="shared" si="42"/>
        <v>1869348.3560146885</v>
      </c>
      <c r="AA54" s="222">
        <f t="shared" si="42"/>
        <v>1915802.4189505274</v>
      </c>
      <c r="AB54" s="222">
        <f t="shared" si="42"/>
        <v>1962402.9686942874</v>
      </c>
      <c r="AC54" s="222">
        <f t="shared" si="42"/>
        <v>2009250.6497726934</v>
      </c>
      <c r="AD54" s="222">
        <f t="shared" si="42"/>
        <v>2057710.9781626184</v>
      </c>
      <c r="AE54" s="222">
        <f t="shared" si="42"/>
        <v>2106506.2377657061</v>
      </c>
      <c r="AF54" s="222">
        <f t="shared" si="42"/>
        <v>2158356.1510407431</v>
      </c>
      <c r="AG54" s="227"/>
      <c r="AH54" s="238"/>
      <c r="AI54" s="152"/>
    </row>
    <row r="55" spans="1:35" ht="8.1" customHeight="1" x14ac:dyDescent="0.25">
      <c r="A55" s="140"/>
      <c r="B55" s="101"/>
      <c r="C55" s="136"/>
      <c r="D55" s="136"/>
      <c r="E55" s="136"/>
      <c r="F55" s="136"/>
      <c r="G55" s="365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227"/>
      <c r="AH55" s="238"/>
      <c r="AI55" s="152"/>
    </row>
    <row r="56" spans="1:35" ht="15" customHeight="1" x14ac:dyDescent="0.25">
      <c r="A56" s="150" t="str">
        <f>CONCATENATE("Increase in ",A4," General Fund Revenues")</f>
        <v>Increase in Monterey County General Fund Revenues</v>
      </c>
      <c r="B56" s="251" t="s">
        <v>287</v>
      </c>
      <c r="C56" s="136"/>
      <c r="D56" s="136"/>
      <c r="E56" s="136"/>
      <c r="F56" s="136"/>
      <c r="G56" s="365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227"/>
      <c r="AH56" s="238"/>
      <c r="AI56" s="152"/>
    </row>
    <row r="57" spans="1:35" ht="30" customHeight="1" x14ac:dyDescent="0.25">
      <c r="A57" s="178" t="s">
        <v>199</v>
      </c>
      <c r="B57" s="278">
        <f>Scenarios!E7</f>
        <v>0.2</v>
      </c>
      <c r="C57" s="177">
        <v>0</v>
      </c>
      <c r="D57" s="177">
        <v>0</v>
      </c>
      <c r="E57" s="177">
        <v>0</v>
      </c>
      <c r="F57" s="177">
        <v>0</v>
      </c>
      <c r="G57" s="371">
        <v>0</v>
      </c>
      <c r="H57" s="177">
        <v>0</v>
      </c>
      <c r="I57" s="177">
        <v>0</v>
      </c>
      <c r="J57" s="177">
        <v>0</v>
      </c>
      <c r="K57" s="177">
        <v>0</v>
      </c>
      <c r="L57" s="177">
        <v>0</v>
      </c>
      <c r="M57" s="177">
        <v>0</v>
      </c>
      <c r="N57" s="177">
        <f>N53*$B$57</f>
        <v>149817.67271982928</v>
      </c>
      <c r="O57" s="177">
        <f t="shared" ref="O57:AF57" si="43">O53*$B$57</f>
        <v>153792.72665930967</v>
      </c>
      <c r="P57" s="177">
        <f t="shared" si="43"/>
        <v>157755.57611745238</v>
      </c>
      <c r="Q57" s="177">
        <f t="shared" si="43"/>
        <v>161715.9326432927</v>
      </c>
      <c r="R57" s="177">
        <f t="shared" si="43"/>
        <v>165817.587133533</v>
      </c>
      <c r="S57" s="177">
        <f t="shared" si="43"/>
        <v>170209.8461887982</v>
      </c>
      <c r="T57" s="177">
        <f t="shared" si="43"/>
        <v>174451.1596837549</v>
      </c>
      <c r="U57" s="177">
        <f t="shared" si="43"/>
        <v>178700.04434340482</v>
      </c>
      <c r="V57" s="177">
        <f t="shared" si="43"/>
        <v>183101.61886314067</v>
      </c>
      <c r="W57" s="177">
        <f t="shared" si="43"/>
        <v>187793.85307112971</v>
      </c>
      <c r="X57" s="177">
        <f t="shared" si="43"/>
        <v>192337.76172930884</v>
      </c>
      <c r="Y57" s="177">
        <f t="shared" si="43"/>
        <v>197183.4780763122</v>
      </c>
      <c r="Z57" s="177">
        <f t="shared" si="43"/>
        <v>201889.6224495864</v>
      </c>
      <c r="AA57" s="177">
        <f t="shared" si="43"/>
        <v>206906.66124665699</v>
      </c>
      <c r="AB57" s="177">
        <f t="shared" si="43"/>
        <v>211939.52061898305</v>
      </c>
      <c r="AC57" s="177">
        <f t="shared" si="43"/>
        <v>216999.07017545091</v>
      </c>
      <c r="AD57" s="177">
        <f t="shared" si="43"/>
        <v>222232.7856415628</v>
      </c>
      <c r="AE57" s="177">
        <f t="shared" si="43"/>
        <v>227502.6736786963</v>
      </c>
      <c r="AF57" s="177">
        <f t="shared" si="43"/>
        <v>233102.46431240026</v>
      </c>
      <c r="AG57" s="235" t="s">
        <v>186</v>
      </c>
      <c r="AH57" s="245" t="s">
        <v>187</v>
      </c>
      <c r="AI57" s="152"/>
    </row>
    <row r="58" spans="1:35" ht="15" hidden="1" customHeight="1" x14ac:dyDescent="0.25">
      <c r="A58" s="151" t="str">
        <f>CONCATENATE("Add Back In: 10% of Incremental FORA Share sent to ",A4)</f>
        <v>Add Back In: 10% of Incremental FORA Share sent to Monterey County</v>
      </c>
      <c r="B58" s="142"/>
      <c r="C58" s="145" t="e">
        <f>-#REF!</f>
        <v>#REF!</v>
      </c>
      <c r="D58" s="145" t="e">
        <f>-#REF!</f>
        <v>#REF!</v>
      </c>
      <c r="E58" s="145" t="e">
        <f>-#REF!</f>
        <v>#REF!</v>
      </c>
      <c r="F58" s="145" t="e">
        <f>-#REF!</f>
        <v>#REF!</v>
      </c>
      <c r="G58" s="372" t="e">
        <f>-#REF!</f>
        <v>#REF!</v>
      </c>
      <c r="H58" s="145" t="e">
        <f>-#REF!</f>
        <v>#REF!</v>
      </c>
      <c r="I58" s="145" t="e">
        <f>-#REF!</f>
        <v>#REF!</v>
      </c>
      <c r="J58" s="145" t="e">
        <f>-#REF!</f>
        <v>#REF!</v>
      </c>
      <c r="K58" s="145" t="e">
        <f>-#REF!</f>
        <v>#REF!</v>
      </c>
      <c r="L58" s="145" t="e">
        <f>-#REF!</f>
        <v>#REF!</v>
      </c>
      <c r="M58" s="145" t="e">
        <f>-#REF!</f>
        <v>#REF!</v>
      </c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227" t="s">
        <v>148</v>
      </c>
      <c r="AH58" s="238"/>
      <c r="AI58" s="26"/>
    </row>
    <row r="59" spans="1:35" ht="15" customHeight="1" x14ac:dyDescent="0.25">
      <c r="A59" s="151"/>
      <c r="B59" s="142"/>
      <c r="C59" s="145"/>
      <c r="D59" s="145"/>
      <c r="E59" s="145"/>
      <c r="F59" s="145"/>
      <c r="G59" s="372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227"/>
      <c r="AH59" s="238"/>
      <c r="AI59" s="26"/>
    </row>
    <row r="60" spans="1:35" ht="15" customHeight="1" x14ac:dyDescent="0.25">
      <c r="A60" s="267" t="s">
        <v>211</v>
      </c>
      <c r="B60" s="142"/>
      <c r="C60" s="145"/>
      <c r="D60" s="145"/>
      <c r="E60" s="145"/>
      <c r="F60" s="145"/>
      <c r="G60" s="372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227"/>
      <c r="AH60" s="238"/>
      <c r="AI60" s="26"/>
    </row>
    <row r="61" spans="1:35" ht="15" customHeight="1" x14ac:dyDescent="0.25">
      <c r="A61" s="268" t="s">
        <v>104</v>
      </c>
      <c r="B61" s="269"/>
      <c r="C61" s="270">
        <f>'1 - Marina'!C53</f>
        <v>0</v>
      </c>
      <c r="D61" s="270">
        <f>'1 - Marina'!D53</f>
        <v>0</v>
      </c>
      <c r="E61" s="270">
        <f>'3 - Marina'!E53</f>
        <v>0</v>
      </c>
      <c r="F61" s="270">
        <v>0</v>
      </c>
      <c r="G61" s="308">
        <f>'3 - Marina'!G53</f>
        <v>687752.2314482634</v>
      </c>
      <c r="H61" s="270">
        <f>'3 - Marina'!H53</f>
        <v>829051.93462938757</v>
      </c>
      <c r="I61" s="270">
        <f>'3 - Marina'!I53</f>
        <v>972553.89892033418</v>
      </c>
      <c r="J61" s="270">
        <f>'3 - Marina'!J53</f>
        <v>1120099.3449727998</v>
      </c>
      <c r="K61" s="270">
        <f>'3 - Marina'!K53</f>
        <v>1212714.1487584976</v>
      </c>
      <c r="L61" s="270">
        <f>'3 - Marina'!L53</f>
        <v>1269771.2404641756</v>
      </c>
      <c r="M61" s="270">
        <f>'3 - Marina'!M53</f>
        <v>1301102.8814089349</v>
      </c>
      <c r="N61" s="270">
        <f>'3 - Marina'!N53</f>
        <v>1331777.6275556139</v>
      </c>
      <c r="O61" s="270">
        <f>'3 - Marina'!O53</f>
        <v>1361376.9238148297</v>
      </c>
      <c r="P61" s="270">
        <f>'3 - Marina'!P53</f>
        <v>1391085.8563588865</v>
      </c>
      <c r="Q61" s="270">
        <f>'3 - Marina'!Q53</f>
        <v>1420958.9822272835</v>
      </c>
      <c r="R61" s="270">
        <f>'3 - Marina'!R53</f>
        <v>1451756.1537706084</v>
      </c>
      <c r="S61" s="270">
        <f>'3 - Marina'!S53</f>
        <v>1484266.3055648</v>
      </c>
      <c r="T61" s="270">
        <f>'3 - Marina'!T53</f>
        <v>1516170.6773543875</v>
      </c>
      <c r="U61" s="270">
        <f>'3 - Marina'!U53</f>
        <v>1548306.7929277662</v>
      </c>
      <c r="V61" s="270">
        <f>'3 - Marina'!V53</f>
        <v>1581441.7808574138</v>
      </c>
      <c r="W61" s="270">
        <f>'3 - Marina'!W53</f>
        <v>1616305.2451269727</v>
      </c>
      <c r="X61" s="270">
        <f>'3 - Marina'!X53</f>
        <v>1650592.2203068037</v>
      </c>
      <c r="Y61" s="270">
        <f>'3 - Marina'!Y53</f>
        <v>1686674.3745473912</v>
      </c>
      <c r="Z61" s="270">
        <f>'3 - Marina'!Z53</f>
        <v>1722234.3096476905</v>
      </c>
      <c r="AA61" s="270">
        <f>'3 - Marina'!AA53</f>
        <v>1759645.610659495</v>
      </c>
      <c r="AB61" s="270">
        <f>'3 - Marina'!AB53</f>
        <v>1797360.5813489768</v>
      </c>
      <c r="AC61" s="270">
        <f>'3 - Marina'!AC53</f>
        <v>1835440.8024415679</v>
      </c>
      <c r="AD61" s="270">
        <f>'3 - Marina'!AD53</f>
        <v>1874666.4588344304</v>
      </c>
      <c r="AE61" s="270">
        <f>'3 - Marina'!AE53</f>
        <v>1914316.3253507707</v>
      </c>
      <c r="AF61" s="270">
        <f>'3 - Marina'!AF53</f>
        <v>1955940.0317403176</v>
      </c>
      <c r="AG61" s="227" t="s">
        <v>205</v>
      </c>
      <c r="AH61" s="238"/>
      <c r="AI61" s="26"/>
    </row>
    <row r="62" spans="1:35" ht="15" customHeight="1" x14ac:dyDescent="0.25">
      <c r="A62" s="268" t="s">
        <v>105</v>
      </c>
      <c r="B62" s="269"/>
      <c r="C62" s="270">
        <f>'1 - Seaside'!C53</f>
        <v>0</v>
      </c>
      <c r="D62" s="270">
        <f>'1 - Seaside'!D53</f>
        <v>0</v>
      </c>
      <c r="E62" s="270">
        <v>0</v>
      </c>
      <c r="F62" s="270">
        <v>0</v>
      </c>
      <c r="G62" s="308">
        <f>'3 - Seaside'!G53</f>
        <v>477485.32195329125</v>
      </c>
      <c r="H62" s="270">
        <f>'3 - Seaside'!H53</f>
        <v>584828.27353762311</v>
      </c>
      <c r="I62" s="270">
        <f>'3 - Seaside'!I53</f>
        <v>653661.36809660436</v>
      </c>
      <c r="J62" s="270">
        <f>'3 - Seaside'!J53</f>
        <v>702326.24984637194</v>
      </c>
      <c r="K62" s="270">
        <f>'3 - Seaside'!K53</f>
        <v>760872.6666781127</v>
      </c>
      <c r="L62" s="270">
        <f>'3 - Seaside'!L53</f>
        <v>826260.23131604539</v>
      </c>
      <c r="M62" s="270">
        <f>'3 - Seaside'!M53</f>
        <v>945256.37343801779</v>
      </c>
      <c r="N62" s="270">
        <f>'3 - Seaside'!N53</f>
        <v>1065570.2153595125</v>
      </c>
      <c r="O62" s="270">
        <f>'3 - Seaside'!O53</f>
        <v>1089440.0795765226</v>
      </c>
      <c r="P62" s="270">
        <f>'3 - Seaside'!P53</f>
        <v>1113388.1576898887</v>
      </c>
      <c r="Q62" s="270">
        <f>'3 - Seaside'!Q53</f>
        <v>1137459.3496876645</v>
      </c>
      <c r="R62" s="270">
        <f>'3 - Seaside'!R53</f>
        <v>1162282.2395349303</v>
      </c>
      <c r="S62" s="270">
        <f>'3 - Seaside'!S53</f>
        <v>1188509.4739855656</v>
      </c>
      <c r="T62" s="270">
        <f>'3 - Seaside'!T53</f>
        <v>1214221.8254498956</v>
      </c>
      <c r="U62" s="270">
        <f>'3 - Seaside'!U53</f>
        <v>1240112.1416658349</v>
      </c>
      <c r="V62" s="270">
        <f>'3 - Seaside'!V53</f>
        <v>1266815.007209142</v>
      </c>
      <c r="W62" s="270">
        <f>'3 - Seaside'!W53</f>
        <v>1294933.9464907811</v>
      </c>
      <c r="X62" s="270">
        <f>'3 - Seaside'!X53</f>
        <v>1322561.126353883</v>
      </c>
      <c r="Y62" s="270">
        <f>'3 - Seaside'!Y53</f>
        <v>1351659.0008900424</v>
      </c>
      <c r="Z62" s="270">
        <f>'3 - Seaside'!Z53</f>
        <v>1380309.4361978823</v>
      </c>
      <c r="AA62" s="270">
        <f>'3 - Seaside'!AA53</f>
        <v>1410476.4609083068</v>
      </c>
      <c r="AB62" s="270">
        <f>'3 - Seaside'!AB53</f>
        <v>1440878.9197393656</v>
      </c>
      <c r="AC62" s="270">
        <f>'3 - Seaside'!AC53</f>
        <v>1471567.4581855792</v>
      </c>
      <c r="AD62" s="270">
        <f>'3 - Seaside'!AD53</f>
        <v>1503187.4185351753</v>
      </c>
      <c r="AE62" s="270">
        <f>'3 - Seaside'!AE53</f>
        <v>1535141.5981783567</v>
      </c>
      <c r="AF62" s="270">
        <f>'3 - Seaside'!AF53</f>
        <v>1568712.1042430836</v>
      </c>
      <c r="AG62" s="227" t="s">
        <v>206</v>
      </c>
      <c r="AH62" s="238"/>
      <c r="AI62" s="26"/>
    </row>
    <row r="63" spans="1:35" ht="15" customHeight="1" x14ac:dyDescent="0.25">
      <c r="A63" s="268" t="s">
        <v>76</v>
      </c>
      <c r="B63" s="269"/>
      <c r="C63" s="270">
        <f>'1 - DRO'!C46</f>
        <v>0</v>
      </c>
      <c r="D63" s="270">
        <f>'1 - DRO'!D46</f>
        <v>0</v>
      </c>
      <c r="E63" s="270">
        <v>0</v>
      </c>
      <c r="F63" s="270">
        <v>0</v>
      </c>
      <c r="G63" s="308">
        <f>'3 - DRO'!G46</f>
        <v>122690.55930627797</v>
      </c>
      <c r="H63" s="270">
        <f>'3 - DRO'!H46</f>
        <v>148210.10456334308</v>
      </c>
      <c r="I63" s="270">
        <f>'3 - DRO'!I46</f>
        <v>238363.33966209018</v>
      </c>
      <c r="J63" s="270">
        <f>'3 - DRO'!J46</f>
        <v>289217.63753366808</v>
      </c>
      <c r="K63" s="270">
        <f>'3 - DRO'!K46</f>
        <v>341085.37500091858</v>
      </c>
      <c r="L63" s="270">
        <f>'3 - DRO'!L46</f>
        <v>390144.33036982192</v>
      </c>
      <c r="M63" s="270">
        <f>'3 - DRO'!M46</f>
        <v>425157.75659386825</v>
      </c>
      <c r="N63" s="270">
        <f>'3 - DRO'!N46</f>
        <v>432913.99247073982</v>
      </c>
      <c r="O63" s="270">
        <f>'3 - DRO'!O46</f>
        <v>440833.75932117749</v>
      </c>
      <c r="P63" s="270">
        <f>'3 - DRO'!P46</f>
        <v>448908.18129671528</v>
      </c>
      <c r="Q63" s="270">
        <f>'3 - DRO'!Q46</f>
        <v>457140.757540647</v>
      </c>
      <c r="R63" s="270">
        <f>'3 - DRO'!R46</f>
        <v>465540.51768455014</v>
      </c>
      <c r="S63" s="270">
        <f>'3 - DRO'!S46</f>
        <v>474116.77962040139</v>
      </c>
      <c r="T63" s="270">
        <f>'3 - DRO'!T46</f>
        <v>482854.82771291729</v>
      </c>
      <c r="U63" s="270">
        <f>'3 - DRO'!U46</f>
        <v>491764.48591727938</v>
      </c>
      <c r="V63" s="270">
        <f>'3 - DRO'!V46</f>
        <v>500855.0989269272</v>
      </c>
      <c r="W63" s="270">
        <f>'3 - DRO'!W46</f>
        <v>510135.78838922962</v>
      </c>
      <c r="X63" s="270">
        <f>'3 - DRO'!X46</f>
        <v>519592.21472609817</v>
      </c>
      <c r="Y63" s="270">
        <f>'3 - DRO'!Y46</f>
        <v>529246.37235146994</v>
      </c>
      <c r="Z63" s="270">
        <f>'3 - DRO'!Z46</f>
        <v>539083.96803392854</v>
      </c>
      <c r="AA63" s="270">
        <f>'3 - DRO'!AA46</f>
        <v>549127.1566586562</v>
      </c>
      <c r="AB63" s="270">
        <f>'3 - DRO'!AB46</f>
        <v>559367.76189890446</v>
      </c>
      <c r="AC63" s="270">
        <f>'3 - DRO'!AC46</f>
        <v>569810.16249921231</v>
      </c>
      <c r="AD63" s="270">
        <f>'3 - DRO'!AD46</f>
        <v>580464.38739408669</v>
      </c>
      <c r="AE63" s="270">
        <f>'3 - DRO'!AE46</f>
        <v>591328.9029429846</v>
      </c>
      <c r="AF63" s="270">
        <f>'3 - DRO'!AF46</f>
        <v>602419.86523415393</v>
      </c>
      <c r="AG63" s="227" t="s">
        <v>207</v>
      </c>
      <c r="AH63" s="238"/>
      <c r="AI63" s="26"/>
    </row>
    <row r="64" spans="1:35" ht="15" customHeight="1" x14ac:dyDescent="0.25">
      <c r="A64" s="271"/>
      <c r="B64" s="277" t="s">
        <v>198</v>
      </c>
      <c r="C64" s="270"/>
      <c r="D64" s="270"/>
      <c r="E64" s="270"/>
      <c r="F64" s="270"/>
      <c r="G64" s="308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27"/>
      <c r="AH64" s="238"/>
      <c r="AI64" s="26"/>
    </row>
    <row r="65" spans="1:35" ht="15" customHeight="1" x14ac:dyDescent="0.25">
      <c r="A65" s="268" t="s">
        <v>78</v>
      </c>
      <c r="B65" s="273">
        <v>0.12</v>
      </c>
      <c r="C65" s="274">
        <v>0</v>
      </c>
      <c r="D65" s="270">
        <v>0</v>
      </c>
      <c r="E65" s="270">
        <v>0</v>
      </c>
      <c r="F65" s="270">
        <v>0</v>
      </c>
      <c r="G65" s="308">
        <f>$B$65*'3 - Marina'!G55</f>
        <v>117279.85420486175</v>
      </c>
      <c r="H65" s="270">
        <f>$B$65*'3 - Marina'!H55</f>
        <v>141375.17201048502</v>
      </c>
      <c r="I65" s="270">
        <f>$B$65*'3 - Marina'!I55</f>
        <v>165846.03328957278</v>
      </c>
      <c r="J65" s="270">
        <f>$B$65*'3 - Marina'!J55</f>
        <v>191006.41461641426</v>
      </c>
      <c r="K65" s="270">
        <f>$B$65*'3 - Marina'!K55</f>
        <v>206799.67589355432</v>
      </c>
      <c r="L65" s="270">
        <f>$B$65*'3 - Marina'!L55</f>
        <v>216529.41153178576</v>
      </c>
      <c r="M65" s="270">
        <f>$B$65*'3 - Marina'!M55</f>
        <v>221872.28082973417</v>
      </c>
      <c r="N65" s="270">
        <f>$B$65*'3 - Marina'!N55</f>
        <v>227103.13227790466</v>
      </c>
      <c r="O65" s="270">
        <f>$B$65*'3 - Marina'!O55</f>
        <v>232150.59121894988</v>
      </c>
      <c r="P65" s="270">
        <f>$B$65*'3 - Marina'!P55</f>
        <v>237216.7460317259</v>
      </c>
      <c r="Q65" s="270">
        <f>$B$65*'3 - Marina'!Q55</f>
        <v>242310.90012717887</v>
      </c>
      <c r="R65" s="270">
        <f>$B$65*'3 - Marina'!R55</f>
        <v>247562.6283271985</v>
      </c>
      <c r="S65" s="270">
        <f>$B$65*'3 - Marina'!S55</f>
        <v>253106.46473841855</v>
      </c>
      <c r="T65" s="270">
        <f>$B$65*'3 - Marina'!T55</f>
        <v>258546.99971727451</v>
      </c>
      <c r="U65" s="270">
        <f>$B$65*'3 - Marina'!U55</f>
        <v>264027.05310978746</v>
      </c>
      <c r="V65" s="270">
        <f>$B$65*'3 - Marina'!V55</f>
        <v>269677.44052515895</v>
      </c>
      <c r="W65" s="270">
        <f>$B$65*'3 - Marina'!W55</f>
        <v>275622.57864270487</v>
      </c>
      <c r="X65" s="270">
        <f>$B$65*'3 - Marina'!X55</f>
        <v>281469.41019968654</v>
      </c>
      <c r="Y65" s="270">
        <f>$B$65*'3 - Marina'!Y55</f>
        <v>287622.36702808144</v>
      </c>
      <c r="Z65" s="270">
        <f>$B$65*'3 - Marina'!Z55</f>
        <v>293686.27175044827</v>
      </c>
      <c r="AA65" s="270">
        <f>$B$65*'3 - Marina'!AA55</f>
        <v>300065.88308088225</v>
      </c>
      <c r="AB65" s="270">
        <f>$B$65*'3 - Marina'!AB55</f>
        <v>306497.27808266762</v>
      </c>
      <c r="AC65" s="270">
        <f>$B$65*'3 - Marina'!AC55</f>
        <v>312990.95789003582</v>
      </c>
      <c r="AD65" s="270">
        <f>$B$65*'3 - Marina'!AD55</f>
        <v>319679.9645591345</v>
      </c>
      <c r="AE65" s="270">
        <f>$B$65*'3 - Marina'!AE55</f>
        <v>326441.31021771039</v>
      </c>
      <c r="AF65" s="270">
        <f>$B$65*'3 - Marina'!AF55</f>
        <v>333539.2475178226</v>
      </c>
      <c r="AG65" s="227" t="s">
        <v>208</v>
      </c>
      <c r="AH65" s="238"/>
      <c r="AI65" s="26"/>
    </row>
    <row r="66" spans="1:35" ht="15" customHeight="1" x14ac:dyDescent="0.25">
      <c r="A66" s="268" t="s">
        <v>77</v>
      </c>
      <c r="B66" s="275">
        <v>0.12</v>
      </c>
      <c r="C66" s="274">
        <v>0</v>
      </c>
      <c r="D66" s="270">
        <v>0</v>
      </c>
      <c r="E66" s="270">
        <v>0</v>
      </c>
      <c r="F66" s="270">
        <v>0</v>
      </c>
      <c r="G66" s="308">
        <f>$B$66*'3 - Seaside'!G55</f>
        <v>81423.81279624546</v>
      </c>
      <c r="H66" s="270">
        <f>$B$66*'3 - Seaside'!H55</f>
        <v>99728.610855889419</v>
      </c>
      <c r="I66" s="270">
        <f>$B$66*'3 - Seaside'!I55</f>
        <v>111466.46487542096</v>
      </c>
      <c r="J66" s="270">
        <f>$B$66*'3 - Seaside'!J55</f>
        <v>119765.1078685392</v>
      </c>
      <c r="K66" s="270">
        <f>$B$66*'3 - Seaside'!K55</f>
        <v>129748.81263353079</v>
      </c>
      <c r="L66" s="270">
        <f>$B$66*'3 - Seaside'!L55</f>
        <v>140899.11312968354</v>
      </c>
      <c r="M66" s="270">
        <f>$B$66*'3 - Seaside'!M55</f>
        <v>161191.0868389041</v>
      </c>
      <c r="N66" s="270">
        <f>$B$66*'3 - Seaside'!N55</f>
        <v>181707.76304025372</v>
      </c>
      <c r="O66" s="270">
        <f>$B$66*'3 - Seaside'!O55</f>
        <v>185778.20304357543</v>
      </c>
      <c r="P66" s="270">
        <f>$B$66*'3 - Seaside'!P55</f>
        <v>189861.98057448631</v>
      </c>
      <c r="Q66" s="270">
        <f>$B$66*'3 - Seaside'!Q55</f>
        <v>193966.75226252805</v>
      </c>
      <c r="R66" s="270">
        <f>$B$66*'3 - Seaside'!R55</f>
        <v>198199.70821543023</v>
      </c>
      <c r="S66" s="270">
        <f>$B$66*'3 - Seaside'!S55</f>
        <v>202672.14187964381</v>
      </c>
      <c r="T66" s="270">
        <f>$B$66*'3 - Seaside'!T55</f>
        <v>207056.77444514009</v>
      </c>
      <c r="U66" s="270">
        <f>$B$66*'3 - Seaside'!U55</f>
        <v>211471.75468406867</v>
      </c>
      <c r="V66" s="270">
        <f>$B$66*'3 - Seaside'!V55</f>
        <v>216025.29596619049</v>
      </c>
      <c r="W66" s="270">
        <f>$B$66*'3 - Seaside'!W55</f>
        <v>220820.31508579635</v>
      </c>
      <c r="X66" s="270">
        <f>$B$66*'3 - Seaside'!X55</f>
        <v>225531.47628350428</v>
      </c>
      <c r="Y66" s="270">
        <f>$B$66*'3 - Seaside'!Y55</f>
        <v>230493.42962545989</v>
      </c>
      <c r="Z66" s="270">
        <f>$B$66*'3 - Seaside'!Z55</f>
        <v>235379.08280427044</v>
      </c>
      <c r="AA66" s="270">
        <f>$B$66*'3 - Seaside'!AA55</f>
        <v>240523.35438646915</v>
      </c>
      <c r="AB66" s="270">
        <f>$B$66*'3 - Seaside'!AB55</f>
        <v>245707.77368187075</v>
      </c>
      <c r="AC66" s="270">
        <f>$B$66*'3 - Seaside'!AC55</f>
        <v>250940.97708006721</v>
      </c>
      <c r="AD66" s="270">
        <f>$B$66*'3 - Seaside'!AD55</f>
        <v>256333.01242389303</v>
      </c>
      <c r="AE66" s="270">
        <f>$B$66*'3 - Seaside'!AE55</f>
        <v>261782.0409525198</v>
      </c>
      <c r="AF66" s="270">
        <f>$B$66*'3 - Seaside'!AF55</f>
        <v>267506.69567092584</v>
      </c>
      <c r="AG66" s="227" t="s">
        <v>209</v>
      </c>
      <c r="AH66" s="238"/>
      <c r="AI66" s="26"/>
    </row>
    <row r="67" spans="1:35" ht="15" customHeight="1" x14ac:dyDescent="0.25">
      <c r="A67" s="268" t="s">
        <v>79</v>
      </c>
      <c r="B67" s="276">
        <v>0</v>
      </c>
      <c r="C67" s="270">
        <v>0</v>
      </c>
      <c r="D67" s="270">
        <v>0</v>
      </c>
      <c r="E67" s="270">
        <v>0</v>
      </c>
      <c r="F67" s="270">
        <v>0</v>
      </c>
      <c r="G67" s="308">
        <f>$B$67*'3 - DRO'!G48</f>
        <v>0</v>
      </c>
      <c r="H67" s="270">
        <f>$B$67*'3 - DRO'!H48</f>
        <v>0</v>
      </c>
      <c r="I67" s="270">
        <f>$B$67*'3 - DRO'!I48</f>
        <v>0</v>
      </c>
      <c r="J67" s="270">
        <f>$B$67*'3 - DRO'!J48</f>
        <v>0</v>
      </c>
      <c r="K67" s="270">
        <f>$B$67*'3 - DRO'!K48</f>
        <v>0</v>
      </c>
      <c r="L67" s="270">
        <f>$B$67*'3 - DRO'!L48</f>
        <v>0</v>
      </c>
      <c r="M67" s="270">
        <f>$B$67*'3 - DRO'!M48</f>
        <v>0</v>
      </c>
      <c r="N67" s="270">
        <f>$B$67*'3 - DRO'!N48</f>
        <v>0</v>
      </c>
      <c r="O67" s="270">
        <f>$B$67*'3 - DRO'!O48</f>
        <v>0</v>
      </c>
      <c r="P67" s="270">
        <f>$B$67*'3 - DRO'!P48</f>
        <v>0</v>
      </c>
      <c r="Q67" s="270">
        <f>$B$67*'3 - DRO'!Q48</f>
        <v>0</v>
      </c>
      <c r="R67" s="270">
        <f>$B$67*'3 - DRO'!R48</f>
        <v>0</v>
      </c>
      <c r="S67" s="270">
        <f>$B$67*'3 - DRO'!S48</f>
        <v>0</v>
      </c>
      <c r="T67" s="270">
        <f>$B$67*'3 - DRO'!T48</f>
        <v>0</v>
      </c>
      <c r="U67" s="270">
        <f>$B$67*'3 - DRO'!U48</f>
        <v>0</v>
      </c>
      <c r="V67" s="270">
        <f>$B$67*'3 - DRO'!V48</f>
        <v>0</v>
      </c>
      <c r="W67" s="270">
        <f>$B$67*'3 - DRO'!W48</f>
        <v>0</v>
      </c>
      <c r="X67" s="270">
        <f>$B$67*'3 - DRO'!X48</f>
        <v>0</v>
      </c>
      <c r="Y67" s="270">
        <f>$B$67*'3 - DRO'!Y48</f>
        <v>0</v>
      </c>
      <c r="Z67" s="270">
        <f>$B$67*'3 - DRO'!Z48</f>
        <v>0</v>
      </c>
      <c r="AA67" s="270">
        <f>$B$67*'3 - DRO'!AA48</f>
        <v>0</v>
      </c>
      <c r="AB67" s="270">
        <f>$B$67*'3 - DRO'!AB48</f>
        <v>0</v>
      </c>
      <c r="AC67" s="270">
        <f>$B$67*'3 - DRO'!AC48</f>
        <v>0</v>
      </c>
      <c r="AD67" s="270">
        <f>$B$67*'3 - DRO'!AD48</f>
        <v>0</v>
      </c>
      <c r="AE67" s="270">
        <f>$B$67*'3 - DRO'!AE48</f>
        <v>0</v>
      </c>
      <c r="AF67" s="270">
        <f>$B$67*'3 - DRO'!AF48</f>
        <v>0</v>
      </c>
      <c r="AG67" s="227" t="s">
        <v>210</v>
      </c>
      <c r="AH67" s="238"/>
      <c r="AI67" s="26"/>
    </row>
    <row r="68" spans="1:35" ht="15" customHeight="1" x14ac:dyDescent="0.25">
      <c r="A68" s="151"/>
      <c r="B68" s="142"/>
      <c r="C68" s="145"/>
      <c r="D68" s="145"/>
      <c r="E68" s="145"/>
      <c r="F68" s="211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227"/>
      <c r="AH68" s="238"/>
      <c r="AI68" s="26"/>
    </row>
    <row r="69" spans="1:35" x14ac:dyDescent="0.25">
      <c r="A69" s="161" t="str">
        <f>CONCATENATE("Increase in Net Property Taxes Received by ",A4,)</f>
        <v>Increase in Net Property Taxes Received by Monterey County</v>
      </c>
      <c r="B69" s="161"/>
      <c r="C69" s="162">
        <f>C51+C57+C61+C62+C63+C65+C66+C67</f>
        <v>0</v>
      </c>
      <c r="D69" s="351">
        <f t="shared" ref="D69:L69" si="44">D51+D57+D61+D62+D63+D65+D66+D67</f>
        <v>0</v>
      </c>
      <c r="E69" s="351">
        <f>E51+E57+E61+E62+E63+E65+E66+E67</f>
        <v>0</v>
      </c>
      <c r="F69" s="162">
        <f t="shared" si="44"/>
        <v>0</v>
      </c>
      <c r="G69" s="373">
        <f t="shared" si="44"/>
        <v>1844983.3432836549</v>
      </c>
      <c r="H69" s="162">
        <f t="shared" si="44"/>
        <v>2221114.3757568444</v>
      </c>
      <c r="I69" s="162">
        <f t="shared" si="44"/>
        <v>2604584.9939874932</v>
      </c>
      <c r="J69" s="162">
        <f t="shared" si="44"/>
        <v>2897965.9271346913</v>
      </c>
      <c r="K69" s="162">
        <f t="shared" si="44"/>
        <v>3139571.7088096011</v>
      </c>
      <c r="L69" s="162">
        <f t="shared" si="44"/>
        <v>3344151.580542637</v>
      </c>
      <c r="M69" s="162">
        <f>M51+M57+M61+M62+M63+M65+M66+M67</f>
        <v>3568715.5624051928</v>
      </c>
      <c r="N69" s="162">
        <f t="shared" ref="N69:AD69" si="45">N51+N57+N61+N62+N63+N65+N66+N67</f>
        <v>3916026.6592899198</v>
      </c>
      <c r="O69" s="162">
        <f t="shared" si="45"/>
        <v>4004494.8403986022</v>
      </c>
      <c r="P69" s="162">
        <f t="shared" si="45"/>
        <v>4093282.4140379694</v>
      </c>
      <c r="Q69" s="162">
        <f t="shared" si="45"/>
        <v>4182553.1782335136</v>
      </c>
      <c r="R69" s="162">
        <f t="shared" si="45"/>
        <v>4274591.0856916439</v>
      </c>
      <c r="S69" s="162">
        <f t="shared" si="45"/>
        <v>4371767.5078271031</v>
      </c>
      <c r="T69" s="162">
        <f t="shared" si="45"/>
        <v>4467111.9002876924</v>
      </c>
      <c r="U69" s="162">
        <f t="shared" si="45"/>
        <v>4563141.6879304918</v>
      </c>
      <c r="V69" s="162">
        <f t="shared" si="45"/>
        <v>4662162.6790886531</v>
      </c>
      <c r="W69" s="162">
        <f t="shared" si="45"/>
        <v>4766367.8765013292</v>
      </c>
      <c r="X69" s="162">
        <f>X51+X57+X61+X62+X63+X65+X66+X67</f>
        <v>4868828.1860542605</v>
      </c>
      <c r="Y69" s="162">
        <f t="shared" si="45"/>
        <v>4976672.7416761527</v>
      </c>
      <c r="Z69" s="162">
        <f t="shared" si="45"/>
        <v>5082935.0661693877</v>
      </c>
      <c r="AA69" s="162">
        <f t="shared" si="45"/>
        <v>5194750.0461416664</v>
      </c>
      <c r="AB69" s="162">
        <f t="shared" si="45"/>
        <v>5307464.9634745969</v>
      </c>
      <c r="AC69" s="162">
        <f t="shared" si="45"/>
        <v>5421264.6751855379</v>
      </c>
      <c r="AD69" s="162">
        <f t="shared" si="45"/>
        <v>5538494.1990900775</v>
      </c>
      <c r="AE69" s="162">
        <f>AE51+AE57+AE61+AE62+AE63+AE65+AE66+AE67</f>
        <v>5656985.221672006</v>
      </c>
      <c r="AF69" s="162">
        <f>AF51+AF57+AF61+AF62+AF63+AF65+AF66+AF67</f>
        <v>5781395.7461141869</v>
      </c>
      <c r="AG69" s="450" t="s">
        <v>217</v>
      </c>
      <c r="AH69" s="450"/>
    </row>
    <row r="70" spans="1:35" x14ac:dyDescent="0.25">
      <c r="A70" s="342" t="s">
        <v>289</v>
      </c>
      <c r="B70" s="343">
        <f>1-B71</f>
        <v>0.34499999999999997</v>
      </c>
      <c r="C70" s="344">
        <f>$B$70*(C51+C61+C62+C63)+C57+C65+C66+C67</f>
        <v>0</v>
      </c>
      <c r="D70" s="344">
        <f t="shared" ref="D70:AF70" si="46">$B$70*(D51+D61+D62+D63)+D57+D65+D66+D67</f>
        <v>0</v>
      </c>
      <c r="E70" s="344">
        <f t="shared" si="46"/>
        <v>0</v>
      </c>
      <c r="F70" s="344">
        <f t="shared" si="46"/>
        <v>0</v>
      </c>
      <c r="G70" s="344">
        <f t="shared" si="46"/>
        <v>766670.15531858616</v>
      </c>
      <c r="H70" s="344">
        <f t="shared" si="46"/>
        <v>924207.43741358642</v>
      </c>
      <c r="I70" s="344">
        <f t="shared" si="46"/>
        <v>1080221.5092237561</v>
      </c>
      <c r="J70" s="344">
        <f t="shared" si="46"/>
        <v>1203353.5920891128</v>
      </c>
      <c r="K70" s="344">
        <f t="shared" si="46"/>
        <v>1303591.4995245528</v>
      </c>
      <c r="L70" s="344">
        <f t="shared" si="46"/>
        <v>1387847.9789404722</v>
      </c>
      <c r="M70" s="344">
        <f t="shared" si="46"/>
        <v>1482113.3748527493</v>
      </c>
      <c r="N70" s="344">
        <f t="shared" si="46"/>
        <v>1716930.9095199041</v>
      </c>
      <c r="O70" s="344">
        <f t="shared" si="46"/>
        <v>1756028.3161413195</v>
      </c>
      <c r="P70" s="344">
        <f t="shared" si="46"/>
        <v>1795248.9011270995</v>
      </c>
      <c r="Q70" s="344">
        <f t="shared" si="46"/>
        <v>1834666.6446871767</v>
      </c>
      <c r="R70" s="344">
        <f t="shared" si="46"/>
        <v>1875318.7745715033</v>
      </c>
      <c r="S70" s="344">
        <f t="shared" si="46"/>
        <v>1918282.2267888437</v>
      </c>
      <c r="T70" s="344">
        <f t="shared" si="46"/>
        <v>1960389.5872684948</v>
      </c>
      <c r="U70" s="344">
        <f t="shared" si="46"/>
        <v>2002784.1304859254</v>
      </c>
      <c r="V70" s="344">
        <f t="shared" si="46"/>
        <v>2046512.9770427761</v>
      </c>
      <c r="W70" s="344">
        <f t="shared" si="46"/>
        <v>2092571.9865467169</v>
      </c>
      <c r="X70" s="344">
        <f t="shared" si="46"/>
        <v>2137812.5387679068</v>
      </c>
      <c r="Y70" s="344">
        <f t="shared" si="46"/>
        <v>2185473.1208263263</v>
      </c>
      <c r="Z70" s="344">
        <f t="shared" si="46"/>
        <v>2232388.1077662585</v>
      </c>
      <c r="AA70" s="344">
        <f t="shared" si="46"/>
        <v>2281798.5795765505</v>
      </c>
      <c r="AB70" s="344">
        <f t="shared" si="46"/>
        <v>2331590.1073099426</v>
      </c>
      <c r="AC70" s="344">
        <f t="shared" si="46"/>
        <v>2381846.1213093479</v>
      </c>
      <c r="AD70" s="344">
        <f t="shared" si="46"/>
        <v>2433631.4732051836</v>
      </c>
      <c r="AE70" s="344">
        <f t="shared" si="46"/>
        <v>2485960.4477528892</v>
      </c>
      <c r="AF70" s="344">
        <f t="shared" si="46"/>
        <v>2540948.739322647</v>
      </c>
      <c r="AG70" s="335"/>
      <c r="AH70" s="335"/>
    </row>
    <row r="71" spans="1:35" x14ac:dyDescent="0.25">
      <c r="A71" s="342" t="s">
        <v>290</v>
      </c>
      <c r="B71" s="343">
        <v>0.65500000000000003</v>
      </c>
      <c r="C71" s="344">
        <f>$B$71*(C51+C61+C62+C63)</f>
        <v>0</v>
      </c>
      <c r="D71" s="344">
        <f t="shared" ref="D71:AF71" si="47">$B$71*(D51+D61+D62+D63)</f>
        <v>0</v>
      </c>
      <c r="E71" s="344">
        <f t="shared" si="47"/>
        <v>0</v>
      </c>
      <c r="F71" s="344">
        <f t="shared" si="47"/>
        <v>0</v>
      </c>
      <c r="G71" s="344">
        <f t="shared" si="47"/>
        <v>1078313.1879650687</v>
      </c>
      <c r="H71" s="344">
        <f t="shared" si="47"/>
        <v>1296906.9383432579</v>
      </c>
      <c r="I71" s="344">
        <f t="shared" si="47"/>
        <v>1524363.4847637373</v>
      </c>
      <c r="J71" s="344">
        <f t="shared" si="47"/>
        <v>1694612.3350455782</v>
      </c>
      <c r="K71" s="344">
        <f t="shared" si="47"/>
        <v>1835980.2092850481</v>
      </c>
      <c r="L71" s="344">
        <f t="shared" si="47"/>
        <v>1956303.601602165</v>
      </c>
      <c r="M71" s="344">
        <f t="shared" si="47"/>
        <v>2086602.1875524432</v>
      </c>
      <c r="N71" s="344">
        <f t="shared" si="47"/>
        <v>2199095.7497700159</v>
      </c>
      <c r="O71" s="344">
        <f t="shared" si="47"/>
        <v>2248466.5242572827</v>
      </c>
      <c r="P71" s="344">
        <f t="shared" si="47"/>
        <v>2298033.5129108694</v>
      </c>
      <c r="Q71" s="344">
        <f t="shared" si="47"/>
        <v>2347886.5335463365</v>
      </c>
      <c r="R71" s="344">
        <f t="shared" si="47"/>
        <v>2399272.3111201413</v>
      </c>
      <c r="S71" s="344">
        <f t="shared" si="47"/>
        <v>2453485.2810382587</v>
      </c>
      <c r="T71" s="344">
        <f t="shared" si="47"/>
        <v>2506722.3130191979</v>
      </c>
      <c r="U71" s="344">
        <f t="shared" si="47"/>
        <v>2560357.5574445664</v>
      </c>
      <c r="V71" s="344">
        <f t="shared" si="47"/>
        <v>2615649.7020458765</v>
      </c>
      <c r="W71" s="344">
        <f t="shared" si="47"/>
        <v>2673795.8899546126</v>
      </c>
      <c r="X71" s="344">
        <f t="shared" si="47"/>
        <v>2731015.6472863532</v>
      </c>
      <c r="Y71" s="344">
        <f t="shared" si="47"/>
        <v>2791199.6208498254</v>
      </c>
      <c r="Z71" s="344">
        <f t="shared" si="47"/>
        <v>2850546.9584031296</v>
      </c>
      <c r="AA71" s="344">
        <f t="shared" si="47"/>
        <v>2912951.4665651163</v>
      </c>
      <c r="AB71" s="344">
        <f t="shared" si="47"/>
        <v>2975874.8561646547</v>
      </c>
      <c r="AC71" s="344">
        <f t="shared" si="47"/>
        <v>3039418.5538761886</v>
      </c>
      <c r="AD71" s="344">
        <f t="shared" si="47"/>
        <v>3104862.7258848948</v>
      </c>
      <c r="AE71" s="344">
        <f t="shared" si="47"/>
        <v>3171024.7739191176</v>
      </c>
      <c r="AF71" s="344">
        <f t="shared" si="47"/>
        <v>3240447.00679154</v>
      </c>
      <c r="AG71" s="335"/>
      <c r="AH71" s="335"/>
    </row>
    <row r="72" spans="1:35" x14ac:dyDescent="0.25">
      <c r="A72" s="342"/>
      <c r="B72" s="343"/>
      <c r="C72" s="344"/>
      <c r="D72" s="344"/>
      <c r="E72" s="344"/>
      <c r="F72" s="344"/>
      <c r="G72" s="344"/>
      <c r="H72" s="344"/>
      <c r="I72" s="344"/>
      <c r="J72" s="344"/>
      <c r="K72" s="344"/>
      <c r="L72" s="344"/>
      <c r="M72" s="344"/>
      <c r="N72" s="344"/>
      <c r="O72" s="344"/>
      <c r="P72" s="344"/>
      <c r="Q72" s="344"/>
      <c r="R72" s="344"/>
      <c r="S72" s="344"/>
      <c r="T72" s="344"/>
      <c r="U72" s="344"/>
      <c r="V72" s="344"/>
      <c r="W72" s="344"/>
      <c r="X72" s="344"/>
      <c r="Y72" s="344"/>
      <c r="Z72" s="344"/>
      <c r="AA72" s="344"/>
      <c r="AB72" s="344"/>
      <c r="AC72" s="344"/>
      <c r="AD72" s="344"/>
      <c r="AE72" s="344"/>
      <c r="AF72" s="344"/>
      <c r="AG72" s="335"/>
      <c r="AH72" s="335"/>
    </row>
    <row r="73" spans="1:35" x14ac:dyDescent="0.25">
      <c r="A73" s="1" t="s">
        <v>291</v>
      </c>
      <c r="C73" s="109">
        <f>NPV(Assumptions!D4,'3 - County'!D70:AF70)+'3 - County'!C70</f>
        <v>22673685.783564698</v>
      </c>
      <c r="E73" s="80"/>
      <c r="AG73" s="227"/>
      <c r="AH73" s="238"/>
    </row>
    <row r="74" spans="1:35" x14ac:dyDescent="0.25">
      <c r="A74" s="1" t="s">
        <v>316</v>
      </c>
      <c r="C74" s="345">
        <f>NPV(Assumptions!D4,'3 - County'!D71:AF71)+'3 - County'!C71</f>
        <v>29748369.104308449</v>
      </c>
      <c r="E74" s="80"/>
      <c r="AG74" s="227"/>
      <c r="AH74" s="238"/>
    </row>
    <row r="75" spans="1:35" x14ac:dyDescent="0.25">
      <c r="D75" s="80"/>
      <c r="AG75" s="227"/>
      <c r="AH75" s="238"/>
    </row>
    <row r="76" spans="1:35" x14ac:dyDescent="0.25">
      <c r="A76" s="19" t="s">
        <v>204</v>
      </c>
      <c r="D76" s="80"/>
      <c r="AG76" s="227"/>
      <c r="AH76" s="238"/>
    </row>
    <row r="77" spans="1:35" x14ac:dyDescent="0.25">
      <c r="A77" s="19" t="s">
        <v>201</v>
      </c>
      <c r="E77" s="80"/>
      <c r="AG77" s="227"/>
      <c r="AH77" s="238"/>
    </row>
    <row r="78" spans="1:35" x14ac:dyDescent="0.25">
      <c r="A78" s="19"/>
      <c r="AG78" s="227"/>
      <c r="AH78" s="238"/>
    </row>
    <row r="79" spans="1:35" ht="15.75" x14ac:dyDescent="0.25">
      <c r="A79" s="65"/>
      <c r="AG79" s="227"/>
      <c r="AH79" s="238"/>
    </row>
    <row r="80" spans="1:35" x14ac:dyDescent="0.25">
      <c r="AG80" s="227"/>
      <c r="AH80" s="238"/>
    </row>
    <row r="81" spans="33:34" x14ac:dyDescent="0.25">
      <c r="AG81" s="236"/>
      <c r="AH81" s="246"/>
    </row>
  </sheetData>
  <mergeCells count="4">
    <mergeCell ref="AH10:AH12"/>
    <mergeCell ref="B45:B46"/>
    <mergeCell ref="AG69:AH69"/>
    <mergeCell ref="C6:F6"/>
  </mergeCells>
  <pageMargins left="0.5" right="0.25" top="0.5" bottom="0.5" header="0.3" footer="0.3"/>
  <pageSetup scale="53" orientation="landscape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W72"/>
  <sheetViews>
    <sheetView showGridLines="0" topLeftCell="A28" zoomScale="85" zoomScaleNormal="85" workbookViewId="0">
      <selection activeCell="C6" sqref="C6:AF7"/>
    </sheetView>
  </sheetViews>
  <sheetFormatPr defaultColWidth="8.85546875" defaultRowHeight="15" x14ac:dyDescent="0.25"/>
  <cols>
    <col min="1" max="1" width="64.85546875" customWidth="1"/>
    <col min="2" max="2" width="15.28515625" customWidth="1"/>
    <col min="3" max="32" width="13.28515625" customWidth="1"/>
    <col min="33" max="33" width="4.28515625" style="226" bestFit="1" customWidth="1"/>
    <col min="34" max="35" width="17.140625" style="237" customWidth="1"/>
    <col min="36" max="36" width="13.85546875" hidden="1" customWidth="1"/>
    <col min="37" max="37" width="9.28515625" hidden="1" customWidth="1"/>
    <col min="38" max="38" width="9" hidden="1" customWidth="1"/>
    <col min="39" max="44" width="11.28515625" hidden="1" customWidth="1"/>
    <col min="45" max="48" width="11" hidden="1" customWidth="1"/>
    <col min="49" max="49" width="10.28515625" hidden="1" customWidth="1"/>
  </cols>
  <sheetData>
    <row r="1" spans="1:44" ht="18.75" x14ac:dyDescent="0.3">
      <c r="A1" s="53" t="s">
        <v>56</v>
      </c>
    </row>
    <row r="2" spans="1:44" ht="18.75" x14ac:dyDescent="0.3">
      <c r="A2" s="54" t="s">
        <v>313</v>
      </c>
    </row>
    <row r="3" spans="1:44" ht="18.75" x14ac:dyDescent="0.3">
      <c r="A3" s="54"/>
    </row>
    <row r="4" spans="1:44" ht="18.75" x14ac:dyDescent="0.3">
      <c r="A4" s="376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</row>
    <row r="5" spans="1:44" ht="15.75" x14ac:dyDescent="0.25">
      <c r="A5" s="391" t="s">
        <v>319</v>
      </c>
      <c r="B5" s="390">
        <v>0</v>
      </c>
    </row>
    <row r="6" spans="1:44" x14ac:dyDescent="0.25">
      <c r="A6" s="52"/>
      <c r="B6" s="257"/>
      <c r="C6" s="442" t="s">
        <v>59</v>
      </c>
      <c r="D6" s="442"/>
      <c r="E6" s="442"/>
      <c r="F6" s="442"/>
      <c r="G6" s="350" t="s">
        <v>60</v>
      </c>
      <c r="H6" s="350"/>
      <c r="I6" s="350"/>
      <c r="J6" s="350"/>
      <c r="K6" s="350"/>
      <c r="L6" s="350"/>
      <c r="M6" s="350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</row>
    <row r="7" spans="1:44" x14ac:dyDescent="0.25">
      <c r="A7" s="258" t="s">
        <v>92</v>
      </c>
      <c r="B7" s="259" t="s">
        <v>9</v>
      </c>
      <c r="C7" s="339">
        <v>201819</v>
      </c>
      <c r="D7" s="339">
        <f t="shared" ref="D7:AF7" si="0">C7+101</f>
        <v>201920</v>
      </c>
      <c r="E7" s="339">
        <f t="shared" si="0"/>
        <v>202021</v>
      </c>
      <c r="F7" s="339">
        <f t="shared" si="0"/>
        <v>202122</v>
      </c>
      <c r="G7" s="337">
        <f t="shared" si="0"/>
        <v>202223</v>
      </c>
      <c r="H7" s="337">
        <f t="shared" si="0"/>
        <v>202324</v>
      </c>
      <c r="I7" s="337">
        <f t="shared" si="0"/>
        <v>202425</v>
      </c>
      <c r="J7" s="337">
        <f t="shared" si="0"/>
        <v>202526</v>
      </c>
      <c r="K7" s="337">
        <f>J7+101</f>
        <v>202627</v>
      </c>
      <c r="L7" s="337">
        <f t="shared" si="0"/>
        <v>202728</v>
      </c>
      <c r="M7" s="337">
        <f t="shared" si="0"/>
        <v>202829</v>
      </c>
      <c r="N7" s="337">
        <f t="shared" si="0"/>
        <v>202930</v>
      </c>
      <c r="O7" s="337">
        <f t="shared" si="0"/>
        <v>203031</v>
      </c>
      <c r="P7" s="337">
        <f t="shared" si="0"/>
        <v>203132</v>
      </c>
      <c r="Q7" s="337">
        <f t="shared" si="0"/>
        <v>203233</v>
      </c>
      <c r="R7" s="337">
        <f t="shared" si="0"/>
        <v>203334</v>
      </c>
      <c r="S7" s="337">
        <f t="shared" si="0"/>
        <v>203435</v>
      </c>
      <c r="T7" s="337">
        <f t="shared" si="0"/>
        <v>203536</v>
      </c>
      <c r="U7" s="337">
        <f t="shared" si="0"/>
        <v>203637</v>
      </c>
      <c r="V7" s="337">
        <f t="shared" si="0"/>
        <v>203738</v>
      </c>
      <c r="W7" s="337">
        <f t="shared" si="0"/>
        <v>203839</v>
      </c>
      <c r="X7" s="337">
        <f t="shared" si="0"/>
        <v>203940</v>
      </c>
      <c r="Y7" s="337">
        <f t="shared" si="0"/>
        <v>204041</v>
      </c>
      <c r="Z7" s="337">
        <f t="shared" si="0"/>
        <v>204142</v>
      </c>
      <c r="AA7" s="337">
        <f t="shared" si="0"/>
        <v>204243</v>
      </c>
      <c r="AB7" s="337">
        <f t="shared" si="0"/>
        <v>204344</v>
      </c>
      <c r="AC7" s="337">
        <f t="shared" si="0"/>
        <v>204445</v>
      </c>
      <c r="AD7" s="337">
        <f t="shared" si="0"/>
        <v>204546</v>
      </c>
      <c r="AE7" s="337">
        <f t="shared" si="0"/>
        <v>204647</v>
      </c>
      <c r="AF7" s="337">
        <f t="shared" si="0"/>
        <v>204748</v>
      </c>
      <c r="AG7" s="227"/>
      <c r="AH7" s="238"/>
      <c r="AI7" s="238"/>
      <c r="AJ7" s="264"/>
    </row>
    <row r="8" spans="1:44" x14ac:dyDescent="0.25">
      <c r="A8" s="139" t="s">
        <v>93</v>
      </c>
      <c r="B8" s="260">
        <v>533000</v>
      </c>
      <c r="C8" s="247">
        <v>192</v>
      </c>
      <c r="D8" s="247">
        <v>235</v>
      </c>
      <c r="E8" s="60">
        <v>171</v>
      </c>
      <c r="F8" s="60">
        <v>168</v>
      </c>
      <c r="G8" s="60">
        <v>150</v>
      </c>
      <c r="H8" s="60">
        <v>150</v>
      </c>
      <c r="I8" s="60">
        <v>150</v>
      </c>
      <c r="J8" s="60">
        <v>70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60">
        <v>0</v>
      </c>
      <c r="AD8" s="60">
        <v>0</v>
      </c>
      <c r="AE8" s="60">
        <v>0</v>
      </c>
      <c r="AF8" s="60">
        <v>0</v>
      </c>
      <c r="AG8" s="227"/>
      <c r="AH8" s="238"/>
      <c r="AI8" s="238"/>
      <c r="AJ8" s="265"/>
    </row>
    <row r="9" spans="1:44" x14ac:dyDescent="0.25">
      <c r="A9" s="139" t="s">
        <v>44</v>
      </c>
      <c r="B9" s="261">
        <v>220</v>
      </c>
      <c r="C9" s="247">
        <v>0</v>
      </c>
      <c r="D9" s="247">
        <v>23000</v>
      </c>
      <c r="E9" s="60">
        <v>30000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60">
        <v>232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60">
        <v>0</v>
      </c>
      <c r="AD9" s="60">
        <v>0</v>
      </c>
      <c r="AE9" s="60">
        <v>0</v>
      </c>
      <c r="AF9" s="60">
        <v>0</v>
      </c>
      <c r="AG9" s="227"/>
      <c r="AH9" s="238"/>
      <c r="AI9" s="238"/>
      <c r="AJ9" s="265"/>
      <c r="AP9">
        <v>2666421.52</v>
      </c>
      <c r="AQ9">
        <v>1274027.8600000001</v>
      </c>
      <c r="AR9">
        <f>AP9-AQ9</f>
        <v>1392393.66</v>
      </c>
    </row>
    <row r="10" spans="1:44" x14ac:dyDescent="0.25">
      <c r="A10" s="139" t="s">
        <v>45</v>
      </c>
      <c r="B10" s="261">
        <v>90</v>
      </c>
      <c r="C10" s="247">
        <v>0</v>
      </c>
      <c r="D10" s="247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C10" s="60">
        <v>0</v>
      </c>
      <c r="AD10" s="60">
        <v>0</v>
      </c>
      <c r="AE10" s="60">
        <v>0</v>
      </c>
      <c r="AF10" s="60">
        <v>0</v>
      </c>
      <c r="AG10" s="334"/>
      <c r="AH10" s="444" t="s">
        <v>197</v>
      </c>
      <c r="AI10" s="334"/>
      <c r="AJ10" s="265"/>
      <c r="AR10">
        <f>-0.2*AR9</f>
        <v>-278478.73200000002</v>
      </c>
    </row>
    <row r="11" spans="1:44" ht="15" customHeight="1" x14ac:dyDescent="0.25">
      <c r="A11" s="139" t="s">
        <v>46</v>
      </c>
      <c r="B11" s="261">
        <v>265</v>
      </c>
      <c r="C11" s="247">
        <v>0</v>
      </c>
      <c r="D11" s="247">
        <v>20000</v>
      </c>
      <c r="E11" s="60">
        <v>0</v>
      </c>
      <c r="F11" s="60">
        <v>50000</v>
      </c>
      <c r="G11" s="60">
        <v>5000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60">
        <v>0</v>
      </c>
      <c r="AD11" s="60">
        <v>0</v>
      </c>
      <c r="AE11" s="60">
        <v>0</v>
      </c>
      <c r="AF11" s="60">
        <v>0</v>
      </c>
      <c r="AG11" s="334"/>
      <c r="AH11" s="444"/>
      <c r="AI11" s="334"/>
      <c r="AJ11" s="265"/>
      <c r="AR11">
        <f>SUM(AR9:AR10)</f>
        <v>1113914.9279999998</v>
      </c>
    </row>
    <row r="12" spans="1:44" ht="26.25" x14ac:dyDescent="0.25">
      <c r="A12" s="139" t="s">
        <v>47</v>
      </c>
      <c r="B12" s="262">
        <v>162000</v>
      </c>
      <c r="C12" s="249">
        <v>0</v>
      </c>
      <c r="D12" s="249">
        <v>0</v>
      </c>
      <c r="E12" s="60">
        <v>0</v>
      </c>
      <c r="F12" s="63">
        <v>0</v>
      </c>
      <c r="G12" s="63">
        <v>0</v>
      </c>
      <c r="H12" s="63">
        <v>94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334" t="s">
        <v>189</v>
      </c>
      <c r="AH12" s="444"/>
      <c r="AI12" s="334"/>
      <c r="AJ12" s="265"/>
    </row>
    <row r="13" spans="1:44" x14ac:dyDescent="0.25">
      <c r="A13" s="37" t="s">
        <v>49</v>
      </c>
      <c r="B13" s="24"/>
      <c r="C13" s="318">
        <v>88182185</v>
      </c>
      <c r="D13" s="136">
        <v>120495116</v>
      </c>
      <c r="E13" s="302">
        <f>SUMPRODUCT($B$8:$B$12,E8:E12)*(1-$B$5)</f>
        <v>97743000</v>
      </c>
      <c r="F13" s="147">
        <f t="shared" ref="F13:AF13" si="1">SUMPRODUCT($B$8:$B$12,F8:F12)*(1-$B$5)</f>
        <v>102794000</v>
      </c>
      <c r="G13" s="347">
        <f t="shared" si="1"/>
        <v>81275000</v>
      </c>
      <c r="H13" s="147">
        <f>SUMPRODUCT($B$8:$B$12,H8:H12)*(1-$B$5)</f>
        <v>95178000</v>
      </c>
      <c r="I13" s="147">
        <f t="shared" si="1"/>
        <v>79950000</v>
      </c>
      <c r="J13" s="147">
        <f t="shared" si="1"/>
        <v>37310000</v>
      </c>
      <c r="K13" s="147">
        <f t="shared" si="1"/>
        <v>0</v>
      </c>
      <c r="L13" s="147">
        <f t="shared" si="1"/>
        <v>0</v>
      </c>
      <c r="M13" s="147">
        <f t="shared" si="1"/>
        <v>0</v>
      </c>
      <c r="N13" s="147">
        <f t="shared" si="1"/>
        <v>51040</v>
      </c>
      <c r="O13" s="147">
        <f t="shared" si="1"/>
        <v>0</v>
      </c>
      <c r="P13" s="147">
        <f t="shared" si="1"/>
        <v>0</v>
      </c>
      <c r="Q13" s="147">
        <f t="shared" si="1"/>
        <v>0</v>
      </c>
      <c r="R13" s="147">
        <f t="shared" si="1"/>
        <v>0</v>
      </c>
      <c r="S13" s="147">
        <f t="shared" si="1"/>
        <v>0</v>
      </c>
      <c r="T13" s="147">
        <f t="shared" si="1"/>
        <v>0</v>
      </c>
      <c r="U13" s="147">
        <f t="shared" si="1"/>
        <v>0</v>
      </c>
      <c r="V13" s="147">
        <f t="shared" si="1"/>
        <v>0</v>
      </c>
      <c r="W13" s="147">
        <f t="shared" si="1"/>
        <v>0</v>
      </c>
      <c r="X13" s="147">
        <f t="shared" si="1"/>
        <v>0</v>
      </c>
      <c r="Y13" s="147">
        <f t="shared" si="1"/>
        <v>0</v>
      </c>
      <c r="Z13" s="147">
        <f t="shared" si="1"/>
        <v>0</v>
      </c>
      <c r="AA13" s="147">
        <f t="shared" si="1"/>
        <v>0</v>
      </c>
      <c r="AB13" s="147">
        <f t="shared" si="1"/>
        <v>0</v>
      </c>
      <c r="AC13" s="147">
        <f t="shared" si="1"/>
        <v>0</v>
      </c>
      <c r="AD13" s="147">
        <f t="shared" si="1"/>
        <v>0</v>
      </c>
      <c r="AE13" s="147">
        <f t="shared" si="1"/>
        <v>0</v>
      </c>
      <c r="AF13" s="147">
        <f t="shared" si="1"/>
        <v>0</v>
      </c>
      <c r="AG13" s="229" t="s">
        <v>143</v>
      </c>
      <c r="AH13" s="239"/>
      <c r="AI13" s="239"/>
      <c r="AJ13" s="143"/>
      <c r="AK13" s="24"/>
    </row>
    <row r="14" spans="1:44" x14ac:dyDescent="0.25">
      <c r="A14" t="s">
        <v>97</v>
      </c>
      <c r="C14" s="319">
        <v>415720999.0196079</v>
      </c>
      <c r="D14" s="136">
        <f>C16</f>
        <v>512217604</v>
      </c>
      <c r="E14" s="175">
        <f>D16</f>
        <v>642957072.08000004</v>
      </c>
      <c r="F14" s="144">
        <f>E16</f>
        <v>753559213.52160001</v>
      </c>
      <c r="G14" s="354">
        <f t="shared" ref="G14:AF14" si="2">F16</f>
        <v>871424397.792032</v>
      </c>
      <c r="H14" s="144">
        <f t="shared" si="2"/>
        <v>970127885.74787259</v>
      </c>
      <c r="I14" s="144">
        <f>H16</f>
        <v>1084708443.4628301</v>
      </c>
      <c r="J14" s="144">
        <f t="shared" si="2"/>
        <v>1186352612.3320866</v>
      </c>
      <c r="K14" s="144">
        <f t="shared" si="2"/>
        <v>1247389664.5787282</v>
      </c>
      <c r="L14" s="144">
        <f t="shared" si="2"/>
        <v>1272337457.8703027</v>
      </c>
      <c r="M14" s="144">
        <f t="shared" si="2"/>
        <v>1297784207.0277088</v>
      </c>
      <c r="N14" s="144">
        <f t="shared" si="2"/>
        <v>1323739891.168263</v>
      </c>
      <c r="O14" s="144">
        <f t="shared" si="2"/>
        <v>1350265728.9916282</v>
      </c>
      <c r="P14" s="144">
        <f t="shared" si="2"/>
        <v>1377271043.5714607</v>
      </c>
      <c r="Q14" s="144">
        <f t="shared" si="2"/>
        <v>1404816464.4428899</v>
      </c>
      <c r="R14" s="144">
        <f t="shared" si="2"/>
        <v>1432912793.7317476</v>
      </c>
      <c r="S14" s="144">
        <f t="shared" si="2"/>
        <v>1461571049.6063826</v>
      </c>
      <c r="T14" s="144">
        <f t="shared" si="2"/>
        <v>1490802470.5985103</v>
      </c>
      <c r="U14" s="144">
        <f t="shared" si="2"/>
        <v>1520618520.0104804</v>
      </c>
      <c r="V14" s="144">
        <f t="shared" si="2"/>
        <v>1551030890.4106901</v>
      </c>
      <c r="W14" s="144">
        <f t="shared" si="2"/>
        <v>1582051508.2189038</v>
      </c>
      <c r="X14" s="144">
        <f t="shared" si="2"/>
        <v>1613692538.3832819</v>
      </c>
      <c r="Y14" s="144">
        <f t="shared" si="2"/>
        <v>1645966389.1509476</v>
      </c>
      <c r="Z14" s="144">
        <f t="shared" si="2"/>
        <v>1678885716.9339666</v>
      </c>
      <c r="AA14" s="144">
        <f t="shared" si="2"/>
        <v>1712463431.272646</v>
      </c>
      <c r="AB14" s="144">
        <f t="shared" si="2"/>
        <v>1746712699.8980989</v>
      </c>
      <c r="AC14" s="144">
        <f t="shared" si="2"/>
        <v>1781646953.8960609</v>
      </c>
      <c r="AD14" s="144">
        <f t="shared" si="2"/>
        <v>1817279892.9739821</v>
      </c>
      <c r="AE14" s="144">
        <f t="shared" si="2"/>
        <v>1853625490.8334618</v>
      </c>
      <c r="AF14" s="144">
        <f t="shared" si="2"/>
        <v>1890698000.650131</v>
      </c>
      <c r="AG14" s="227" t="s">
        <v>145</v>
      </c>
      <c r="AH14" s="238"/>
      <c r="AI14" s="238"/>
      <c r="AJ14" s="152"/>
    </row>
    <row r="15" spans="1:44" x14ac:dyDescent="0.25">
      <c r="A15" t="s">
        <v>94</v>
      </c>
      <c r="B15" s="8"/>
      <c r="C15" s="320">
        <f>0.02*C14</f>
        <v>8314419.980392158</v>
      </c>
      <c r="D15" s="132">
        <f>D14*0.02</f>
        <v>10244352.08</v>
      </c>
      <c r="E15" s="136">
        <f>E14*0.02</f>
        <v>12859141.4416</v>
      </c>
      <c r="F15" s="132">
        <f t="shared" ref="F15:AF15" si="3">F14*0.02</f>
        <v>15071184.270432001</v>
      </c>
      <c r="G15" s="355">
        <f t="shared" si="3"/>
        <v>17428487.95584064</v>
      </c>
      <c r="H15" s="132">
        <f t="shared" si="3"/>
        <v>19402557.714957453</v>
      </c>
      <c r="I15" s="132">
        <f t="shared" si="3"/>
        <v>21694168.869256601</v>
      </c>
      <c r="J15" s="132">
        <f t="shared" si="3"/>
        <v>23727052.246641733</v>
      </c>
      <c r="K15" s="132">
        <f t="shared" si="3"/>
        <v>24947793.291574564</v>
      </c>
      <c r="L15" s="132">
        <f t="shared" si="3"/>
        <v>25446749.157406054</v>
      </c>
      <c r="M15" s="132">
        <f t="shared" si="3"/>
        <v>25955684.140554175</v>
      </c>
      <c r="N15" s="132">
        <f t="shared" si="3"/>
        <v>26474797.82336526</v>
      </c>
      <c r="O15" s="132">
        <f t="shared" si="3"/>
        <v>27005314.579832565</v>
      </c>
      <c r="P15" s="132">
        <f t="shared" si="3"/>
        <v>27545420.871429216</v>
      </c>
      <c r="Q15" s="132">
        <f t="shared" si="3"/>
        <v>28096329.288857799</v>
      </c>
      <c r="R15" s="132">
        <f t="shared" si="3"/>
        <v>28658255.874634951</v>
      </c>
      <c r="S15" s="132">
        <f t="shared" si="3"/>
        <v>29231420.992127653</v>
      </c>
      <c r="T15" s="132">
        <f t="shared" si="3"/>
        <v>29816049.411970206</v>
      </c>
      <c r="U15" s="132">
        <f t="shared" si="3"/>
        <v>30412370.400209609</v>
      </c>
      <c r="V15" s="132">
        <f t="shared" si="3"/>
        <v>31020617.8082138</v>
      </c>
      <c r="W15" s="132">
        <f t="shared" si="3"/>
        <v>31641030.164378077</v>
      </c>
      <c r="X15" s="132">
        <f t="shared" si="3"/>
        <v>32273850.76766564</v>
      </c>
      <c r="Y15" s="132">
        <f t="shared" si="3"/>
        <v>32919327.78301895</v>
      </c>
      <c r="Z15" s="132">
        <f t="shared" si="3"/>
        <v>33577714.338679336</v>
      </c>
      <c r="AA15" s="132">
        <f t="shared" si="3"/>
        <v>34249268.625452921</v>
      </c>
      <c r="AB15" s="132">
        <f t="shared" si="3"/>
        <v>34934253.997961983</v>
      </c>
      <c r="AC15" s="132">
        <f t="shared" si="3"/>
        <v>35632939.077921219</v>
      </c>
      <c r="AD15" s="132">
        <f t="shared" si="3"/>
        <v>36345597.859479643</v>
      </c>
      <c r="AE15" s="132">
        <f t="shared" si="3"/>
        <v>37072509.816669233</v>
      </c>
      <c r="AF15" s="132">
        <f t="shared" si="3"/>
        <v>37813960.013002619</v>
      </c>
      <c r="AG15" s="227" t="s">
        <v>146</v>
      </c>
      <c r="AH15" s="238"/>
      <c r="AI15" s="238"/>
      <c r="AJ15" s="152"/>
    </row>
    <row r="16" spans="1:44" x14ac:dyDescent="0.25">
      <c r="A16" t="s">
        <v>202</v>
      </c>
      <c r="C16" s="82">
        <f>(1916.01+12727.39+176939.29+2666421.52+2264171.83)/0.01</f>
        <v>512217604</v>
      </c>
      <c r="D16" s="173">
        <f t="shared" ref="D16:AF16" si="4">D13+D14+D15</f>
        <v>642957072.08000004</v>
      </c>
      <c r="E16" s="303">
        <f t="shared" si="4"/>
        <v>753559213.52160001</v>
      </c>
      <c r="F16" s="82">
        <f t="shared" si="4"/>
        <v>871424397.792032</v>
      </c>
      <c r="G16" s="346">
        <f t="shared" si="4"/>
        <v>970127885.74787259</v>
      </c>
      <c r="H16" s="82">
        <f t="shared" si="4"/>
        <v>1084708443.4628301</v>
      </c>
      <c r="I16" s="82">
        <f t="shared" si="4"/>
        <v>1186352612.3320866</v>
      </c>
      <c r="J16" s="82">
        <f t="shared" si="4"/>
        <v>1247389664.5787282</v>
      </c>
      <c r="K16" s="82">
        <f t="shared" si="4"/>
        <v>1272337457.8703027</v>
      </c>
      <c r="L16" s="82">
        <f t="shared" si="4"/>
        <v>1297784207.0277088</v>
      </c>
      <c r="M16" s="82">
        <f t="shared" si="4"/>
        <v>1323739891.168263</v>
      </c>
      <c r="N16" s="82">
        <f t="shared" si="4"/>
        <v>1350265728.9916282</v>
      </c>
      <c r="O16" s="82">
        <f t="shared" si="4"/>
        <v>1377271043.5714607</v>
      </c>
      <c r="P16" s="82">
        <f t="shared" si="4"/>
        <v>1404816464.4428899</v>
      </c>
      <c r="Q16" s="82">
        <f t="shared" si="4"/>
        <v>1432912793.7317476</v>
      </c>
      <c r="R16" s="82">
        <f t="shared" si="4"/>
        <v>1461571049.6063826</v>
      </c>
      <c r="S16" s="82">
        <f t="shared" si="4"/>
        <v>1490802470.5985103</v>
      </c>
      <c r="T16" s="82">
        <f t="shared" si="4"/>
        <v>1520618520.0104804</v>
      </c>
      <c r="U16" s="82">
        <f t="shared" si="4"/>
        <v>1551030890.4106901</v>
      </c>
      <c r="V16" s="82">
        <f t="shared" si="4"/>
        <v>1582051508.2189038</v>
      </c>
      <c r="W16" s="82">
        <f t="shared" si="4"/>
        <v>1613692538.3832819</v>
      </c>
      <c r="X16" s="82">
        <f t="shared" si="4"/>
        <v>1645966389.1509476</v>
      </c>
      <c r="Y16" s="82">
        <f t="shared" si="4"/>
        <v>1678885716.9339666</v>
      </c>
      <c r="Z16" s="82">
        <f t="shared" si="4"/>
        <v>1712463431.272646</v>
      </c>
      <c r="AA16" s="82">
        <f t="shared" si="4"/>
        <v>1746712699.8980989</v>
      </c>
      <c r="AB16" s="82">
        <f t="shared" si="4"/>
        <v>1781646953.8960609</v>
      </c>
      <c r="AC16" s="82">
        <f t="shared" si="4"/>
        <v>1817279892.9739821</v>
      </c>
      <c r="AD16" s="82">
        <f t="shared" si="4"/>
        <v>1853625490.8334618</v>
      </c>
      <c r="AE16" s="82">
        <f t="shared" si="4"/>
        <v>1890698000.650131</v>
      </c>
      <c r="AF16" s="82">
        <f t="shared" si="4"/>
        <v>1928511960.6631336</v>
      </c>
      <c r="AG16" s="335" t="s">
        <v>176</v>
      </c>
      <c r="AH16" s="240" t="s">
        <v>190</v>
      </c>
      <c r="AI16" s="240"/>
      <c r="AJ16" s="152"/>
    </row>
    <row r="17" spans="1:49" x14ac:dyDescent="0.25">
      <c r="A17" t="s">
        <v>12</v>
      </c>
      <c r="C17" s="146">
        <f t="shared" ref="C17:AF17" si="5">-$B$6</f>
        <v>0</v>
      </c>
      <c r="D17" s="146">
        <f t="shared" si="5"/>
        <v>0</v>
      </c>
      <c r="E17" s="69">
        <f t="shared" si="5"/>
        <v>0</v>
      </c>
      <c r="F17" s="56">
        <f t="shared" si="5"/>
        <v>0</v>
      </c>
      <c r="G17" s="3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  <c r="Z17" s="56">
        <f t="shared" si="5"/>
        <v>0</v>
      </c>
      <c r="AA17" s="56">
        <f t="shared" si="5"/>
        <v>0</v>
      </c>
      <c r="AB17" s="56">
        <f t="shared" si="5"/>
        <v>0</v>
      </c>
      <c r="AC17" s="56">
        <f t="shared" si="5"/>
        <v>0</v>
      </c>
      <c r="AD17" s="56">
        <f t="shared" si="5"/>
        <v>0</v>
      </c>
      <c r="AE17" s="56">
        <f t="shared" si="5"/>
        <v>0</v>
      </c>
      <c r="AF17" s="56">
        <f t="shared" si="5"/>
        <v>0</v>
      </c>
      <c r="AG17" s="227" t="s">
        <v>144</v>
      </c>
      <c r="AH17" s="238" t="s">
        <v>144</v>
      </c>
      <c r="AI17" s="238"/>
      <c r="AJ17" s="152"/>
    </row>
    <row r="18" spans="1:49" x14ac:dyDescent="0.25">
      <c r="A18" s="1" t="s">
        <v>51</v>
      </c>
      <c r="C18" s="96">
        <f>C20/B20</f>
        <v>512217604</v>
      </c>
      <c r="D18" s="299">
        <f t="shared" ref="D18:AF18" si="6">SUM(D16:D17)</f>
        <v>642957072.08000004</v>
      </c>
      <c r="E18" s="353">
        <f t="shared" si="6"/>
        <v>753559213.52160001</v>
      </c>
      <c r="F18" s="70">
        <f t="shared" si="6"/>
        <v>871424397.792032</v>
      </c>
      <c r="G18" s="357">
        <f t="shared" si="6"/>
        <v>970127885.74787259</v>
      </c>
      <c r="H18" s="70">
        <f t="shared" si="6"/>
        <v>1084708443.4628301</v>
      </c>
      <c r="I18" s="70">
        <f t="shared" si="6"/>
        <v>1186352612.3320866</v>
      </c>
      <c r="J18" s="70">
        <f t="shared" si="6"/>
        <v>1247389664.5787282</v>
      </c>
      <c r="K18" s="70">
        <f t="shared" si="6"/>
        <v>1272337457.8703027</v>
      </c>
      <c r="L18" s="70">
        <f t="shared" si="6"/>
        <v>1297784207.0277088</v>
      </c>
      <c r="M18" s="70">
        <f t="shared" si="6"/>
        <v>1323739891.168263</v>
      </c>
      <c r="N18" s="70">
        <f t="shared" si="6"/>
        <v>1350265728.9916282</v>
      </c>
      <c r="O18" s="70">
        <f t="shared" si="6"/>
        <v>1377271043.5714607</v>
      </c>
      <c r="P18" s="70">
        <f t="shared" si="6"/>
        <v>1404816464.4428899</v>
      </c>
      <c r="Q18" s="70">
        <f t="shared" si="6"/>
        <v>1432912793.7317476</v>
      </c>
      <c r="R18" s="70">
        <f t="shared" si="6"/>
        <v>1461571049.6063826</v>
      </c>
      <c r="S18" s="70">
        <f t="shared" si="6"/>
        <v>1490802470.5985103</v>
      </c>
      <c r="T18" s="70">
        <f t="shared" si="6"/>
        <v>1520618520.0104804</v>
      </c>
      <c r="U18" s="70">
        <f t="shared" si="6"/>
        <v>1551030890.4106901</v>
      </c>
      <c r="V18" s="70">
        <f t="shared" si="6"/>
        <v>1582051508.2189038</v>
      </c>
      <c r="W18" s="70">
        <f t="shared" si="6"/>
        <v>1613692538.3832819</v>
      </c>
      <c r="X18" s="70">
        <f t="shared" si="6"/>
        <v>1645966389.1509476</v>
      </c>
      <c r="Y18" s="70">
        <f t="shared" si="6"/>
        <v>1678885716.9339666</v>
      </c>
      <c r="Z18" s="70">
        <f t="shared" si="6"/>
        <v>1712463431.272646</v>
      </c>
      <c r="AA18" s="70">
        <f t="shared" si="6"/>
        <v>1746712699.8980989</v>
      </c>
      <c r="AB18" s="70">
        <f t="shared" si="6"/>
        <v>1781646953.8960609</v>
      </c>
      <c r="AC18" s="70">
        <f t="shared" si="6"/>
        <v>1817279892.9739821</v>
      </c>
      <c r="AD18" s="70">
        <f t="shared" si="6"/>
        <v>1853625490.8334618</v>
      </c>
      <c r="AE18" s="70">
        <f t="shared" si="6"/>
        <v>1890698000.650131</v>
      </c>
      <c r="AF18" s="70">
        <f t="shared" si="6"/>
        <v>1928511960.6631336</v>
      </c>
      <c r="AG18" s="227" t="s">
        <v>177</v>
      </c>
      <c r="AH18" s="238" t="s">
        <v>191</v>
      </c>
      <c r="AI18" s="238"/>
      <c r="AJ18" s="152"/>
    </row>
    <row r="19" spans="1:49" ht="8.1" customHeight="1" x14ac:dyDescent="0.25">
      <c r="C19" s="82"/>
      <c r="D19" s="173"/>
      <c r="E19" s="69"/>
      <c r="F19" s="68"/>
      <c r="G19" s="35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227"/>
      <c r="AH19" s="238"/>
      <c r="AI19" s="238"/>
      <c r="AJ19" s="152"/>
    </row>
    <row r="20" spans="1:49" x14ac:dyDescent="0.25">
      <c r="A20" t="s">
        <v>42</v>
      </c>
      <c r="B20" s="253">
        <v>0.01</v>
      </c>
      <c r="C20" s="82">
        <f>C16*B20</f>
        <v>5122176.04</v>
      </c>
      <c r="D20" s="173">
        <f>D18*B20</f>
        <v>6429570.7208000002</v>
      </c>
      <c r="E20" s="69">
        <f>B20*E18</f>
        <v>7535592.1352160005</v>
      </c>
      <c r="F20" s="68">
        <f>$B$20*F18</f>
        <v>8714243.9779203199</v>
      </c>
      <c r="G20" s="358">
        <f t="shared" ref="G20:AF20" si="7">$B$20*G18</f>
        <v>9701278.8574787267</v>
      </c>
      <c r="H20" s="68">
        <f t="shared" si="7"/>
        <v>10847084.4346283</v>
      </c>
      <c r="I20" s="68">
        <f t="shared" si="7"/>
        <v>11863526.123320866</v>
      </c>
      <c r="J20" s="68">
        <f t="shared" si="7"/>
        <v>12473896.645787282</v>
      </c>
      <c r="K20" s="68">
        <f t="shared" si="7"/>
        <v>12723374.578703027</v>
      </c>
      <c r="L20" s="68">
        <f t="shared" si="7"/>
        <v>12977842.070277087</v>
      </c>
      <c r="M20" s="68">
        <f t="shared" si="7"/>
        <v>13237398.91168263</v>
      </c>
      <c r="N20" s="68">
        <f t="shared" si="7"/>
        <v>13502657.289916283</v>
      </c>
      <c r="O20" s="68">
        <f t="shared" si="7"/>
        <v>13772710.435714608</v>
      </c>
      <c r="P20" s="68">
        <f t="shared" si="7"/>
        <v>14048164.6444289</v>
      </c>
      <c r="Q20" s="68">
        <f t="shared" si="7"/>
        <v>14329127.937317476</v>
      </c>
      <c r="R20" s="68">
        <f t="shared" si="7"/>
        <v>14615710.496063827</v>
      </c>
      <c r="S20" s="68">
        <f t="shared" si="7"/>
        <v>14908024.705985103</v>
      </c>
      <c r="T20" s="68">
        <f t="shared" si="7"/>
        <v>15206185.200104805</v>
      </c>
      <c r="U20" s="68">
        <f t="shared" si="7"/>
        <v>15510308.9041069</v>
      </c>
      <c r="V20" s="68">
        <f t="shared" si="7"/>
        <v>15820515.082189038</v>
      </c>
      <c r="W20" s="68">
        <f t="shared" si="7"/>
        <v>16136925.38383282</v>
      </c>
      <c r="X20" s="68">
        <f t="shared" si="7"/>
        <v>16459663.891509475</v>
      </c>
      <c r="Y20" s="68">
        <f t="shared" si="7"/>
        <v>16788857.169339668</v>
      </c>
      <c r="Z20" s="68">
        <f t="shared" si="7"/>
        <v>17124634.31272646</v>
      </c>
      <c r="AA20" s="68">
        <f t="shared" si="7"/>
        <v>17467126.998980992</v>
      </c>
      <c r="AB20" s="68">
        <f t="shared" si="7"/>
        <v>17816469.53896061</v>
      </c>
      <c r="AC20" s="68">
        <f t="shared" si="7"/>
        <v>18172798.929739822</v>
      </c>
      <c r="AD20" s="68">
        <f t="shared" si="7"/>
        <v>18536254.908334617</v>
      </c>
      <c r="AE20" s="68">
        <f t="shared" si="7"/>
        <v>18906980.00650131</v>
      </c>
      <c r="AF20" s="68">
        <f t="shared" si="7"/>
        <v>19285119.606631335</v>
      </c>
      <c r="AG20" s="227" t="s">
        <v>178</v>
      </c>
      <c r="AH20" s="240" t="s">
        <v>192</v>
      </c>
      <c r="AI20" s="240"/>
      <c r="AJ20" s="152"/>
    </row>
    <row r="21" spans="1:49" x14ac:dyDescent="0.25">
      <c r="A21" t="s">
        <v>41</v>
      </c>
      <c r="B21" s="176">
        <v>0.2</v>
      </c>
      <c r="C21" s="173">
        <f t="shared" ref="C21:AF21" si="8">-$B21*C20</f>
        <v>-1024435.2080000001</v>
      </c>
      <c r="D21" s="173">
        <f t="shared" si="8"/>
        <v>-1285914.1441600001</v>
      </c>
      <c r="E21" s="69">
        <f t="shared" si="8"/>
        <v>-1507118.4270432002</v>
      </c>
      <c r="F21" s="69">
        <f t="shared" si="8"/>
        <v>-1742848.795584064</v>
      </c>
      <c r="G21" s="358">
        <f t="shared" si="8"/>
        <v>-1940255.7714957455</v>
      </c>
      <c r="H21" s="69">
        <f t="shared" si="8"/>
        <v>-2169416.8869256601</v>
      </c>
      <c r="I21" s="69">
        <f t="shared" si="8"/>
        <v>-2372705.2246641736</v>
      </c>
      <c r="J21" s="69">
        <f t="shared" si="8"/>
        <v>-2494779.3291574563</v>
      </c>
      <c r="K21" s="69">
        <f t="shared" si="8"/>
        <v>-2544674.9157406054</v>
      </c>
      <c r="L21" s="69">
        <f t="shared" si="8"/>
        <v>-2595568.4140554178</v>
      </c>
      <c r="M21" s="69">
        <f t="shared" si="8"/>
        <v>-2647479.7823365261</v>
      </c>
      <c r="N21" s="69">
        <f t="shared" si="8"/>
        <v>-2700531.4579832568</v>
      </c>
      <c r="O21" s="69">
        <f t="shared" si="8"/>
        <v>-2754542.087142922</v>
      </c>
      <c r="P21" s="69">
        <f t="shared" si="8"/>
        <v>-2809632.9288857803</v>
      </c>
      <c r="Q21" s="69">
        <f t="shared" si="8"/>
        <v>-2865825.5874634953</v>
      </c>
      <c r="R21" s="69">
        <f t="shared" si="8"/>
        <v>-2923142.0992127657</v>
      </c>
      <c r="S21" s="69">
        <f t="shared" si="8"/>
        <v>-2981604.9411970209</v>
      </c>
      <c r="T21" s="69">
        <f t="shared" si="8"/>
        <v>-3041237.0400209613</v>
      </c>
      <c r="U21" s="69">
        <f t="shared" si="8"/>
        <v>-3102061.7808213802</v>
      </c>
      <c r="V21" s="69">
        <f t="shared" si="8"/>
        <v>-3164103.0164378081</v>
      </c>
      <c r="W21" s="69">
        <f t="shared" si="8"/>
        <v>-3227385.076766564</v>
      </c>
      <c r="X21" s="69">
        <f t="shared" si="8"/>
        <v>-3291932.7783018951</v>
      </c>
      <c r="Y21" s="69">
        <f t="shared" si="8"/>
        <v>-3357771.4338679337</v>
      </c>
      <c r="Z21" s="69">
        <f t="shared" si="8"/>
        <v>-3424926.8625452924</v>
      </c>
      <c r="AA21" s="69">
        <f t="shared" si="8"/>
        <v>-3493425.3997961986</v>
      </c>
      <c r="AB21" s="69">
        <f t="shared" si="8"/>
        <v>-3563293.9077921221</v>
      </c>
      <c r="AC21" s="69">
        <f t="shared" si="8"/>
        <v>-3634559.7859479645</v>
      </c>
      <c r="AD21" s="69">
        <f t="shared" si="8"/>
        <v>-3707250.9816669235</v>
      </c>
      <c r="AE21" s="69">
        <f t="shared" si="8"/>
        <v>-3781396.0013002623</v>
      </c>
      <c r="AF21" s="69">
        <f t="shared" si="8"/>
        <v>-3857023.9213262671</v>
      </c>
      <c r="AG21" s="231" t="s">
        <v>179</v>
      </c>
      <c r="AH21" s="241" t="s">
        <v>193</v>
      </c>
      <c r="AI21" s="241"/>
      <c r="AJ21" s="152"/>
      <c r="AT21" s="445" t="s">
        <v>254</v>
      </c>
    </row>
    <row r="22" spans="1:49" x14ac:dyDescent="0.25">
      <c r="A22" s="1" t="s">
        <v>69</v>
      </c>
      <c r="B22" s="254"/>
      <c r="C22" s="204">
        <f>C20+C21</f>
        <v>4097740.8319999999</v>
      </c>
      <c r="D22" s="112">
        <f>SUM(D20:D21)</f>
        <v>5143656.5766400006</v>
      </c>
      <c r="E22" s="71">
        <f t="shared" ref="E22:AF22" si="9">SUM(E20:E21)</f>
        <v>6028473.7081728</v>
      </c>
      <c r="F22" s="71">
        <f t="shared" si="9"/>
        <v>6971395.1823362559</v>
      </c>
      <c r="G22" s="359">
        <f t="shared" si="9"/>
        <v>7761023.0859829811</v>
      </c>
      <c r="H22" s="71">
        <f t="shared" si="9"/>
        <v>8677667.5477026403</v>
      </c>
      <c r="I22" s="71">
        <f t="shared" si="9"/>
        <v>9490820.8986566924</v>
      </c>
      <c r="J22" s="71">
        <f t="shared" si="9"/>
        <v>9979117.3166298252</v>
      </c>
      <c r="K22" s="71">
        <f t="shared" si="9"/>
        <v>10178699.662962422</v>
      </c>
      <c r="L22" s="71">
        <f t="shared" si="9"/>
        <v>10382273.656221669</v>
      </c>
      <c r="M22" s="71">
        <f t="shared" si="9"/>
        <v>10589919.129346104</v>
      </c>
      <c r="N22" s="71">
        <f t="shared" si="9"/>
        <v>10802125.831933025</v>
      </c>
      <c r="O22" s="71">
        <f t="shared" si="9"/>
        <v>11018168.348571686</v>
      </c>
      <c r="P22" s="71">
        <f t="shared" si="9"/>
        <v>11238531.715543119</v>
      </c>
      <c r="Q22" s="71">
        <f t="shared" si="9"/>
        <v>11463302.349853981</v>
      </c>
      <c r="R22" s="71">
        <f t="shared" si="9"/>
        <v>11692568.396851061</v>
      </c>
      <c r="S22" s="71">
        <f t="shared" si="9"/>
        <v>11926419.764788082</v>
      </c>
      <c r="T22" s="71">
        <f t="shared" si="9"/>
        <v>12164948.160083843</v>
      </c>
      <c r="U22" s="71">
        <f t="shared" si="9"/>
        <v>12408247.123285521</v>
      </c>
      <c r="V22" s="71">
        <f t="shared" si="9"/>
        <v>12656412.06575123</v>
      </c>
      <c r="W22" s="71">
        <f t="shared" si="9"/>
        <v>12909540.307066256</v>
      </c>
      <c r="X22" s="71">
        <f t="shared" si="9"/>
        <v>13167731.113207581</v>
      </c>
      <c r="Y22" s="71">
        <f t="shared" si="9"/>
        <v>13431085.735471735</v>
      </c>
      <c r="Z22" s="71">
        <f t="shared" si="9"/>
        <v>13699707.450181168</v>
      </c>
      <c r="AA22" s="71">
        <f t="shared" si="9"/>
        <v>13973701.599184792</v>
      </c>
      <c r="AB22" s="71">
        <f t="shared" si="9"/>
        <v>14253175.631168488</v>
      </c>
      <c r="AC22" s="71">
        <f t="shared" si="9"/>
        <v>14538239.143791858</v>
      </c>
      <c r="AD22" s="71">
        <f t="shared" si="9"/>
        <v>14829003.926667694</v>
      </c>
      <c r="AE22" s="71">
        <f t="shared" si="9"/>
        <v>15125584.005201047</v>
      </c>
      <c r="AF22" s="71">
        <f t="shared" si="9"/>
        <v>15428095.685305068</v>
      </c>
      <c r="AG22" s="227" t="s">
        <v>180</v>
      </c>
      <c r="AH22" s="238" t="s">
        <v>150</v>
      </c>
      <c r="AI22" s="238"/>
      <c r="AJ22" s="124"/>
      <c r="AK22" s="139"/>
      <c r="AL22" s="139"/>
      <c r="AM22" s="139"/>
      <c r="AN22" s="445" t="s">
        <v>41</v>
      </c>
      <c r="AO22" s="445" t="s">
        <v>249</v>
      </c>
      <c r="AP22" s="139"/>
      <c r="AQ22" s="139"/>
      <c r="AR22" s="440" t="s">
        <v>251</v>
      </c>
      <c r="AS22" s="445" t="s">
        <v>41</v>
      </c>
      <c r="AT22" s="445"/>
      <c r="AU22" s="447" t="s">
        <v>253</v>
      </c>
      <c r="AV22" s="445" t="s">
        <v>252</v>
      </c>
      <c r="AW22" s="139"/>
    </row>
    <row r="23" spans="1:49" ht="7.5" customHeight="1" x14ac:dyDescent="0.25">
      <c r="A23" s="1"/>
      <c r="B23" s="254"/>
      <c r="C23" s="82"/>
      <c r="D23" s="173"/>
      <c r="E23" s="69"/>
      <c r="F23" s="68"/>
      <c r="G23" s="35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227"/>
      <c r="AH23" s="238"/>
      <c r="AI23" s="238"/>
      <c r="AJ23" s="124"/>
      <c r="AK23" s="139"/>
      <c r="AL23" s="139"/>
      <c r="AM23" s="139"/>
      <c r="AN23" s="445"/>
      <c r="AO23" s="445"/>
      <c r="AP23" s="445" t="s">
        <v>250</v>
      </c>
      <c r="AQ23" s="445" t="s">
        <v>247</v>
      </c>
      <c r="AR23" s="440"/>
      <c r="AS23" s="445"/>
      <c r="AT23" s="445"/>
      <c r="AU23" s="447"/>
      <c r="AV23" s="445"/>
      <c r="AW23" s="139"/>
    </row>
    <row r="24" spans="1:49" ht="15" customHeight="1" x14ac:dyDescent="0.25">
      <c r="A24" s="1" t="s">
        <v>222</v>
      </c>
      <c r="B24" s="254"/>
      <c r="C24" s="82"/>
      <c r="D24" s="173"/>
      <c r="E24" s="69"/>
      <c r="F24" s="68"/>
      <c r="G24" s="35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227"/>
      <c r="AH24" s="238"/>
      <c r="AI24" s="238"/>
      <c r="AJ24" s="124"/>
      <c r="AK24" s="326">
        <v>0.25</v>
      </c>
      <c r="AL24" s="326">
        <v>0.21</v>
      </c>
      <c r="AM24" s="445" t="s">
        <v>246</v>
      </c>
      <c r="AN24" s="445"/>
      <c r="AO24" s="445"/>
      <c r="AP24" s="445"/>
      <c r="AQ24" s="445"/>
      <c r="AR24" s="440"/>
      <c r="AS24" s="445"/>
      <c r="AT24" s="445"/>
      <c r="AU24" s="447"/>
      <c r="AV24" s="445"/>
      <c r="AW24" s="139"/>
    </row>
    <row r="25" spans="1:49" ht="15" customHeight="1" x14ac:dyDescent="0.25">
      <c r="A25" s="19" t="s">
        <v>258</v>
      </c>
      <c r="B25" s="255">
        <v>0.25</v>
      </c>
      <c r="C25" s="82"/>
      <c r="D25" s="173"/>
      <c r="E25" s="69"/>
      <c r="F25" s="68"/>
      <c r="G25" s="35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227"/>
      <c r="AH25" s="238"/>
      <c r="AI25" s="238"/>
      <c r="AJ25" s="327" t="s">
        <v>237</v>
      </c>
      <c r="AK25" s="130" t="s">
        <v>244</v>
      </c>
      <c r="AL25" s="130" t="s">
        <v>245</v>
      </c>
      <c r="AM25" s="446"/>
      <c r="AN25" s="446"/>
      <c r="AO25" s="446"/>
      <c r="AP25" s="446"/>
      <c r="AQ25" s="446"/>
      <c r="AR25" s="441"/>
      <c r="AS25" s="446"/>
      <c r="AT25" s="446"/>
      <c r="AU25" s="448"/>
      <c r="AV25" s="446"/>
      <c r="AW25" s="130"/>
    </row>
    <row r="26" spans="1:49" x14ac:dyDescent="0.25">
      <c r="A26" t="s">
        <v>218</v>
      </c>
      <c r="B26" s="255">
        <v>0.43601084729514705</v>
      </c>
      <c r="C26" s="82">
        <f>-$B26*$B25*C$22</f>
        <v>-446664.8630390602</v>
      </c>
      <c r="D26" s="173">
        <f t="shared" ref="D26:AF26" si="10">-$B26*$B25*D$22</f>
        <v>-560672.51554401556</v>
      </c>
      <c r="E26" s="69">
        <f>-$B26*$B25*E$22</f>
        <v>-657119.98234923487</v>
      </c>
      <c r="F26" s="68">
        <f t="shared" si="10"/>
        <v>-759900.98006993427</v>
      </c>
      <c r="G26" s="358">
        <f t="shared" si="10"/>
        <v>-845972.56289915915</v>
      </c>
      <c r="H26" s="68">
        <f t="shared" si="10"/>
        <v>-945889.29500485724</v>
      </c>
      <c r="I26" s="68">
        <f t="shared" si="10"/>
        <v>-1034525.2153874483</v>
      </c>
      <c r="J26" s="68">
        <f t="shared" si="10"/>
        <v>-1087750.849120361</v>
      </c>
      <c r="K26" s="68">
        <f t="shared" si="10"/>
        <v>-1109505.8661027683</v>
      </c>
      <c r="L26" s="68">
        <f t="shared" si="10"/>
        <v>-1131695.9834248235</v>
      </c>
      <c r="M26" s="68">
        <f t="shared" si="10"/>
        <v>-1154329.9030933203</v>
      </c>
      <c r="N26" s="68">
        <f t="shared" si="10"/>
        <v>-1177461.0091424785</v>
      </c>
      <c r="O26" s="68">
        <f t="shared" si="10"/>
        <v>-1201010.229325328</v>
      </c>
      <c r="P26" s="68">
        <f t="shared" si="10"/>
        <v>-1225030.4339118346</v>
      </c>
      <c r="Q26" s="68">
        <f t="shared" si="10"/>
        <v>-1249531.0425900712</v>
      </c>
      <c r="R26" s="68">
        <f t="shared" si="10"/>
        <v>-1274521.6634418727</v>
      </c>
      <c r="S26" s="68">
        <f t="shared" si="10"/>
        <v>-1300012.0967107101</v>
      </c>
      <c r="T26" s="68">
        <f t="shared" si="10"/>
        <v>-1326012.3386449241</v>
      </c>
      <c r="U26" s="68">
        <f t="shared" si="10"/>
        <v>-1352532.5854178227</v>
      </c>
      <c r="V26" s="68">
        <f t="shared" si="10"/>
        <v>-1379583.237126179</v>
      </c>
      <c r="W26" s="68">
        <f t="shared" si="10"/>
        <v>-1407174.9018687028</v>
      </c>
      <c r="X26" s="68">
        <f t="shared" si="10"/>
        <v>-1435318.3999060767</v>
      </c>
      <c r="Y26" s="68">
        <f t="shared" si="10"/>
        <v>-1464024.7679041985</v>
      </c>
      <c r="Z26" s="68">
        <f t="shared" si="10"/>
        <v>-1493305.2632622824</v>
      </c>
      <c r="AA26" s="68">
        <f t="shared" si="10"/>
        <v>-1523171.3685275281</v>
      </c>
      <c r="AB26" s="68">
        <f t="shared" si="10"/>
        <v>-1553634.7958980787</v>
      </c>
      <c r="AC26" s="68">
        <f t="shared" si="10"/>
        <v>-1584707.4918160404</v>
      </c>
      <c r="AD26" s="68">
        <f t="shared" si="10"/>
        <v>-1616401.641652361</v>
      </c>
      <c r="AE26" s="68">
        <f t="shared" si="10"/>
        <v>-1648729.6744854082</v>
      </c>
      <c r="AF26" s="68">
        <f t="shared" si="10"/>
        <v>-1681704.2679751164</v>
      </c>
      <c r="AG26" s="227" t="s">
        <v>224</v>
      </c>
      <c r="AH26" s="240" t="s">
        <v>235</v>
      </c>
      <c r="AI26" s="240"/>
      <c r="AJ26" s="152" t="s">
        <v>238</v>
      </c>
      <c r="AK26" s="328">
        <v>0.434253</v>
      </c>
      <c r="AL26" s="328">
        <v>4.6897000000000001E-2</v>
      </c>
      <c r="AM26" s="3">
        <v>2666421.52</v>
      </c>
      <c r="AN26" s="3">
        <f>-AM26*0.2</f>
        <v>-533284.304</v>
      </c>
      <c r="AO26" s="3">
        <f>AM26+AN26</f>
        <v>2133137.216</v>
      </c>
      <c r="AP26" s="3">
        <f>-(AO26*AK26*$AK$24)-(AO26*AL26*$AK$24)</f>
        <v>-256589.74286959998</v>
      </c>
      <c r="AQ26" s="3">
        <v>1274027.8600000001</v>
      </c>
      <c r="AR26" s="3">
        <f>(AM26-AQ26)</f>
        <v>1392393.66</v>
      </c>
      <c r="AS26" s="3">
        <f>-AR26*0.2</f>
        <v>-278478.73200000002</v>
      </c>
      <c r="AT26" s="3">
        <f>AR26+AS26</f>
        <v>1113914.9279999998</v>
      </c>
      <c r="AU26" s="3">
        <f>-(AT26*AK26*$AL$24)-(AT26*AL26*$AL$24)</f>
        <v>-112551.63519751198</v>
      </c>
      <c r="AV26" s="3">
        <f>AO26+AP26+AU26</f>
        <v>1763995.8379328882</v>
      </c>
      <c r="AW26" s="3">
        <f>(AM26*0.8)-(AM26*$AK$24*AK26)-(AM26*$AK$24*AL26)-(AR26*$AL$24*AK26)-(AR26*$AL$24*AL26)</f>
        <v>1671710.4934161101</v>
      </c>
    </row>
    <row r="27" spans="1:49" x14ac:dyDescent="0.25">
      <c r="A27" t="s">
        <v>219</v>
      </c>
      <c r="B27" s="323">
        <f>AJ42</f>
        <v>4.708428690072472E-2</v>
      </c>
      <c r="C27" s="82">
        <f>-$B27*$B25*C$22</f>
        <v>-48234.801244675604</v>
      </c>
      <c r="D27" s="173">
        <f>-$B27*$B25*D$22</f>
        <v>-60546.350493329337</v>
      </c>
      <c r="E27" s="173">
        <f>-$B27*$B25*E$22</f>
        <v>-70961.596412270985</v>
      </c>
      <c r="F27" s="82">
        <f>-$B27*$B25*F$22</f>
        <v>-82060.792715862597</v>
      </c>
      <c r="G27" s="346">
        <f>-$B27*$B25*G$22</f>
        <v>-91355.559405892651</v>
      </c>
      <c r="H27" s="82">
        <f t="shared" ref="H27:AF27" si="11">-$B27*$B25*H$22</f>
        <v>-102145.44711128486</v>
      </c>
      <c r="I27" s="82">
        <f t="shared" si="11"/>
        <v>-111717.13352893644</v>
      </c>
      <c r="J27" s="82">
        <f t="shared" si="11"/>
        <v>-117464.90568804722</v>
      </c>
      <c r="K27" s="82">
        <f t="shared" si="11"/>
        <v>-119814.20380180817</v>
      </c>
      <c r="L27" s="82">
        <f t="shared" si="11"/>
        <v>-122210.48787784432</v>
      </c>
      <c r="M27" s="82">
        <f t="shared" si="11"/>
        <v>-124654.69763540123</v>
      </c>
      <c r="N27" s="82">
        <f t="shared" si="11"/>
        <v>-127152.59795211606</v>
      </c>
      <c r="O27" s="82">
        <f t="shared" si="11"/>
        <v>-129695.64991115838</v>
      </c>
      <c r="P27" s="82">
        <f t="shared" si="11"/>
        <v>-132289.56290938155</v>
      </c>
      <c r="Q27" s="82">
        <f t="shared" si="11"/>
        <v>-134935.35416756917</v>
      </c>
      <c r="R27" s="82">
        <f t="shared" si="11"/>
        <v>-137634.06125092055</v>
      </c>
      <c r="S27" s="82">
        <f t="shared" si="11"/>
        <v>-140386.74247593898</v>
      </c>
      <c r="T27" s="82">
        <f t="shared" si="11"/>
        <v>-143194.47732545776</v>
      </c>
      <c r="U27" s="82">
        <f t="shared" si="11"/>
        <v>-146058.36687196692</v>
      </c>
      <c r="V27" s="82">
        <f t="shared" si="11"/>
        <v>-148979.53420940624</v>
      </c>
      <c r="W27" s="82">
        <f t="shared" si="11"/>
        <v>-151959.12489359439</v>
      </c>
      <c r="X27" s="82">
        <f t="shared" si="11"/>
        <v>-154998.30739146625</v>
      </c>
      <c r="Y27" s="82">
        <f t="shared" si="11"/>
        <v>-158098.27353929562</v>
      </c>
      <c r="Z27" s="82">
        <f t="shared" si="11"/>
        <v>-161260.23901008151</v>
      </c>
      <c r="AA27" s="82">
        <f t="shared" si="11"/>
        <v>-164485.44379028314</v>
      </c>
      <c r="AB27" s="82">
        <f t="shared" si="11"/>
        <v>-167775.1526660888</v>
      </c>
      <c r="AC27" s="82">
        <f t="shared" si="11"/>
        <v>-171130.6557194106</v>
      </c>
      <c r="AD27" s="82">
        <f t="shared" si="11"/>
        <v>-174553.26883379879</v>
      </c>
      <c r="AE27" s="82">
        <f t="shared" si="11"/>
        <v>-178044.33421047474</v>
      </c>
      <c r="AF27" s="82">
        <f t="shared" si="11"/>
        <v>-181605.22089468426</v>
      </c>
      <c r="AG27" s="227" t="s">
        <v>225</v>
      </c>
      <c r="AH27" s="240" t="s">
        <v>236</v>
      </c>
      <c r="AI27" s="240"/>
      <c r="AJ27" s="152" t="s">
        <v>239</v>
      </c>
      <c r="AK27" s="328">
        <v>0.43797799999999998</v>
      </c>
      <c r="AL27" s="328">
        <v>4.7299000000000001E-2</v>
      </c>
      <c r="AM27" s="3">
        <v>2264171.83</v>
      </c>
      <c r="AN27" s="3">
        <f t="shared" ref="AN27:AN36" si="12">-AM27*0.2</f>
        <v>-452834.36600000004</v>
      </c>
      <c r="AO27" s="3">
        <f t="shared" ref="AO27:AO36" si="13">AM27+AN27</f>
        <v>1811337.4640000002</v>
      </c>
      <c r="AP27" s="3">
        <f>-(AO27*AK27*$AK$24)-(AO27*AL27*$AK$24)</f>
        <v>-219750.10262938199</v>
      </c>
      <c r="AQ27" s="3">
        <v>671797.02</v>
      </c>
      <c r="AR27" s="3">
        <f>(AM27-AQ27)</f>
        <v>1592374.81</v>
      </c>
      <c r="AS27" s="3">
        <f t="shared" ref="AS27:AS36" si="14">-AR27*0.2</f>
        <v>-318474.96200000006</v>
      </c>
      <c r="AT27" s="3">
        <f t="shared" ref="AT27:AT36" si="15">AR27+AS27</f>
        <v>1273899.848</v>
      </c>
      <c r="AU27" s="3">
        <f>-(AT27*AK27*$AL$24)-(AT27*AL27*$AL$24)</f>
        <v>-129820.80227295816</v>
      </c>
      <c r="AV27" s="3">
        <f t="shared" ref="AV27:AV36" si="16">AO27+AP27+AU27</f>
        <v>1461766.55909766</v>
      </c>
      <c r="AW27" s="3">
        <f t="shared" ref="AW27:AW36" si="17">(AM27*0.8)-(AM27*$AK$24*AK27)-(AM27*$AK$24*AL27)-(AR27*$AL$24*AK27)-(AR27*$AL$24*AL27)</f>
        <v>1374373.8328720746</v>
      </c>
    </row>
    <row r="28" spans="1:49" ht="26.25" x14ac:dyDescent="0.25">
      <c r="A28" s="322" t="s">
        <v>234</v>
      </c>
      <c r="B28" s="323"/>
      <c r="C28" s="82">
        <f>(C20-(1274027.86+671797.02+115230.61+23706.97+1659.78))*0.8</f>
        <v>2428603.04</v>
      </c>
      <c r="D28" s="173">
        <f>(D20-(1274027.86+671797.02+115230.61+23706.97+1659.78))*0.8</f>
        <v>3474518.7846400002</v>
      </c>
      <c r="E28" s="173">
        <f t="shared" ref="E28:AF28" si="18">(E20-(1274027.86+671797.02+115230.61+23706.97+1659.78))*0.8</f>
        <v>4359335.9161728006</v>
      </c>
      <c r="F28" s="82">
        <f t="shared" si="18"/>
        <v>5302257.3903362565</v>
      </c>
      <c r="G28" s="346">
        <f t="shared" si="18"/>
        <v>6091885.2939829817</v>
      </c>
      <c r="H28" s="82">
        <f t="shared" si="18"/>
        <v>7008529.7557026409</v>
      </c>
      <c r="I28" s="82">
        <f t="shared" si="18"/>
        <v>7821683.1066566929</v>
      </c>
      <c r="J28" s="82">
        <f t="shared" si="18"/>
        <v>8309979.5246298257</v>
      </c>
      <c r="K28" s="82">
        <f t="shared" si="18"/>
        <v>8509561.8709624223</v>
      </c>
      <c r="L28" s="82">
        <f t="shared" si="18"/>
        <v>8713135.8642216697</v>
      </c>
      <c r="M28" s="82">
        <f t="shared" si="18"/>
        <v>8920781.3373461049</v>
      </c>
      <c r="N28" s="82">
        <f t="shared" si="18"/>
        <v>9132988.0399330258</v>
      </c>
      <c r="O28" s="82">
        <f t="shared" si="18"/>
        <v>9349030.5565716866</v>
      </c>
      <c r="P28" s="82">
        <f t="shared" si="18"/>
        <v>9569393.9235431198</v>
      </c>
      <c r="Q28" s="82">
        <f t="shared" si="18"/>
        <v>9794164.55785398</v>
      </c>
      <c r="R28" s="82">
        <f t="shared" si="18"/>
        <v>10023430.604851061</v>
      </c>
      <c r="S28" s="82">
        <f t="shared" si="18"/>
        <v>10257281.972788082</v>
      </c>
      <c r="T28" s="82">
        <f t="shared" si="18"/>
        <v>10495810.368083844</v>
      </c>
      <c r="U28" s="82">
        <f t="shared" si="18"/>
        <v>10739109.331285521</v>
      </c>
      <c r="V28" s="82">
        <f t="shared" si="18"/>
        <v>10987274.273751231</v>
      </c>
      <c r="W28" s="82">
        <f t="shared" si="18"/>
        <v>11240402.515066257</v>
      </c>
      <c r="X28" s="82">
        <f t="shared" si="18"/>
        <v>11498593.321207581</v>
      </c>
      <c r="Y28" s="82">
        <f t="shared" si="18"/>
        <v>11761947.943471735</v>
      </c>
      <c r="Z28" s="82">
        <f t="shared" si="18"/>
        <v>12030569.658181168</v>
      </c>
      <c r="AA28" s="82">
        <f t="shared" si="18"/>
        <v>12304563.807184793</v>
      </c>
      <c r="AB28" s="82">
        <f t="shared" si="18"/>
        <v>12584037.839168489</v>
      </c>
      <c r="AC28" s="82">
        <f t="shared" si="18"/>
        <v>12869101.351791859</v>
      </c>
      <c r="AD28" s="82">
        <f t="shared" si="18"/>
        <v>13159866.134667695</v>
      </c>
      <c r="AE28" s="82">
        <f t="shared" si="18"/>
        <v>13456446.213201046</v>
      </c>
      <c r="AF28" s="82">
        <f t="shared" si="18"/>
        <v>13758957.893305071</v>
      </c>
      <c r="AG28" s="227" t="s">
        <v>296</v>
      </c>
      <c r="AH28" s="246" t="s">
        <v>260</v>
      </c>
      <c r="AI28" s="246"/>
      <c r="AJ28" s="152"/>
      <c r="AK28" s="328"/>
      <c r="AL28" s="328"/>
      <c r="AM28" s="3"/>
      <c r="AN28" s="3">
        <f t="shared" si="12"/>
        <v>0</v>
      </c>
      <c r="AO28" s="3">
        <f t="shared" si="13"/>
        <v>0</v>
      </c>
      <c r="AP28" s="3">
        <f t="shared" ref="AP28:AP29" si="19">-(AO28*AK28*$AK$24)-(AO28*AL28*$AK$24)</f>
        <v>0</v>
      </c>
      <c r="AQ28" s="3"/>
      <c r="AR28" s="3">
        <f t="shared" ref="AR28:AR29" si="20">(AM28-AQ28)</f>
        <v>0</v>
      </c>
      <c r="AS28" s="3">
        <f t="shared" si="14"/>
        <v>0</v>
      </c>
      <c r="AT28" s="3">
        <f t="shared" si="15"/>
        <v>0</v>
      </c>
      <c r="AU28" s="3">
        <f t="shared" ref="AU28:AU29" si="21">-(AT28*AK28*$AL$24)-(AT28*AL28*$AL$24)</f>
        <v>0</v>
      </c>
      <c r="AV28" s="3">
        <f t="shared" si="16"/>
        <v>0</v>
      </c>
      <c r="AW28" s="3">
        <f t="shared" si="17"/>
        <v>0</v>
      </c>
    </row>
    <row r="29" spans="1:49" x14ac:dyDescent="0.25">
      <c r="A29" s="317" t="s">
        <v>221</v>
      </c>
      <c r="B29" s="255">
        <v>0.21</v>
      </c>
      <c r="C29" s="82"/>
      <c r="D29" s="173"/>
      <c r="E29" s="173"/>
      <c r="F29" s="82"/>
      <c r="G29" s="346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227"/>
      <c r="AH29" s="240"/>
      <c r="AI29" s="240"/>
      <c r="AJ29" s="152" t="s">
        <v>240</v>
      </c>
      <c r="AK29" s="328">
        <v>0.43019800000000002</v>
      </c>
      <c r="AL29" s="328">
        <v>4.6459E-2</v>
      </c>
      <c r="AM29" s="3">
        <v>0</v>
      </c>
      <c r="AN29" s="3">
        <f t="shared" si="12"/>
        <v>0</v>
      </c>
      <c r="AO29" s="3">
        <f t="shared" si="13"/>
        <v>0</v>
      </c>
      <c r="AP29" s="3">
        <f t="shared" si="19"/>
        <v>0</v>
      </c>
      <c r="AQ29" s="3">
        <v>0</v>
      </c>
      <c r="AR29" s="3">
        <f t="shared" si="20"/>
        <v>0</v>
      </c>
      <c r="AS29" s="3">
        <f t="shared" si="14"/>
        <v>0</v>
      </c>
      <c r="AT29" s="3">
        <f t="shared" si="15"/>
        <v>0</v>
      </c>
      <c r="AU29" s="3">
        <f t="shared" si="21"/>
        <v>0</v>
      </c>
      <c r="AV29" s="3">
        <f t="shared" si="16"/>
        <v>0</v>
      </c>
      <c r="AW29" s="3">
        <f t="shared" si="17"/>
        <v>0</v>
      </c>
    </row>
    <row r="30" spans="1:49" x14ac:dyDescent="0.25">
      <c r="A30" s="316" t="s">
        <v>218</v>
      </c>
      <c r="B30" s="323">
        <f>AJ41</f>
        <v>0.43601084729514705</v>
      </c>
      <c r="C30" s="82">
        <f>-$B$30*$B$29*C28</f>
        <v>-222368.42653493368</v>
      </c>
      <c r="D30" s="173">
        <f t="shared" ref="D30:AF30" si="22">-$B$30*$B$29*D28</f>
        <v>-318134.85463909613</v>
      </c>
      <c r="E30" s="173">
        <f t="shared" si="22"/>
        <v>-399150.72675548046</v>
      </c>
      <c r="F30" s="82">
        <f t="shared" si="22"/>
        <v>-485486.76484086795</v>
      </c>
      <c r="G30" s="346">
        <f t="shared" si="22"/>
        <v>-557786.89441741677</v>
      </c>
      <c r="H30" s="82">
        <f t="shared" si="22"/>
        <v>-641716.9493862032</v>
      </c>
      <c r="I30" s="82">
        <f t="shared" si="22"/>
        <v>-716171.12250757974</v>
      </c>
      <c r="J30" s="82">
        <f t="shared" si="22"/>
        <v>-760880.65484322642</v>
      </c>
      <c r="K30" s="82">
        <f t="shared" si="22"/>
        <v>-779154.8691084485</v>
      </c>
      <c r="L30" s="82">
        <f t="shared" si="22"/>
        <v>-797794.56765897491</v>
      </c>
      <c r="M30" s="82">
        <f t="shared" si="22"/>
        <v>-816807.06018051214</v>
      </c>
      <c r="N30" s="82">
        <f t="shared" si="22"/>
        <v>-836237.18926180503</v>
      </c>
      <c r="O30" s="82">
        <f t="shared" si="22"/>
        <v>-856018.53421539871</v>
      </c>
      <c r="P30" s="82">
        <f t="shared" si="22"/>
        <v>-876195.50606806413</v>
      </c>
      <c r="Q30" s="82">
        <f t="shared" si="22"/>
        <v>-896776.01735778269</v>
      </c>
      <c r="R30" s="82">
        <f t="shared" si="22"/>
        <v>-917768.13887329609</v>
      </c>
      <c r="S30" s="82">
        <f t="shared" si="22"/>
        <v>-939180.10281911958</v>
      </c>
      <c r="T30" s="82">
        <f t="shared" si="22"/>
        <v>-961020.30604385945</v>
      </c>
      <c r="U30" s="82">
        <f t="shared" si="22"/>
        <v>-983297.31333309424</v>
      </c>
      <c r="V30" s="82">
        <f t="shared" si="22"/>
        <v>-1006019.8607681135</v>
      </c>
      <c r="W30" s="82">
        <f t="shared" si="22"/>
        <v>-1029196.8591518335</v>
      </c>
      <c r="X30" s="82">
        <f t="shared" si="22"/>
        <v>-1052837.3975032277</v>
      </c>
      <c r="Y30" s="82">
        <f t="shared" si="22"/>
        <v>-1076950.7466216499</v>
      </c>
      <c r="Z30" s="82">
        <f t="shared" si="22"/>
        <v>-1101546.3627224404</v>
      </c>
      <c r="AA30" s="82">
        <f t="shared" si="22"/>
        <v>-1126633.8911452468</v>
      </c>
      <c r="AB30" s="82">
        <f t="shared" si="22"/>
        <v>-1152223.1701365092</v>
      </c>
      <c r="AC30" s="82">
        <f t="shared" si="22"/>
        <v>-1178324.2347075969</v>
      </c>
      <c r="AD30" s="82">
        <f t="shared" si="22"/>
        <v>-1204947.3205701064</v>
      </c>
      <c r="AE30" s="82">
        <f t="shared" si="22"/>
        <v>-1232102.8681498659</v>
      </c>
      <c r="AF30" s="82">
        <f t="shared" si="22"/>
        <v>-1259801.5266812211</v>
      </c>
      <c r="AG30" s="227" t="s">
        <v>226</v>
      </c>
      <c r="AH30" s="240" t="s">
        <v>298</v>
      </c>
      <c r="AI30" s="240"/>
      <c r="AJ30" s="152" t="s">
        <v>241</v>
      </c>
      <c r="AK30" s="328">
        <v>0.43019800000000002</v>
      </c>
      <c r="AL30" s="328">
        <v>4.6459E-2</v>
      </c>
      <c r="AM30" s="3">
        <v>1916.01</v>
      </c>
      <c r="AN30" s="3">
        <f t="shared" si="12"/>
        <v>-383.202</v>
      </c>
      <c r="AO30" s="3">
        <f t="shared" si="13"/>
        <v>1532.808</v>
      </c>
      <c r="AP30" s="3">
        <f>-(AO30*AK30*$AK$24)-(AO30*AL30*$AK$24)</f>
        <v>-182.655915714</v>
      </c>
      <c r="AQ30" s="3">
        <v>1659.78</v>
      </c>
      <c r="AR30" s="3">
        <f>(AM30-AQ30)</f>
        <v>256.23</v>
      </c>
      <c r="AS30" s="3">
        <f t="shared" si="14"/>
        <v>-51.246000000000009</v>
      </c>
      <c r="AT30" s="3">
        <f t="shared" si="15"/>
        <v>204.98400000000001</v>
      </c>
      <c r="AU30" s="3">
        <f>-(AT30*AK30*$AL$24)-(AT30*AL30*$AL$24)</f>
        <v>-20.518482282480001</v>
      </c>
      <c r="AV30" s="3">
        <f t="shared" si="16"/>
        <v>1329.6336020035201</v>
      </c>
      <c r="AW30" s="3">
        <f t="shared" si="17"/>
        <v>1278.8400025043998</v>
      </c>
    </row>
    <row r="31" spans="1:49" x14ac:dyDescent="0.25">
      <c r="A31" s="316" t="s">
        <v>219</v>
      </c>
      <c r="B31" s="323">
        <f>AJ42</f>
        <v>4.708428690072472E-2</v>
      </c>
      <c r="C31" s="346">
        <f>-$B$31*$B$29*C28</f>
        <v>-24013.298883699768</v>
      </c>
      <c r="D31" s="173">
        <f t="shared" ref="D31:AF31" si="23">-$B$31*$B$29*D28</f>
        <v>-34355.000252568898</v>
      </c>
      <c r="E31" s="173">
        <f t="shared" si="23"/>
        <v>-43103.8068244799</v>
      </c>
      <c r="F31" s="173">
        <f t="shared" si="23"/>
        <v>-52427.131719496851</v>
      </c>
      <c r="G31" s="346">
        <f t="shared" si="23"/>
        <v>-60234.735739122101</v>
      </c>
      <c r="H31" s="173">
        <f t="shared" si="23"/>
        <v>-69298.241411651543</v>
      </c>
      <c r="I31" s="173">
        <f t="shared" si="23"/>
        <v>-77338.458002478874</v>
      </c>
      <c r="J31" s="173">
        <f t="shared" si="23"/>
        <v>-82166.586616131928</v>
      </c>
      <c r="K31" s="173">
        <f t="shared" si="23"/>
        <v>-84139.997031691135</v>
      </c>
      <c r="L31" s="173">
        <f t="shared" si="23"/>
        <v>-86152.875655561496</v>
      </c>
      <c r="M31" s="173">
        <f t="shared" si="23"/>
        <v>-88206.011851909294</v>
      </c>
      <c r="N31" s="173">
        <f t="shared" si="23"/>
        <v>-90304.248117949755</v>
      </c>
      <c r="O31" s="173">
        <f t="shared" si="23"/>
        <v>-92440.411763545315</v>
      </c>
      <c r="P31" s="173">
        <f t="shared" si="23"/>
        <v>-94619.298682052773</v>
      </c>
      <c r="Q31" s="173">
        <f t="shared" si="23"/>
        <v>-96841.763338930352</v>
      </c>
      <c r="R31" s="173">
        <f t="shared" si="23"/>
        <v>-99108.677288945546</v>
      </c>
      <c r="S31" s="173">
        <f t="shared" si="23"/>
        <v>-101420.92951796101</v>
      </c>
      <c r="T31" s="173">
        <f t="shared" si="23"/>
        <v>-103779.42679155678</v>
      </c>
      <c r="U31" s="173">
        <f t="shared" si="23"/>
        <v>-106185.09401062447</v>
      </c>
      <c r="V31" s="173">
        <f t="shared" si="23"/>
        <v>-108638.8745740735</v>
      </c>
      <c r="W31" s="173">
        <f t="shared" si="23"/>
        <v>-111141.73074879154</v>
      </c>
      <c r="X31" s="173">
        <f t="shared" si="23"/>
        <v>-113694.64404700392</v>
      </c>
      <c r="Y31" s="173">
        <f t="shared" si="23"/>
        <v>-116298.61561118058</v>
      </c>
      <c r="Z31" s="173">
        <f t="shared" si="23"/>
        <v>-118954.66660664073</v>
      </c>
      <c r="AA31" s="173">
        <f t="shared" si="23"/>
        <v>-121663.83862201011</v>
      </c>
      <c r="AB31" s="173">
        <f t="shared" si="23"/>
        <v>-124427.19407768687</v>
      </c>
      <c r="AC31" s="173">
        <f t="shared" si="23"/>
        <v>-127245.81664247716</v>
      </c>
      <c r="AD31" s="173">
        <f t="shared" si="23"/>
        <v>-130120.81165856325</v>
      </c>
      <c r="AE31" s="173">
        <f t="shared" si="23"/>
        <v>-133053.30657497104</v>
      </c>
      <c r="AF31" s="173">
        <f t="shared" si="23"/>
        <v>-136044.45138970704</v>
      </c>
      <c r="AG31" s="227" t="s">
        <v>227</v>
      </c>
      <c r="AH31" s="240" t="s">
        <v>299</v>
      </c>
      <c r="AI31" s="240"/>
      <c r="AJ31" s="152" t="s">
        <v>242</v>
      </c>
      <c r="AK31" s="328">
        <v>0.42786000000000002</v>
      </c>
      <c r="AL31" s="328">
        <v>4.6205999999999997E-2</v>
      </c>
      <c r="AM31" s="3">
        <v>12727.39</v>
      </c>
      <c r="AN31" s="3">
        <f t="shared" si="12"/>
        <v>-2545.4780000000001</v>
      </c>
      <c r="AO31" s="3">
        <f t="shared" si="13"/>
        <v>10181.912</v>
      </c>
      <c r="AP31" s="3">
        <f>-(AO31*AK31*$AK$24)-(AO31*AL31*$AK$24)</f>
        <v>-1206.7245735480001</v>
      </c>
      <c r="AQ31" s="3">
        <v>23706.97</v>
      </c>
      <c r="AR31" s="3">
        <f>(AM31-AQ31)</f>
        <v>-10979.580000000002</v>
      </c>
      <c r="AS31" s="3">
        <f t="shared" si="14"/>
        <v>2195.9160000000006</v>
      </c>
      <c r="AT31" s="3">
        <f t="shared" si="15"/>
        <v>-8783.6640000000007</v>
      </c>
      <c r="AU31" s="3">
        <f>-(AT31*AK31*$AL$24)-(AT31*AL31*$AL$24)</f>
        <v>874.44765614304015</v>
      </c>
      <c r="AV31" s="3">
        <f t="shared" si="16"/>
        <v>9849.6350825950412</v>
      </c>
      <c r="AW31" s="3">
        <f t="shared" si="17"/>
        <v>9766.565853243801</v>
      </c>
    </row>
    <row r="32" spans="1:49" ht="26.25" x14ac:dyDescent="0.25">
      <c r="A32" s="322" t="s">
        <v>292</v>
      </c>
      <c r="B32" s="323"/>
      <c r="C32" s="82">
        <v>0</v>
      </c>
      <c r="D32" s="173">
        <v>0</v>
      </c>
      <c r="E32" s="173">
        <v>0</v>
      </c>
      <c r="F32" s="82">
        <v>0</v>
      </c>
      <c r="G32" s="346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f>O22-$N$22</f>
        <v>216042.5166386608</v>
      </c>
      <c r="P32" s="82">
        <f t="shared" ref="P32:AF32" si="24">P22-$N$22</f>
        <v>436405.88361009397</v>
      </c>
      <c r="Q32" s="82">
        <f t="shared" si="24"/>
        <v>661176.51792095602</v>
      </c>
      <c r="R32" s="82">
        <f t="shared" si="24"/>
        <v>890442.56491803564</v>
      </c>
      <c r="S32" s="82">
        <f t="shared" si="24"/>
        <v>1124293.9328550566</v>
      </c>
      <c r="T32" s="82">
        <f t="shared" si="24"/>
        <v>1362822.3281508181</v>
      </c>
      <c r="U32" s="82">
        <f t="shared" si="24"/>
        <v>1606121.2913524956</v>
      </c>
      <c r="V32" s="82">
        <f t="shared" si="24"/>
        <v>1854286.2338182051</v>
      </c>
      <c r="W32" s="82">
        <f t="shared" si="24"/>
        <v>2107414.4751332309</v>
      </c>
      <c r="X32" s="82">
        <f t="shared" si="24"/>
        <v>2365605.2812745553</v>
      </c>
      <c r="Y32" s="82">
        <f t="shared" si="24"/>
        <v>2628959.9035387095</v>
      </c>
      <c r="Z32" s="82">
        <f t="shared" si="24"/>
        <v>2897581.6182481423</v>
      </c>
      <c r="AA32" s="82">
        <f t="shared" si="24"/>
        <v>3171575.7672517672</v>
      </c>
      <c r="AB32" s="82">
        <f t="shared" si="24"/>
        <v>3451049.7992354631</v>
      </c>
      <c r="AC32" s="82">
        <f t="shared" si="24"/>
        <v>3736113.3118588328</v>
      </c>
      <c r="AD32" s="82">
        <f t="shared" si="24"/>
        <v>4026878.0947346687</v>
      </c>
      <c r="AE32" s="82">
        <f t="shared" si="24"/>
        <v>4323458.173268022</v>
      </c>
      <c r="AF32" s="82">
        <f t="shared" si="24"/>
        <v>4625969.853372043</v>
      </c>
      <c r="AG32" s="227" t="s">
        <v>297</v>
      </c>
      <c r="AH32" s="246" t="s">
        <v>295</v>
      </c>
      <c r="AI32" s="246"/>
      <c r="AJ32" s="152"/>
      <c r="AK32" s="328"/>
      <c r="AL32" s="328"/>
      <c r="AM32" s="3"/>
      <c r="AN32" s="3">
        <f t="shared" si="12"/>
        <v>0</v>
      </c>
      <c r="AO32" s="3">
        <f t="shared" si="13"/>
        <v>0</v>
      </c>
      <c r="AP32" s="3">
        <f t="shared" ref="AP32:AP33" si="25">-(AO32*AK32*$AK$24)-(AO32*AL32*$AK$24)</f>
        <v>0</v>
      </c>
      <c r="AQ32" s="3"/>
      <c r="AR32" s="3">
        <f t="shared" ref="AR32:AR33" si="26">(AM32-AQ32)</f>
        <v>0</v>
      </c>
      <c r="AS32" s="3">
        <f t="shared" si="14"/>
        <v>0</v>
      </c>
      <c r="AT32" s="3">
        <f t="shared" si="15"/>
        <v>0</v>
      </c>
      <c r="AU32" s="3">
        <f t="shared" ref="AU32:AU33" si="27">-(AT32*AK32*$AL$24)-(AT32*AL32*$AL$24)</f>
        <v>0</v>
      </c>
      <c r="AV32" s="3">
        <f t="shared" si="16"/>
        <v>0</v>
      </c>
      <c r="AW32" s="3">
        <f t="shared" si="17"/>
        <v>0</v>
      </c>
    </row>
    <row r="33" spans="1:49" x14ac:dyDescent="0.25">
      <c r="A33" s="317" t="s">
        <v>282</v>
      </c>
      <c r="B33" s="255">
        <v>0.14000000000000001</v>
      </c>
      <c r="C33" s="82"/>
      <c r="D33" s="173"/>
      <c r="E33" s="173"/>
      <c r="F33" s="82"/>
      <c r="G33" s="346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227"/>
      <c r="AH33" s="240"/>
      <c r="AI33" s="240"/>
      <c r="AJ33" s="152" t="s">
        <v>240</v>
      </c>
      <c r="AK33" s="328">
        <v>0.43019800000000002</v>
      </c>
      <c r="AL33" s="328">
        <v>4.6459E-2</v>
      </c>
      <c r="AM33" s="3">
        <v>0</v>
      </c>
      <c r="AN33" s="3">
        <f t="shared" si="12"/>
        <v>0</v>
      </c>
      <c r="AO33" s="3">
        <f t="shared" si="13"/>
        <v>0</v>
      </c>
      <c r="AP33" s="3">
        <f t="shared" si="25"/>
        <v>0</v>
      </c>
      <c r="AQ33" s="3">
        <v>0</v>
      </c>
      <c r="AR33" s="3">
        <f t="shared" si="26"/>
        <v>0</v>
      </c>
      <c r="AS33" s="3">
        <f t="shared" si="14"/>
        <v>0</v>
      </c>
      <c r="AT33" s="3">
        <f t="shared" si="15"/>
        <v>0</v>
      </c>
      <c r="AU33" s="3">
        <f t="shared" si="27"/>
        <v>0</v>
      </c>
      <c r="AV33" s="3">
        <f t="shared" si="16"/>
        <v>0</v>
      </c>
      <c r="AW33" s="3">
        <f t="shared" si="17"/>
        <v>0</v>
      </c>
    </row>
    <row r="34" spans="1:49" x14ac:dyDescent="0.25">
      <c r="A34" s="316" t="s">
        <v>218</v>
      </c>
      <c r="B34" s="323">
        <f>B30</f>
        <v>0.43601084729514705</v>
      </c>
      <c r="C34" s="82">
        <f>-$B$34*$B$33*C32</f>
        <v>0</v>
      </c>
      <c r="D34" s="173">
        <f>-$B$34*$B$33*D32</f>
        <v>0</v>
      </c>
      <c r="E34" s="173">
        <f t="shared" ref="E34:AF34" si="28">-$B$34*$B$33*E32</f>
        <v>0</v>
      </c>
      <c r="F34" s="82">
        <f t="shared" si="28"/>
        <v>0</v>
      </c>
      <c r="G34" s="346">
        <f t="shared" si="28"/>
        <v>0</v>
      </c>
      <c r="H34" s="82">
        <f t="shared" si="28"/>
        <v>0</v>
      </c>
      <c r="I34" s="82">
        <f t="shared" si="28"/>
        <v>0</v>
      </c>
      <c r="J34" s="82">
        <f t="shared" si="28"/>
        <v>0</v>
      </c>
      <c r="K34" s="82">
        <f t="shared" si="28"/>
        <v>0</v>
      </c>
      <c r="L34" s="82">
        <f t="shared" si="28"/>
        <v>0</v>
      </c>
      <c r="M34" s="82">
        <f t="shared" si="28"/>
        <v>0</v>
      </c>
      <c r="N34" s="82">
        <f>-$B$34*$B$33*N32</f>
        <v>0</v>
      </c>
      <c r="O34" s="82">
        <f t="shared" si="28"/>
        <v>-13187.563302395778</v>
      </c>
      <c r="P34" s="82">
        <f t="shared" si="28"/>
        <v>-26638.87787083942</v>
      </c>
      <c r="Q34" s="82">
        <f t="shared" si="28"/>
        <v>-40359.218730651948</v>
      </c>
      <c r="R34" s="82">
        <f t="shared" si="28"/>
        <v>-54353.966407660744</v>
      </c>
      <c r="S34" s="82">
        <f t="shared" si="28"/>
        <v>-68628.609038209703</v>
      </c>
      <c r="T34" s="82">
        <f t="shared" si="28"/>
        <v>-83188.744521369648</v>
      </c>
      <c r="U34" s="82">
        <f t="shared" si="28"/>
        <v>-98040.082714192831</v>
      </c>
      <c r="V34" s="82">
        <f t="shared" si="28"/>
        <v>-113188.4476708724</v>
      </c>
      <c r="W34" s="82">
        <f t="shared" si="28"/>
        <v>-128639.77992668569</v>
      </c>
      <c r="X34" s="82">
        <f t="shared" si="28"/>
        <v>-144400.1388276151</v>
      </c>
      <c r="Y34" s="82">
        <f t="shared" si="28"/>
        <v>-160475.70490656333</v>
      </c>
      <c r="Z34" s="82">
        <f t="shared" si="28"/>
        <v>-176872.78230709024</v>
      </c>
      <c r="AA34" s="82">
        <f t="shared" si="28"/>
        <v>-193597.80125562791</v>
      </c>
      <c r="AB34" s="82">
        <f t="shared" si="28"/>
        <v>-210657.32058313623</v>
      </c>
      <c r="AC34" s="82">
        <f t="shared" si="28"/>
        <v>-228058.03029719469</v>
      </c>
      <c r="AD34" s="82">
        <f t="shared" si="28"/>
        <v>-245806.75420553429</v>
      </c>
      <c r="AE34" s="82">
        <f t="shared" si="28"/>
        <v>-263910.4525920407</v>
      </c>
      <c r="AF34" s="82">
        <f t="shared" si="28"/>
        <v>-282376.22494627727</v>
      </c>
      <c r="AG34" s="227" t="s">
        <v>284</v>
      </c>
      <c r="AH34" s="240" t="s">
        <v>300</v>
      </c>
      <c r="AI34" s="240"/>
      <c r="AJ34" s="152" t="s">
        <v>241</v>
      </c>
      <c r="AK34" s="328">
        <v>0.43019800000000002</v>
      </c>
      <c r="AL34" s="328">
        <v>4.6459E-2</v>
      </c>
      <c r="AM34" s="3">
        <v>1916.01</v>
      </c>
      <c r="AN34" s="3">
        <f t="shared" si="12"/>
        <v>-383.202</v>
      </c>
      <c r="AO34" s="3">
        <f t="shared" si="13"/>
        <v>1532.808</v>
      </c>
      <c r="AP34" s="3">
        <f>-(AO34*AK34*$AK$24)-(AO34*AL34*$AK$24)</f>
        <v>-182.655915714</v>
      </c>
      <c r="AQ34" s="3">
        <v>1659.78</v>
      </c>
      <c r="AR34" s="3">
        <f>(AM34-AQ34)</f>
        <v>256.23</v>
      </c>
      <c r="AS34" s="3">
        <f t="shared" si="14"/>
        <v>-51.246000000000009</v>
      </c>
      <c r="AT34" s="3">
        <f t="shared" si="15"/>
        <v>204.98400000000001</v>
      </c>
      <c r="AU34" s="3">
        <f>-(AT34*AK34*$AL$24)-(AT34*AL34*$AL$24)</f>
        <v>-20.518482282480001</v>
      </c>
      <c r="AV34" s="3">
        <f t="shared" si="16"/>
        <v>1329.6336020035201</v>
      </c>
      <c r="AW34" s="3">
        <f t="shared" si="17"/>
        <v>1278.8400025043998</v>
      </c>
    </row>
    <row r="35" spans="1:49" x14ac:dyDescent="0.25">
      <c r="A35" s="316" t="s">
        <v>219</v>
      </c>
      <c r="B35" s="324">
        <f>B31</f>
        <v>4.708428690072472E-2</v>
      </c>
      <c r="C35" s="146">
        <f>-$B$35*$B$33*C32</f>
        <v>0</v>
      </c>
      <c r="D35" s="146">
        <f>-$B$35*$B$33*D32</f>
        <v>0</v>
      </c>
      <c r="E35" s="173">
        <f t="shared" ref="E35:AF35" si="29">-$B$35*$B$33*E32</f>
        <v>0</v>
      </c>
      <c r="F35" s="146">
        <f t="shared" si="29"/>
        <v>0</v>
      </c>
      <c r="G35" s="360">
        <f t="shared" si="29"/>
        <v>0</v>
      </c>
      <c r="H35" s="146">
        <f t="shared" si="29"/>
        <v>0</v>
      </c>
      <c r="I35" s="146">
        <f t="shared" si="29"/>
        <v>0</v>
      </c>
      <c r="J35" s="146">
        <f t="shared" si="29"/>
        <v>0</v>
      </c>
      <c r="K35" s="146">
        <f t="shared" si="29"/>
        <v>0</v>
      </c>
      <c r="L35" s="146">
        <f t="shared" si="29"/>
        <v>0</v>
      </c>
      <c r="M35" s="146">
        <f t="shared" si="29"/>
        <v>0</v>
      </c>
      <c r="N35" s="146">
        <f t="shared" si="29"/>
        <v>0</v>
      </c>
      <c r="O35" s="146">
        <f t="shared" si="29"/>
        <v>-1424.1090970637022</v>
      </c>
      <c r="P35" s="146">
        <f t="shared" si="29"/>
        <v>-2876.7003760686725</v>
      </c>
      <c r="Q35" s="146">
        <f t="shared" si="29"/>
        <v>-4358.3434806537443</v>
      </c>
      <c r="R35" s="146">
        <f t="shared" si="29"/>
        <v>-5869.6194473305186</v>
      </c>
      <c r="S35" s="146">
        <f t="shared" si="29"/>
        <v>-7411.1209333408278</v>
      </c>
      <c r="T35" s="146">
        <f t="shared" si="29"/>
        <v>-8983.4524490713429</v>
      </c>
      <c r="U35" s="146">
        <f t="shared" si="29"/>
        <v>-10587.230595116474</v>
      </c>
      <c r="V35" s="146">
        <f t="shared" si="29"/>
        <v>-12223.084304082498</v>
      </c>
      <c r="W35" s="146">
        <f t="shared" si="29"/>
        <v>-13891.655087227857</v>
      </c>
      <c r="X35" s="146">
        <f t="shared" si="29"/>
        <v>-15593.597286036109</v>
      </c>
      <c r="Y35" s="146">
        <f t="shared" si="29"/>
        <v>-17329.578328820549</v>
      </c>
      <c r="Z35" s="146">
        <f t="shared" si="29"/>
        <v>-19100.278992460648</v>
      </c>
      <c r="AA35" s="146">
        <f t="shared" si="29"/>
        <v>-20906.39366937357</v>
      </c>
      <c r="AB35" s="146">
        <f t="shared" si="29"/>
        <v>-22748.630639824743</v>
      </c>
      <c r="AC35" s="146">
        <f t="shared" si="29"/>
        <v>-24627.712349684938</v>
      </c>
      <c r="AD35" s="146">
        <f t="shared" si="29"/>
        <v>-26544.375693742328</v>
      </c>
      <c r="AE35" s="146">
        <f t="shared" si="29"/>
        <v>-28499.37230468087</v>
      </c>
      <c r="AF35" s="146">
        <f t="shared" si="29"/>
        <v>-30493.468847838187</v>
      </c>
      <c r="AG35" s="227" t="s">
        <v>285</v>
      </c>
      <c r="AH35" s="240" t="s">
        <v>301</v>
      </c>
      <c r="AI35" s="240"/>
      <c r="AJ35" s="152" t="s">
        <v>242</v>
      </c>
      <c r="AK35" s="328">
        <v>0.42786000000000002</v>
      </c>
      <c r="AL35" s="328">
        <v>4.6205999999999997E-2</v>
      </c>
      <c r="AM35" s="3">
        <v>12727.39</v>
      </c>
      <c r="AN35" s="3">
        <f t="shared" si="12"/>
        <v>-2545.4780000000001</v>
      </c>
      <c r="AO35" s="3">
        <f t="shared" si="13"/>
        <v>10181.912</v>
      </c>
      <c r="AP35" s="3">
        <f>-(AO35*AK35*$AK$24)-(AO35*AL35*$AK$24)</f>
        <v>-1206.7245735480001</v>
      </c>
      <c r="AQ35" s="3">
        <v>23706.97</v>
      </c>
      <c r="AR35" s="3">
        <f>(AM35-AQ35)</f>
        <v>-10979.580000000002</v>
      </c>
      <c r="AS35" s="3">
        <f t="shared" si="14"/>
        <v>2195.9160000000006</v>
      </c>
      <c r="AT35" s="3">
        <f t="shared" si="15"/>
        <v>-8783.6640000000007</v>
      </c>
      <c r="AU35" s="3">
        <f>-(AT35*AK35*$AL$24)-(AT35*AL35*$AL$24)</f>
        <v>874.44765614304015</v>
      </c>
      <c r="AV35" s="3">
        <f t="shared" si="16"/>
        <v>9849.6350825950412</v>
      </c>
      <c r="AW35" s="3">
        <f t="shared" si="17"/>
        <v>9766.565853243801</v>
      </c>
    </row>
    <row r="36" spans="1:49" x14ac:dyDescent="0.25">
      <c r="A36" s="1" t="s">
        <v>223</v>
      </c>
      <c r="B36" s="152"/>
      <c r="C36" s="114">
        <f>C22+SUM(C26:C27)+SUM(C30:C31)+SUM(C34:C35)</f>
        <v>3356459.4422976309</v>
      </c>
      <c r="D36" s="145">
        <f>D22+SUM(D26:D27)+SUM(D30:D31)+SUM(D34:D35)</f>
        <v>4169947.8557109907</v>
      </c>
      <c r="E36" s="71">
        <f>E22+SUM(E26:E27)+SUM(E30:E31)+SUM(E34:E35)</f>
        <v>4858137.5958313337</v>
      </c>
      <c r="F36" s="111">
        <f t="shared" ref="F36:AF36" si="30">F22+SUM(F26:F27)+SUM(F30:F31)+SUM(F34:F35)</f>
        <v>5591519.5129900947</v>
      </c>
      <c r="G36" s="361">
        <f t="shared" si="30"/>
        <v>6205673.3335213903</v>
      </c>
      <c r="H36" s="111">
        <f t="shared" si="30"/>
        <v>6918617.614788644</v>
      </c>
      <c r="I36" s="111">
        <f t="shared" si="30"/>
        <v>7551068.9692302486</v>
      </c>
      <c r="J36" s="111">
        <f t="shared" si="30"/>
        <v>7930854.3203620575</v>
      </c>
      <c r="K36" s="111">
        <f t="shared" si="30"/>
        <v>8086084.7269177055</v>
      </c>
      <c r="L36" s="111">
        <f t="shared" si="30"/>
        <v>8244419.7416044651</v>
      </c>
      <c r="M36" s="111">
        <f t="shared" si="30"/>
        <v>8405921.4565849602</v>
      </c>
      <c r="N36" s="111">
        <f t="shared" si="30"/>
        <v>8570970.787458675</v>
      </c>
      <c r="O36" s="111">
        <f t="shared" si="30"/>
        <v>8724391.8509567976</v>
      </c>
      <c r="P36" s="111">
        <f t="shared" si="30"/>
        <v>8880881.3357248791</v>
      </c>
      <c r="Q36" s="111">
        <f t="shared" si="30"/>
        <v>9040500.610188324</v>
      </c>
      <c r="R36" s="111">
        <f t="shared" si="30"/>
        <v>9203312.2701410353</v>
      </c>
      <c r="S36" s="111">
        <f t="shared" si="30"/>
        <v>9369380.163292801</v>
      </c>
      <c r="T36" s="111">
        <f t="shared" si="30"/>
        <v>9538769.4143076055</v>
      </c>
      <c r="U36" s="111">
        <f t="shared" si="30"/>
        <v>9711546.4503427017</v>
      </c>
      <c r="V36" s="111">
        <f t="shared" si="30"/>
        <v>9887779.027098503</v>
      </c>
      <c r="W36" s="111">
        <f t="shared" si="30"/>
        <v>10067536.255389422</v>
      </c>
      <c r="X36" s="111">
        <f t="shared" si="30"/>
        <v>10250888.628246155</v>
      </c>
      <c r="Y36" s="111">
        <f t="shared" si="30"/>
        <v>10437908.048560025</v>
      </c>
      <c r="Z36" s="111">
        <f t="shared" si="30"/>
        <v>10628667.857280172</v>
      </c>
      <c r="AA36" s="111">
        <f t="shared" si="30"/>
        <v>10823242.862174723</v>
      </c>
      <c r="AB36" s="111">
        <f t="shared" si="30"/>
        <v>11021709.367167162</v>
      </c>
      <c r="AC36" s="111">
        <f t="shared" si="30"/>
        <v>11224145.202259453</v>
      </c>
      <c r="AD36" s="111">
        <f t="shared" si="30"/>
        <v>11430629.754053587</v>
      </c>
      <c r="AE36" s="111">
        <f t="shared" si="30"/>
        <v>11641243.996883607</v>
      </c>
      <c r="AF36" s="111">
        <f t="shared" si="30"/>
        <v>11856070.524570223</v>
      </c>
      <c r="AG36" s="227" t="s">
        <v>182</v>
      </c>
      <c r="AH36" s="240" t="s">
        <v>286</v>
      </c>
      <c r="AI36" s="240"/>
      <c r="AJ36" s="152" t="s">
        <v>243</v>
      </c>
      <c r="AK36" s="328">
        <v>0.43797799999999998</v>
      </c>
      <c r="AL36" s="328">
        <v>4.7299000000000001E-2</v>
      </c>
      <c r="AM36" s="3">
        <v>176939.29</v>
      </c>
      <c r="AN36" s="3">
        <f t="shared" si="12"/>
        <v>-35387.858</v>
      </c>
      <c r="AO36" s="3">
        <f t="shared" si="13"/>
        <v>141551.432</v>
      </c>
      <c r="AP36" s="3">
        <f>-(AO36*AK36*$AK$24)-(AO36*AL36*$AK$24)</f>
        <v>-17172.913566666</v>
      </c>
      <c r="AQ36" s="3">
        <v>115230.61</v>
      </c>
      <c r="AR36" s="3">
        <f>(AM36-AQ36)</f>
        <v>61708.680000000008</v>
      </c>
      <c r="AS36" s="3">
        <f t="shared" si="14"/>
        <v>-12341.736000000003</v>
      </c>
      <c r="AT36" s="3">
        <f t="shared" si="15"/>
        <v>49366.944000000003</v>
      </c>
      <c r="AU36" s="3">
        <f>-(AT36*AK36*$AL$24)-(AT36*AL36*$AL$24)</f>
        <v>-5030.8949215324792</v>
      </c>
      <c r="AV36" s="3">
        <f t="shared" si="16"/>
        <v>119347.62351180152</v>
      </c>
      <c r="AW36" s="3">
        <f t="shared" si="17"/>
        <v>113796.67138975189</v>
      </c>
    </row>
    <row r="37" spans="1:49" ht="8.1" customHeight="1" x14ac:dyDescent="0.25">
      <c r="A37" s="1"/>
      <c r="B37" s="152"/>
      <c r="C37" s="114"/>
      <c r="D37" s="145"/>
      <c r="E37" s="134"/>
      <c r="F37" s="111"/>
      <c r="G37" s="36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227"/>
      <c r="AH37" s="238"/>
      <c r="AI37" s="238"/>
      <c r="AJ37" s="152"/>
    </row>
    <row r="38" spans="1:49" x14ac:dyDescent="0.25">
      <c r="A38" s="193" t="s">
        <v>167</v>
      </c>
      <c r="B38" s="194"/>
      <c r="C38" s="195"/>
      <c r="D38" s="300"/>
      <c r="E38" s="300"/>
      <c r="F38" s="195"/>
      <c r="G38" s="362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227"/>
      <c r="AH38" s="238"/>
      <c r="AI38" s="238"/>
      <c r="AJ38" s="152"/>
      <c r="AN38" s="8">
        <f>SUM(AN26:AN36)</f>
        <v>-1027363.8880000002</v>
      </c>
      <c r="AO38" s="8">
        <f>SUM(AO26:AO36)</f>
        <v>4109455.5520000006</v>
      </c>
      <c r="AP38" s="8">
        <f>SUM(AP26:AP36)</f>
        <v>-496291.52004417201</v>
      </c>
      <c r="AR38" s="8">
        <f t="shared" ref="AR38:AW38" si="31">SUM(AR26:AR36)</f>
        <v>3025030.4499999997</v>
      </c>
      <c r="AS38" s="8">
        <f t="shared" si="31"/>
        <v>-605006.09000000032</v>
      </c>
      <c r="AT38" s="8">
        <f t="shared" si="31"/>
        <v>2420024.3600000003</v>
      </c>
      <c r="AU38" s="8">
        <f t="shared" si="31"/>
        <v>-245695.47404428147</v>
      </c>
      <c r="AV38" s="8">
        <f t="shared" si="31"/>
        <v>3367468.5579115469</v>
      </c>
      <c r="AW38" s="8">
        <f t="shared" si="31"/>
        <v>3181971.8093894324</v>
      </c>
    </row>
    <row r="39" spans="1:49" ht="15" customHeight="1" x14ac:dyDescent="0.25">
      <c r="A39" s="179" t="s">
        <v>157</v>
      </c>
      <c r="B39" s="180">
        <v>0.25</v>
      </c>
      <c r="C39" s="181">
        <f>$B$39*C$36</f>
        <v>839114.86057440774</v>
      </c>
      <c r="D39" s="181">
        <f t="shared" ref="D39:L39" si="32">$B$39*D$36</f>
        <v>1042486.9639277477</v>
      </c>
      <c r="E39" s="181">
        <f t="shared" si="32"/>
        <v>1214534.3989578334</v>
      </c>
      <c r="F39" s="181">
        <f t="shared" si="32"/>
        <v>1397879.8782475237</v>
      </c>
      <c r="G39" s="363">
        <f t="shared" si="32"/>
        <v>1551418.3333803476</v>
      </c>
      <c r="H39" s="181">
        <f t="shared" si="32"/>
        <v>1729654.403697161</v>
      </c>
      <c r="I39" s="181">
        <f t="shared" si="32"/>
        <v>1887767.2423075621</v>
      </c>
      <c r="J39" s="181">
        <f t="shared" si="32"/>
        <v>1982713.5800905144</v>
      </c>
      <c r="K39" s="181">
        <f t="shared" si="32"/>
        <v>2021521.1817294264</v>
      </c>
      <c r="L39" s="181">
        <f t="shared" si="32"/>
        <v>2061104.9354011163</v>
      </c>
      <c r="M39" s="181">
        <f>$B$39*M$36</f>
        <v>2101480.3641462401</v>
      </c>
      <c r="N39" s="181">
        <f t="shared" ref="N39:AF39" si="33">$B$39*N$36</f>
        <v>2142742.6968646687</v>
      </c>
      <c r="O39" s="181">
        <f t="shared" si="33"/>
        <v>2181097.9627391994</v>
      </c>
      <c r="P39" s="181">
        <f t="shared" si="33"/>
        <v>2220220.3339312198</v>
      </c>
      <c r="Q39" s="181">
        <f t="shared" si="33"/>
        <v>2260125.152547081</v>
      </c>
      <c r="R39" s="181">
        <f t="shared" si="33"/>
        <v>2300828.0675352588</v>
      </c>
      <c r="S39" s="181">
        <f t="shared" si="33"/>
        <v>2342345.0408232003</v>
      </c>
      <c r="T39" s="181">
        <f t="shared" si="33"/>
        <v>2384692.3535769014</v>
      </c>
      <c r="U39" s="181">
        <f t="shared" si="33"/>
        <v>2427886.6125856754</v>
      </c>
      <c r="V39" s="181">
        <f t="shared" si="33"/>
        <v>2471944.7567746257</v>
      </c>
      <c r="W39" s="181">
        <f t="shared" si="33"/>
        <v>2516884.0638473555</v>
      </c>
      <c r="X39" s="181">
        <f t="shared" si="33"/>
        <v>2562722.1570615387</v>
      </c>
      <c r="Y39" s="181">
        <f t="shared" si="33"/>
        <v>2609477.0121400063</v>
      </c>
      <c r="Z39" s="181">
        <f t="shared" si="33"/>
        <v>2657166.9643200431</v>
      </c>
      <c r="AA39" s="181">
        <f t="shared" si="33"/>
        <v>2705810.7155436808</v>
      </c>
      <c r="AB39" s="181">
        <f t="shared" si="33"/>
        <v>2755427.3417917904</v>
      </c>
      <c r="AC39" s="181">
        <f t="shared" si="33"/>
        <v>2806036.3005648633</v>
      </c>
      <c r="AD39" s="181">
        <f t="shared" si="33"/>
        <v>2857657.4385133968</v>
      </c>
      <c r="AE39" s="181">
        <f t="shared" si="33"/>
        <v>2910310.9992209016</v>
      </c>
      <c r="AF39" s="181">
        <f t="shared" si="33"/>
        <v>2964017.6311425557</v>
      </c>
      <c r="AG39" s="232"/>
      <c r="AH39" s="242" t="s">
        <v>169</v>
      </c>
      <c r="AI39" s="242"/>
      <c r="AJ39" s="124"/>
      <c r="AO39" t="s">
        <v>248</v>
      </c>
      <c r="AP39" s="80">
        <f>C26+C27</f>
        <v>-494899.66428373579</v>
      </c>
      <c r="AU39" s="80">
        <f>SUM(C30:C31)</f>
        <v>-246381.72541863343</v>
      </c>
      <c r="AV39" s="80">
        <f>C36</f>
        <v>3356459.4422976309</v>
      </c>
    </row>
    <row r="40" spans="1:49" ht="15" customHeight="1" x14ac:dyDescent="0.25">
      <c r="A40" s="179" t="s">
        <v>156</v>
      </c>
      <c r="B40" s="182">
        <v>0.05</v>
      </c>
      <c r="C40" s="181">
        <f>B40*C$36</f>
        <v>167822.97211488156</v>
      </c>
      <c r="D40" s="181">
        <f>B40*D$36</f>
        <v>208497.39278554954</v>
      </c>
      <c r="E40" s="181">
        <f>$B$40*E36</f>
        <v>242906.87979156669</v>
      </c>
      <c r="F40" s="181">
        <f t="shared" ref="F40:AF40" si="34">$B$40*F36</f>
        <v>279575.97564950475</v>
      </c>
      <c r="G40" s="363">
        <f t="shared" si="34"/>
        <v>310283.66667606955</v>
      </c>
      <c r="H40" s="181">
        <f t="shared" si="34"/>
        <v>345930.88073943224</v>
      </c>
      <c r="I40" s="181">
        <f t="shared" si="34"/>
        <v>377553.44846151245</v>
      </c>
      <c r="J40" s="181">
        <f t="shared" si="34"/>
        <v>396542.71601810289</v>
      </c>
      <c r="K40" s="181">
        <f t="shared" si="34"/>
        <v>404304.23634588532</v>
      </c>
      <c r="L40" s="181">
        <f t="shared" si="34"/>
        <v>412220.98708022328</v>
      </c>
      <c r="M40" s="181">
        <f t="shared" si="34"/>
        <v>420296.07282924803</v>
      </c>
      <c r="N40" s="181">
        <f t="shared" si="34"/>
        <v>428548.5393729338</v>
      </c>
      <c r="O40" s="181">
        <f t="shared" si="34"/>
        <v>436219.59254783991</v>
      </c>
      <c r="P40" s="181">
        <f t="shared" si="34"/>
        <v>444044.06678624399</v>
      </c>
      <c r="Q40" s="181">
        <f t="shared" si="34"/>
        <v>452025.03050941625</v>
      </c>
      <c r="R40" s="181">
        <f t="shared" si="34"/>
        <v>460165.61350705178</v>
      </c>
      <c r="S40" s="181">
        <f t="shared" si="34"/>
        <v>468469.00816464005</v>
      </c>
      <c r="T40" s="181">
        <f t="shared" si="34"/>
        <v>476938.47071538027</v>
      </c>
      <c r="U40" s="181">
        <f t="shared" si="34"/>
        <v>485577.32251713512</v>
      </c>
      <c r="V40" s="181">
        <f t="shared" si="34"/>
        <v>494388.95135492517</v>
      </c>
      <c r="W40" s="181">
        <f t="shared" si="34"/>
        <v>503376.81276947114</v>
      </c>
      <c r="X40" s="181">
        <f t="shared" si="34"/>
        <v>512544.43141230778</v>
      </c>
      <c r="Y40" s="181">
        <f t="shared" si="34"/>
        <v>521895.40242800128</v>
      </c>
      <c r="Z40" s="181">
        <f t="shared" si="34"/>
        <v>531433.39286400867</v>
      </c>
      <c r="AA40" s="181">
        <f t="shared" si="34"/>
        <v>541162.14310873614</v>
      </c>
      <c r="AB40" s="181">
        <f t="shared" si="34"/>
        <v>551085.46835835814</v>
      </c>
      <c r="AC40" s="181">
        <f t="shared" si="34"/>
        <v>561207.2601129727</v>
      </c>
      <c r="AD40" s="181">
        <f t="shared" si="34"/>
        <v>571531.48770267935</v>
      </c>
      <c r="AE40" s="181">
        <f t="shared" si="34"/>
        <v>582062.19984418037</v>
      </c>
      <c r="AF40" s="181">
        <f t="shared" si="34"/>
        <v>592803.52622851112</v>
      </c>
      <c r="AG40" s="233"/>
      <c r="AH40" s="243" t="s">
        <v>170</v>
      </c>
      <c r="AI40" s="243"/>
      <c r="AJ40" s="152"/>
      <c r="AP40" s="8">
        <f>AP38-AP39</f>
        <v>-1391.855760436214</v>
      </c>
      <c r="AU40" s="8">
        <f>AU39-AU38</f>
        <v>-686.25137435196666</v>
      </c>
      <c r="AV40" s="8">
        <f>AV39-AV38</f>
        <v>-11009.115613915958</v>
      </c>
    </row>
    <row r="41" spans="1:49" ht="15" customHeight="1" x14ac:dyDescent="0.25">
      <c r="A41" s="179" t="s">
        <v>58</v>
      </c>
      <c r="B41" s="182">
        <v>0.35</v>
      </c>
      <c r="C41" s="181">
        <f>B41*C$36</f>
        <v>1174760.8048041707</v>
      </c>
      <c r="D41" s="181">
        <f>B41*(D$36)</f>
        <v>1459481.7494988467</v>
      </c>
      <c r="E41" s="181">
        <f>$B$41*(E36)</f>
        <v>1700348.1585409667</v>
      </c>
      <c r="F41" s="181">
        <f t="shared" ref="F41:AF41" si="35">$B$41*(F36)</f>
        <v>1957031.8295465331</v>
      </c>
      <c r="G41" s="363">
        <f t="shared" si="35"/>
        <v>2171985.6667324863</v>
      </c>
      <c r="H41" s="181">
        <f t="shared" si="35"/>
        <v>2421516.1651760251</v>
      </c>
      <c r="I41" s="181">
        <f t="shared" si="35"/>
        <v>2642874.1392305871</v>
      </c>
      <c r="J41" s="181">
        <f t="shared" si="35"/>
        <v>2775799.01212672</v>
      </c>
      <c r="K41" s="181">
        <f t="shared" si="35"/>
        <v>2830129.6544211968</v>
      </c>
      <c r="L41" s="181">
        <f t="shared" si="35"/>
        <v>2885546.9095615628</v>
      </c>
      <c r="M41" s="181">
        <f t="shared" si="35"/>
        <v>2942072.5098047359</v>
      </c>
      <c r="N41" s="181">
        <f t="shared" si="35"/>
        <v>2999839.7756105359</v>
      </c>
      <c r="O41" s="181">
        <f t="shared" si="35"/>
        <v>3053537.1478348789</v>
      </c>
      <c r="P41" s="181">
        <f t="shared" si="35"/>
        <v>3108308.4675037074</v>
      </c>
      <c r="Q41" s="181">
        <f t="shared" si="35"/>
        <v>3164175.213565913</v>
      </c>
      <c r="R41" s="181">
        <f t="shared" si="35"/>
        <v>3221159.2945493623</v>
      </c>
      <c r="S41" s="181">
        <f t="shared" si="35"/>
        <v>3279283.0571524804</v>
      </c>
      <c r="T41" s="181">
        <f t="shared" si="35"/>
        <v>3338569.2950076619</v>
      </c>
      <c r="U41" s="181">
        <f t="shared" si="35"/>
        <v>3399041.2576199453</v>
      </c>
      <c r="V41" s="181">
        <f t="shared" si="35"/>
        <v>3460722.6594844759</v>
      </c>
      <c r="W41" s="181">
        <f t="shared" si="35"/>
        <v>3523637.6893862975</v>
      </c>
      <c r="X41" s="181">
        <f t="shared" si="35"/>
        <v>3587811.0198861538</v>
      </c>
      <c r="Y41" s="181">
        <f t="shared" si="35"/>
        <v>3653267.8169960086</v>
      </c>
      <c r="Z41" s="181">
        <f t="shared" si="35"/>
        <v>3720033.75004806</v>
      </c>
      <c r="AA41" s="181">
        <f t="shared" si="35"/>
        <v>3788135.0017611529</v>
      </c>
      <c r="AB41" s="181">
        <f t="shared" si="35"/>
        <v>3857598.2785085062</v>
      </c>
      <c r="AC41" s="181">
        <f t="shared" si="35"/>
        <v>3928450.8207908082</v>
      </c>
      <c r="AD41" s="181">
        <f t="shared" si="35"/>
        <v>4000720.413918755</v>
      </c>
      <c r="AE41" s="181">
        <f t="shared" si="35"/>
        <v>4074435.3989092619</v>
      </c>
      <c r="AF41" s="181">
        <f t="shared" si="35"/>
        <v>4149624.6835995778</v>
      </c>
      <c r="AG41" s="335"/>
      <c r="AH41" s="240" t="s">
        <v>171</v>
      </c>
      <c r="AI41" s="240"/>
      <c r="AJ41" s="325">
        <f>B26</f>
        <v>0.43601084729514705</v>
      </c>
      <c r="AU41" s="329" t="s">
        <v>255</v>
      </c>
    </row>
    <row r="42" spans="1:49" x14ac:dyDescent="0.25">
      <c r="A42" s="179" t="s">
        <v>165</v>
      </c>
      <c r="B42" s="183">
        <v>0.35</v>
      </c>
      <c r="C42" s="181">
        <f>B42*C36</f>
        <v>1174760.8048041707</v>
      </c>
      <c r="D42" s="181">
        <f>B42*D36</f>
        <v>1459481.7494988467</v>
      </c>
      <c r="E42" s="181">
        <f>$B$42*E36</f>
        <v>1700348.1585409667</v>
      </c>
      <c r="F42" s="181">
        <f t="shared" ref="F42:AF42" si="36">$B$42*F36</f>
        <v>1957031.8295465331</v>
      </c>
      <c r="G42" s="363">
        <f t="shared" si="36"/>
        <v>2171985.6667324863</v>
      </c>
      <c r="H42" s="181">
        <f t="shared" si="36"/>
        <v>2421516.1651760251</v>
      </c>
      <c r="I42" s="181">
        <f t="shared" si="36"/>
        <v>2642874.1392305871</v>
      </c>
      <c r="J42" s="181">
        <f t="shared" si="36"/>
        <v>2775799.01212672</v>
      </c>
      <c r="K42" s="181">
        <f t="shared" si="36"/>
        <v>2830129.6544211968</v>
      </c>
      <c r="L42" s="181">
        <f t="shared" si="36"/>
        <v>2885546.9095615628</v>
      </c>
      <c r="M42" s="181">
        <f t="shared" si="36"/>
        <v>2942072.5098047359</v>
      </c>
      <c r="N42" s="181">
        <f t="shared" si="36"/>
        <v>2999839.7756105359</v>
      </c>
      <c r="O42" s="181">
        <f t="shared" si="36"/>
        <v>3053537.1478348789</v>
      </c>
      <c r="P42" s="181">
        <f t="shared" si="36"/>
        <v>3108308.4675037074</v>
      </c>
      <c r="Q42" s="181">
        <f t="shared" si="36"/>
        <v>3164175.213565913</v>
      </c>
      <c r="R42" s="181">
        <f t="shared" si="36"/>
        <v>3221159.2945493623</v>
      </c>
      <c r="S42" s="181">
        <f t="shared" si="36"/>
        <v>3279283.0571524804</v>
      </c>
      <c r="T42" s="181">
        <f t="shared" si="36"/>
        <v>3338569.2950076619</v>
      </c>
      <c r="U42" s="181">
        <f t="shared" si="36"/>
        <v>3399041.2576199453</v>
      </c>
      <c r="V42" s="181">
        <f t="shared" si="36"/>
        <v>3460722.6594844759</v>
      </c>
      <c r="W42" s="181">
        <f t="shared" si="36"/>
        <v>3523637.6893862975</v>
      </c>
      <c r="X42" s="181">
        <f t="shared" si="36"/>
        <v>3587811.0198861538</v>
      </c>
      <c r="Y42" s="181">
        <f t="shared" si="36"/>
        <v>3653267.8169960086</v>
      </c>
      <c r="Z42" s="181">
        <f t="shared" si="36"/>
        <v>3720033.75004806</v>
      </c>
      <c r="AA42" s="181">
        <f t="shared" si="36"/>
        <v>3788135.0017611529</v>
      </c>
      <c r="AB42" s="181">
        <f t="shared" si="36"/>
        <v>3857598.2785085062</v>
      </c>
      <c r="AC42" s="181">
        <f t="shared" si="36"/>
        <v>3928450.8207908082</v>
      </c>
      <c r="AD42" s="181">
        <f t="shared" si="36"/>
        <v>4000720.413918755</v>
      </c>
      <c r="AE42" s="181">
        <f t="shared" si="36"/>
        <v>4074435.3989092619</v>
      </c>
      <c r="AF42" s="181">
        <f t="shared" si="36"/>
        <v>4149624.6835995778</v>
      </c>
      <c r="AG42" s="335" t="s">
        <v>164</v>
      </c>
      <c r="AH42" s="240" t="s">
        <v>194</v>
      </c>
      <c r="AI42" s="240"/>
      <c r="AJ42" s="325">
        <f>SUMPRODUCT(AL26:AL36,AM26:AM36)/SUM(AM26:AM36)</f>
        <v>4.708428690072472E-2</v>
      </c>
    </row>
    <row r="43" spans="1:49" x14ac:dyDescent="0.25">
      <c r="A43" s="197" t="s">
        <v>158</v>
      </c>
      <c r="B43" s="196">
        <f>SUM(B39:B42)</f>
        <v>0.99999999999999989</v>
      </c>
      <c r="C43" s="191">
        <f>SUM(C39:C42)</f>
        <v>3356459.4422976309</v>
      </c>
      <c r="D43" s="191">
        <f t="shared" ref="D43:AF43" si="37">SUM(D39:D42)</f>
        <v>4169947.8557109907</v>
      </c>
      <c r="E43" s="191">
        <f t="shared" si="37"/>
        <v>4858137.5958313337</v>
      </c>
      <c r="F43" s="191">
        <f t="shared" si="37"/>
        <v>5591519.5129900947</v>
      </c>
      <c r="G43" s="364">
        <f t="shared" si="37"/>
        <v>6205673.3335213903</v>
      </c>
      <c r="H43" s="191">
        <f t="shared" si="37"/>
        <v>6918617.614788644</v>
      </c>
      <c r="I43" s="191">
        <f t="shared" si="37"/>
        <v>7551068.9692302477</v>
      </c>
      <c r="J43" s="191">
        <f t="shared" si="37"/>
        <v>7930854.3203620575</v>
      </c>
      <c r="K43" s="191">
        <f t="shared" si="37"/>
        <v>8086084.7269177064</v>
      </c>
      <c r="L43" s="191">
        <f t="shared" si="37"/>
        <v>8244419.741604466</v>
      </c>
      <c r="M43" s="191">
        <f t="shared" si="37"/>
        <v>8405921.4565849602</v>
      </c>
      <c r="N43" s="191">
        <f t="shared" si="37"/>
        <v>8570970.787458675</v>
      </c>
      <c r="O43" s="191">
        <f t="shared" si="37"/>
        <v>8724391.8509567976</v>
      </c>
      <c r="P43" s="191">
        <f t="shared" si="37"/>
        <v>8880881.3357248791</v>
      </c>
      <c r="Q43" s="191">
        <f t="shared" si="37"/>
        <v>9040500.610188324</v>
      </c>
      <c r="R43" s="191">
        <f t="shared" si="37"/>
        <v>9203312.2701410353</v>
      </c>
      <c r="S43" s="191">
        <f t="shared" si="37"/>
        <v>9369380.163292801</v>
      </c>
      <c r="T43" s="191">
        <f t="shared" si="37"/>
        <v>9538769.4143076055</v>
      </c>
      <c r="U43" s="191">
        <f t="shared" si="37"/>
        <v>9711546.4503427017</v>
      </c>
      <c r="V43" s="191">
        <f t="shared" si="37"/>
        <v>9887779.027098503</v>
      </c>
      <c r="W43" s="191">
        <f t="shared" si="37"/>
        <v>10067536.255389422</v>
      </c>
      <c r="X43" s="191">
        <f t="shared" si="37"/>
        <v>10250888.628246155</v>
      </c>
      <c r="Y43" s="191">
        <f t="shared" si="37"/>
        <v>10437908.048560025</v>
      </c>
      <c r="Z43" s="191">
        <f t="shared" si="37"/>
        <v>10628667.857280172</v>
      </c>
      <c r="AA43" s="191">
        <f t="shared" si="37"/>
        <v>10823242.862174723</v>
      </c>
      <c r="AB43" s="191">
        <f t="shared" si="37"/>
        <v>11021709.367167162</v>
      </c>
      <c r="AC43" s="191">
        <f t="shared" si="37"/>
        <v>11224145.202259453</v>
      </c>
      <c r="AD43" s="191">
        <f t="shared" si="37"/>
        <v>11430629.754053585</v>
      </c>
      <c r="AE43" s="191">
        <f t="shared" si="37"/>
        <v>11641243.996883605</v>
      </c>
      <c r="AF43" s="191">
        <f t="shared" si="37"/>
        <v>11856070.524570223</v>
      </c>
      <c r="AG43" s="227"/>
      <c r="AH43" s="238"/>
      <c r="AI43" s="238"/>
      <c r="AJ43" s="152"/>
    </row>
    <row r="44" spans="1:49" ht="8.1" customHeight="1" x14ac:dyDescent="0.25">
      <c r="A44" s="141"/>
      <c r="B44" s="174"/>
      <c r="C44" s="136"/>
      <c r="D44" s="136"/>
      <c r="E44" s="136"/>
      <c r="F44" s="136"/>
      <c r="G44" s="365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227"/>
      <c r="AH44" s="238"/>
      <c r="AI44" s="238"/>
      <c r="AJ44" s="152"/>
    </row>
    <row r="45" spans="1:49" x14ac:dyDescent="0.25">
      <c r="A45" s="184" t="s">
        <v>159</v>
      </c>
      <c r="B45" s="439" t="s">
        <v>200</v>
      </c>
      <c r="C45" s="185"/>
      <c r="D45" s="185"/>
      <c r="E45" s="185"/>
      <c r="F45" s="185"/>
      <c r="G45" s="366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227"/>
      <c r="AH45" s="238"/>
      <c r="AI45" s="238"/>
      <c r="AJ45" s="152"/>
    </row>
    <row r="46" spans="1:49" x14ac:dyDescent="0.25">
      <c r="A46" s="186" t="s">
        <v>165</v>
      </c>
      <c r="B46" s="439"/>
      <c r="C46" s="185">
        <f>C42</f>
        <v>1174760.8048041707</v>
      </c>
      <c r="D46" s="185">
        <f t="shared" ref="D46:AF46" si="38">D42</f>
        <v>1459481.7494988467</v>
      </c>
      <c r="E46" s="185">
        <f t="shared" si="38"/>
        <v>1700348.1585409667</v>
      </c>
      <c r="F46" s="185">
        <f t="shared" si="38"/>
        <v>1957031.8295465331</v>
      </c>
      <c r="G46" s="366">
        <f t="shared" si="38"/>
        <v>2171985.6667324863</v>
      </c>
      <c r="H46" s="185">
        <f t="shared" si="38"/>
        <v>2421516.1651760251</v>
      </c>
      <c r="I46" s="185">
        <f t="shared" si="38"/>
        <v>2642874.1392305871</v>
      </c>
      <c r="J46" s="185">
        <f t="shared" si="38"/>
        <v>2775799.01212672</v>
      </c>
      <c r="K46" s="185">
        <f t="shared" si="38"/>
        <v>2830129.6544211968</v>
      </c>
      <c r="L46" s="185">
        <f t="shared" si="38"/>
        <v>2885546.9095615628</v>
      </c>
      <c r="M46" s="185">
        <f t="shared" si="38"/>
        <v>2942072.5098047359</v>
      </c>
      <c r="N46" s="185">
        <f t="shared" si="38"/>
        <v>2999839.7756105359</v>
      </c>
      <c r="O46" s="185">
        <f t="shared" si="38"/>
        <v>3053537.1478348789</v>
      </c>
      <c r="P46" s="185">
        <f t="shared" si="38"/>
        <v>3108308.4675037074</v>
      </c>
      <c r="Q46" s="185">
        <f t="shared" si="38"/>
        <v>3164175.213565913</v>
      </c>
      <c r="R46" s="185">
        <f t="shared" si="38"/>
        <v>3221159.2945493623</v>
      </c>
      <c r="S46" s="185">
        <f t="shared" si="38"/>
        <v>3279283.0571524804</v>
      </c>
      <c r="T46" s="185">
        <f t="shared" si="38"/>
        <v>3338569.2950076619</v>
      </c>
      <c r="U46" s="185">
        <f t="shared" si="38"/>
        <v>3399041.2576199453</v>
      </c>
      <c r="V46" s="185">
        <f t="shared" si="38"/>
        <v>3460722.6594844759</v>
      </c>
      <c r="W46" s="185">
        <f t="shared" si="38"/>
        <v>3523637.6893862975</v>
      </c>
      <c r="X46" s="185">
        <f t="shared" si="38"/>
        <v>3587811.0198861538</v>
      </c>
      <c r="Y46" s="185">
        <f t="shared" si="38"/>
        <v>3653267.8169960086</v>
      </c>
      <c r="Z46" s="185">
        <f t="shared" si="38"/>
        <v>3720033.75004806</v>
      </c>
      <c r="AA46" s="185">
        <f t="shared" si="38"/>
        <v>3788135.0017611529</v>
      </c>
      <c r="AB46" s="185">
        <f t="shared" si="38"/>
        <v>3857598.2785085062</v>
      </c>
      <c r="AC46" s="185">
        <f t="shared" si="38"/>
        <v>3928450.8207908082</v>
      </c>
      <c r="AD46" s="185">
        <f t="shared" si="38"/>
        <v>4000720.413918755</v>
      </c>
      <c r="AE46" s="185">
        <f t="shared" si="38"/>
        <v>4074435.3989092619</v>
      </c>
      <c r="AF46" s="185">
        <f t="shared" si="38"/>
        <v>4149624.6835995778</v>
      </c>
      <c r="AG46" s="227" t="s">
        <v>164</v>
      </c>
      <c r="AH46" s="238" t="s">
        <v>164</v>
      </c>
      <c r="AI46" s="238"/>
      <c r="AJ46" s="152"/>
    </row>
    <row r="47" spans="1:49" x14ac:dyDescent="0.25">
      <c r="A47" s="186" t="str">
        <f>CONCATENATE("Less: 10% of Incremental FORA Share after 7/1/2012 (goes to ",A4,")")</f>
        <v>Less: 10% of Incremental FORA Share after 7/1/2012 (goes to Marina)</v>
      </c>
      <c r="B47" s="263">
        <v>590877</v>
      </c>
      <c r="C47" s="185">
        <f t="shared" ref="C47:AF47" si="39">IF(C46&gt;0,-(0.1*(C46-$B$47)),0)</f>
        <v>-58388.38048041708</v>
      </c>
      <c r="D47" s="185">
        <f t="shared" si="39"/>
        <v>-86860.47494988468</v>
      </c>
      <c r="E47" s="185">
        <f t="shared" si="39"/>
        <v>-110947.11585409667</v>
      </c>
      <c r="F47" s="185">
        <f t="shared" si="39"/>
        <v>-136615.4829546533</v>
      </c>
      <c r="G47" s="366">
        <f t="shared" si="39"/>
        <v>-158110.86667324865</v>
      </c>
      <c r="H47" s="185">
        <f t="shared" si="39"/>
        <v>-183063.91651760251</v>
      </c>
      <c r="I47" s="185">
        <f t="shared" si="39"/>
        <v>-205199.71392305871</v>
      </c>
      <c r="J47" s="185">
        <f t="shared" si="39"/>
        <v>-218492.20121267202</v>
      </c>
      <c r="K47" s="185">
        <f t="shared" si="39"/>
        <v>-223925.26544211968</v>
      </c>
      <c r="L47" s="185">
        <f t="shared" si="39"/>
        <v>-229466.99095615628</v>
      </c>
      <c r="M47" s="185">
        <f t="shared" si="39"/>
        <v>-235119.55098047361</v>
      </c>
      <c r="N47" s="185">
        <f t="shared" si="39"/>
        <v>-240896.2775610536</v>
      </c>
      <c r="O47" s="185">
        <f t="shared" si="39"/>
        <v>-246266.01478348789</v>
      </c>
      <c r="P47" s="185">
        <f t="shared" si="39"/>
        <v>-251743.14675037074</v>
      </c>
      <c r="Q47" s="185">
        <f t="shared" si="39"/>
        <v>-257329.8213565913</v>
      </c>
      <c r="R47" s="185">
        <f t="shared" si="39"/>
        <v>-263028.22945493623</v>
      </c>
      <c r="S47" s="185">
        <f t="shared" si="39"/>
        <v>-268840.60571524804</v>
      </c>
      <c r="T47" s="185">
        <f t="shared" si="39"/>
        <v>-274769.2295007662</v>
      </c>
      <c r="U47" s="185">
        <f t="shared" si="39"/>
        <v>-280816.42576199456</v>
      </c>
      <c r="V47" s="185">
        <f t="shared" si="39"/>
        <v>-286984.56594844762</v>
      </c>
      <c r="W47" s="185">
        <f t="shared" si="39"/>
        <v>-293276.06893862976</v>
      </c>
      <c r="X47" s="185">
        <f t="shared" si="39"/>
        <v>-299693.4019886154</v>
      </c>
      <c r="Y47" s="185">
        <f t="shared" si="39"/>
        <v>-306239.08169960085</v>
      </c>
      <c r="Z47" s="185">
        <f t="shared" si="39"/>
        <v>-312915.67500480602</v>
      </c>
      <c r="AA47" s="185">
        <f t="shared" si="39"/>
        <v>-319725.8001761153</v>
      </c>
      <c r="AB47" s="185">
        <f t="shared" si="39"/>
        <v>-326672.12785085064</v>
      </c>
      <c r="AC47" s="185">
        <f t="shared" si="39"/>
        <v>-333757.38207908085</v>
      </c>
      <c r="AD47" s="185">
        <f t="shared" si="39"/>
        <v>-340984.34139187553</v>
      </c>
      <c r="AE47" s="185">
        <f t="shared" si="39"/>
        <v>-348355.8398909262</v>
      </c>
      <c r="AF47" s="185">
        <f t="shared" si="39"/>
        <v>-355874.76835995779</v>
      </c>
      <c r="AG47" s="227" t="s">
        <v>148</v>
      </c>
      <c r="AH47" s="238"/>
      <c r="AI47" s="238"/>
      <c r="AJ47" s="152"/>
    </row>
    <row r="48" spans="1:49" ht="15" customHeight="1" x14ac:dyDescent="0.25">
      <c r="A48" s="186" t="s">
        <v>80</v>
      </c>
      <c r="B48" s="188"/>
      <c r="C48" s="189">
        <f t="shared" ref="C48:AF48" si="40">C42+C47</f>
        <v>1116372.4243237537</v>
      </c>
      <c r="D48" s="189">
        <f t="shared" si="40"/>
        <v>1372621.274548962</v>
      </c>
      <c r="E48" s="189">
        <f t="shared" si="40"/>
        <v>1589401.0426868701</v>
      </c>
      <c r="F48" s="189">
        <f t="shared" si="40"/>
        <v>1820416.3465918798</v>
      </c>
      <c r="G48" s="367">
        <f t="shared" si="40"/>
        <v>2013874.8000592378</v>
      </c>
      <c r="H48" s="189">
        <f t="shared" si="40"/>
        <v>2238452.2486584224</v>
      </c>
      <c r="I48" s="189">
        <f t="shared" si="40"/>
        <v>2437674.4253075281</v>
      </c>
      <c r="J48" s="189">
        <f t="shared" si="40"/>
        <v>2557306.810914048</v>
      </c>
      <c r="K48" s="189">
        <f t="shared" si="40"/>
        <v>2606204.3889790773</v>
      </c>
      <c r="L48" s="189">
        <f t="shared" si="40"/>
        <v>2656079.9186054068</v>
      </c>
      <c r="M48" s="189">
        <f t="shared" si="40"/>
        <v>2706952.9588242625</v>
      </c>
      <c r="N48" s="189">
        <f t="shared" si="40"/>
        <v>2758943.4980494822</v>
      </c>
      <c r="O48" s="189">
        <f t="shared" si="40"/>
        <v>2807271.1330513908</v>
      </c>
      <c r="P48" s="189">
        <f t="shared" si="40"/>
        <v>2856565.3207533369</v>
      </c>
      <c r="Q48" s="189">
        <f t="shared" si="40"/>
        <v>2906845.3922093217</v>
      </c>
      <c r="R48" s="189">
        <f t="shared" si="40"/>
        <v>2958131.0650944263</v>
      </c>
      <c r="S48" s="189">
        <f t="shared" si="40"/>
        <v>3010442.4514372321</v>
      </c>
      <c r="T48" s="189">
        <f t="shared" si="40"/>
        <v>3063800.0655068955</v>
      </c>
      <c r="U48" s="189">
        <f t="shared" si="40"/>
        <v>3118224.8318579509</v>
      </c>
      <c r="V48" s="189">
        <f t="shared" si="40"/>
        <v>3173738.0935360282</v>
      </c>
      <c r="W48" s="189">
        <f t="shared" si="40"/>
        <v>3230361.6204476678</v>
      </c>
      <c r="X48" s="189">
        <f t="shared" si="40"/>
        <v>3288117.6178975385</v>
      </c>
      <c r="Y48" s="189">
        <f t="shared" si="40"/>
        <v>3347028.7352964077</v>
      </c>
      <c r="Z48" s="189">
        <f t="shared" si="40"/>
        <v>3407118.0750432541</v>
      </c>
      <c r="AA48" s="189">
        <f t="shared" si="40"/>
        <v>3468409.2015850376</v>
      </c>
      <c r="AB48" s="189">
        <f t="shared" si="40"/>
        <v>3530926.1506576557</v>
      </c>
      <c r="AC48" s="189">
        <f t="shared" si="40"/>
        <v>3594693.4387117275</v>
      </c>
      <c r="AD48" s="189">
        <f t="shared" si="40"/>
        <v>3659736.0725268796</v>
      </c>
      <c r="AE48" s="189">
        <f t="shared" si="40"/>
        <v>3726079.5590183358</v>
      </c>
      <c r="AF48" s="189">
        <f t="shared" si="40"/>
        <v>3793749.91523962</v>
      </c>
      <c r="AG48" s="227" t="s">
        <v>183</v>
      </c>
      <c r="AH48" s="240" t="s">
        <v>195</v>
      </c>
      <c r="AI48" s="240"/>
      <c r="AJ48" s="152"/>
    </row>
    <row r="49" spans="1:36" ht="15" customHeight="1" x14ac:dyDescent="0.25">
      <c r="A49" s="186" t="str">
        <f>CONCATENATE("Less: ",$A$4," Portion of FORA Remediation Bonds Debt Service")</f>
        <v>Less: Marina Portion of FORA Remediation Bonds Debt Service</v>
      </c>
      <c r="B49" s="186"/>
      <c r="C49" s="185">
        <v>0</v>
      </c>
      <c r="D49" s="185">
        <v>0</v>
      </c>
      <c r="E49" s="185">
        <v>0</v>
      </c>
      <c r="F49" s="185">
        <v>0</v>
      </c>
      <c r="G49" s="366">
        <v>0</v>
      </c>
      <c r="H49" s="185">
        <v>0</v>
      </c>
      <c r="I49" s="185">
        <v>0</v>
      </c>
      <c r="J49" s="185">
        <v>0</v>
      </c>
      <c r="K49" s="185">
        <v>0</v>
      </c>
      <c r="L49" s="185">
        <v>0</v>
      </c>
      <c r="M49" s="185">
        <v>0</v>
      </c>
      <c r="N49" s="185">
        <v>0</v>
      </c>
      <c r="O49" s="185">
        <v>0</v>
      </c>
      <c r="P49" s="185">
        <v>0</v>
      </c>
      <c r="Q49" s="185">
        <v>0</v>
      </c>
      <c r="R49" s="185">
        <v>0</v>
      </c>
      <c r="S49" s="185">
        <v>0</v>
      </c>
      <c r="T49" s="185">
        <v>0</v>
      </c>
      <c r="U49" s="185">
        <v>0</v>
      </c>
      <c r="V49" s="185">
        <v>0</v>
      </c>
      <c r="W49" s="185">
        <v>0</v>
      </c>
      <c r="X49" s="185">
        <v>0</v>
      </c>
      <c r="Y49" s="185">
        <v>0</v>
      </c>
      <c r="Z49" s="185">
        <v>0</v>
      </c>
      <c r="AA49" s="185">
        <v>0</v>
      </c>
      <c r="AB49" s="185">
        <v>0</v>
      </c>
      <c r="AC49" s="185">
        <v>0</v>
      </c>
      <c r="AD49" s="185">
        <v>0</v>
      </c>
      <c r="AE49" s="185">
        <v>0</v>
      </c>
      <c r="AF49" s="185">
        <v>0</v>
      </c>
      <c r="AG49" s="227" t="s">
        <v>147</v>
      </c>
      <c r="AH49" s="238" t="s">
        <v>147</v>
      </c>
      <c r="AI49" s="238"/>
      <c r="AJ49" s="152"/>
    </row>
    <row r="50" spans="1:36" ht="15" customHeight="1" x14ac:dyDescent="0.25">
      <c r="A50" s="192" t="s">
        <v>166</v>
      </c>
      <c r="B50" s="187"/>
      <c r="C50" s="190">
        <f>SUM(C48:C49)</f>
        <v>1116372.4243237537</v>
      </c>
      <c r="D50" s="190">
        <f t="shared" ref="D50:AF50" si="41">SUM(D48:D49)</f>
        <v>1372621.274548962</v>
      </c>
      <c r="E50" s="190">
        <f t="shared" si="41"/>
        <v>1589401.0426868701</v>
      </c>
      <c r="F50" s="190">
        <f t="shared" si="41"/>
        <v>1820416.3465918798</v>
      </c>
      <c r="G50" s="368">
        <f t="shared" si="41"/>
        <v>2013874.8000592378</v>
      </c>
      <c r="H50" s="190">
        <f t="shared" si="41"/>
        <v>2238452.2486584224</v>
      </c>
      <c r="I50" s="190">
        <f t="shared" si="41"/>
        <v>2437674.4253075281</v>
      </c>
      <c r="J50" s="190">
        <f t="shared" si="41"/>
        <v>2557306.810914048</v>
      </c>
      <c r="K50" s="190">
        <f t="shared" si="41"/>
        <v>2606204.3889790773</v>
      </c>
      <c r="L50" s="190">
        <f t="shared" si="41"/>
        <v>2656079.9186054068</v>
      </c>
      <c r="M50" s="190">
        <f t="shared" si="41"/>
        <v>2706952.9588242625</v>
      </c>
      <c r="N50" s="190">
        <f t="shared" si="41"/>
        <v>2758943.4980494822</v>
      </c>
      <c r="O50" s="190">
        <f t="shared" si="41"/>
        <v>2807271.1330513908</v>
      </c>
      <c r="P50" s="190">
        <f t="shared" si="41"/>
        <v>2856565.3207533369</v>
      </c>
      <c r="Q50" s="190">
        <f t="shared" si="41"/>
        <v>2906845.3922093217</v>
      </c>
      <c r="R50" s="190">
        <f t="shared" si="41"/>
        <v>2958131.0650944263</v>
      </c>
      <c r="S50" s="190">
        <f t="shared" si="41"/>
        <v>3010442.4514372321</v>
      </c>
      <c r="T50" s="190">
        <f t="shared" si="41"/>
        <v>3063800.0655068955</v>
      </c>
      <c r="U50" s="190">
        <f t="shared" si="41"/>
        <v>3118224.8318579509</v>
      </c>
      <c r="V50" s="190">
        <f t="shared" si="41"/>
        <v>3173738.0935360282</v>
      </c>
      <c r="W50" s="190">
        <f t="shared" si="41"/>
        <v>3230361.6204476678</v>
      </c>
      <c r="X50" s="190">
        <f t="shared" si="41"/>
        <v>3288117.6178975385</v>
      </c>
      <c r="Y50" s="190">
        <f t="shared" si="41"/>
        <v>3347028.7352964077</v>
      </c>
      <c r="Z50" s="190">
        <f t="shared" si="41"/>
        <v>3407118.0750432541</v>
      </c>
      <c r="AA50" s="190">
        <f t="shared" si="41"/>
        <v>3468409.2015850376</v>
      </c>
      <c r="AB50" s="190">
        <f t="shared" si="41"/>
        <v>3530926.1506576557</v>
      </c>
      <c r="AC50" s="190">
        <f t="shared" si="41"/>
        <v>3594693.4387117275</v>
      </c>
      <c r="AD50" s="190">
        <f t="shared" si="41"/>
        <v>3659736.0725268796</v>
      </c>
      <c r="AE50" s="190">
        <f t="shared" si="41"/>
        <v>3726079.5590183358</v>
      </c>
      <c r="AF50" s="190">
        <f t="shared" si="41"/>
        <v>3793749.91523962</v>
      </c>
      <c r="AG50" s="227" t="s">
        <v>184</v>
      </c>
      <c r="AH50" s="240" t="s">
        <v>196</v>
      </c>
      <c r="AI50" s="240"/>
      <c r="AJ50" s="152"/>
    </row>
    <row r="51" spans="1:36" ht="8.1" customHeight="1" x14ac:dyDescent="0.25">
      <c r="A51" s="171"/>
      <c r="B51" s="172"/>
      <c r="C51" s="136"/>
      <c r="D51" s="136"/>
      <c r="E51" s="136"/>
      <c r="F51" s="136"/>
      <c r="G51" s="365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227"/>
      <c r="AH51" s="238"/>
      <c r="AI51" s="238"/>
      <c r="AJ51" s="152"/>
    </row>
    <row r="52" spans="1:36" ht="15" customHeight="1" x14ac:dyDescent="0.25">
      <c r="A52" s="198" t="s">
        <v>168</v>
      </c>
      <c r="B52" s="199"/>
      <c r="C52" s="135"/>
      <c r="D52" s="135"/>
      <c r="E52" s="135"/>
      <c r="F52" s="135"/>
      <c r="G52" s="369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227"/>
      <c r="AH52" s="238"/>
      <c r="AI52" s="238"/>
      <c r="AJ52" s="152"/>
    </row>
    <row r="53" spans="1:36" ht="15" customHeight="1" x14ac:dyDescent="0.25">
      <c r="A53" s="200" t="s">
        <v>161</v>
      </c>
      <c r="B53" s="201">
        <v>0.38</v>
      </c>
      <c r="C53" s="135">
        <v>0</v>
      </c>
      <c r="D53" s="135">
        <v>0</v>
      </c>
      <c r="E53" s="135">
        <v>0</v>
      </c>
      <c r="F53" s="135">
        <v>0</v>
      </c>
      <c r="G53" s="369">
        <f>G50*$B$53</f>
        <v>765272.4240225103</v>
      </c>
      <c r="H53" s="135">
        <f t="shared" ref="H53:L53" si="42">H50*$B$53</f>
        <v>850611.85449020052</v>
      </c>
      <c r="I53" s="135">
        <f t="shared" si="42"/>
        <v>926316.28161686065</v>
      </c>
      <c r="J53" s="135">
        <f t="shared" si="42"/>
        <v>971776.58814733825</v>
      </c>
      <c r="K53" s="135">
        <f t="shared" si="42"/>
        <v>990357.66781204939</v>
      </c>
      <c r="L53" s="135">
        <f t="shared" si="42"/>
        <v>1009310.3690700546</v>
      </c>
      <c r="M53" s="135">
        <f>M50*$B$53</f>
        <v>1028642.1243532198</v>
      </c>
      <c r="N53" s="135">
        <f t="shared" ref="N53:AF53" si="43">N50*$B$53</f>
        <v>1048398.5292588032</v>
      </c>
      <c r="O53" s="135">
        <f t="shared" si="43"/>
        <v>1066763.0305595284</v>
      </c>
      <c r="P53" s="135">
        <f t="shared" si="43"/>
        <v>1085494.821886268</v>
      </c>
      <c r="Q53" s="135">
        <f t="shared" si="43"/>
        <v>1104601.2490395422</v>
      </c>
      <c r="R53" s="135">
        <f t="shared" si="43"/>
        <v>1124089.804735882</v>
      </c>
      <c r="S53" s="135">
        <f t="shared" si="43"/>
        <v>1143968.1315461481</v>
      </c>
      <c r="T53" s="135">
        <f t="shared" si="43"/>
        <v>1164244.0248926203</v>
      </c>
      <c r="U53" s="135">
        <f t="shared" si="43"/>
        <v>1184925.4361060213</v>
      </c>
      <c r="V53" s="135">
        <f t="shared" si="43"/>
        <v>1206020.4755436906</v>
      </c>
      <c r="W53" s="135">
        <f t="shared" si="43"/>
        <v>1227537.4157701137</v>
      </c>
      <c r="X53" s="135">
        <f t="shared" si="43"/>
        <v>1249484.6948010647</v>
      </c>
      <c r="Y53" s="135">
        <f t="shared" si="43"/>
        <v>1271870.919412635</v>
      </c>
      <c r="Z53" s="135">
        <f t="shared" si="43"/>
        <v>1294704.8685164365</v>
      </c>
      <c r="AA53" s="135">
        <f t="shared" si="43"/>
        <v>1317995.4966023143</v>
      </c>
      <c r="AB53" s="135">
        <f t="shared" si="43"/>
        <v>1341751.9372499092</v>
      </c>
      <c r="AC53" s="135">
        <f t="shared" si="43"/>
        <v>1365983.5067104565</v>
      </c>
      <c r="AD53" s="135">
        <f t="shared" si="43"/>
        <v>1390699.7075602142</v>
      </c>
      <c r="AE53" s="135">
        <f t="shared" si="43"/>
        <v>1415910.2324269677</v>
      </c>
      <c r="AF53" s="135">
        <f t="shared" si="43"/>
        <v>1441624.9677910556</v>
      </c>
      <c r="AG53" s="234"/>
      <c r="AH53" s="244" t="s">
        <v>172</v>
      </c>
      <c r="AI53" s="244"/>
      <c r="AJ53" s="124"/>
    </row>
    <row r="54" spans="1:36" ht="15" customHeight="1" x14ac:dyDescent="0.25">
      <c r="A54" s="200" t="s">
        <v>162</v>
      </c>
      <c r="B54" s="202">
        <v>0.08</v>
      </c>
      <c r="C54" s="135">
        <v>0</v>
      </c>
      <c r="D54" s="135">
        <v>0</v>
      </c>
      <c r="E54" s="135">
        <v>0</v>
      </c>
      <c r="F54" s="135">
        <v>0</v>
      </c>
      <c r="G54" s="369">
        <f t="shared" ref="G54:AF54" si="44">G50*$B$54</f>
        <v>161109.98400473903</v>
      </c>
      <c r="H54" s="135">
        <f t="shared" si="44"/>
        <v>179076.1798926738</v>
      </c>
      <c r="I54" s="135">
        <f t="shared" si="44"/>
        <v>195013.95402460225</v>
      </c>
      <c r="J54" s="135">
        <f t="shared" si="44"/>
        <v>204584.54487312384</v>
      </c>
      <c r="K54" s="135">
        <f t="shared" si="44"/>
        <v>208496.35111832619</v>
      </c>
      <c r="L54" s="135">
        <f t="shared" si="44"/>
        <v>212486.39348843254</v>
      </c>
      <c r="M54" s="135">
        <f t="shared" si="44"/>
        <v>216556.236705941</v>
      </c>
      <c r="N54" s="135">
        <f t="shared" si="44"/>
        <v>220715.47984395857</v>
      </c>
      <c r="O54" s="135">
        <f t="shared" si="44"/>
        <v>224581.69064411125</v>
      </c>
      <c r="P54" s="135">
        <f t="shared" si="44"/>
        <v>228525.22566026697</v>
      </c>
      <c r="Q54" s="135">
        <f t="shared" si="44"/>
        <v>232547.63137674573</v>
      </c>
      <c r="R54" s="135">
        <f t="shared" si="44"/>
        <v>236650.4852075541</v>
      </c>
      <c r="S54" s="135">
        <f t="shared" si="44"/>
        <v>240835.39611497856</v>
      </c>
      <c r="T54" s="135">
        <f t="shared" si="44"/>
        <v>245104.00524055166</v>
      </c>
      <c r="U54" s="135">
        <f t="shared" si="44"/>
        <v>249457.98654863608</v>
      </c>
      <c r="V54" s="135">
        <f t="shared" si="44"/>
        <v>253899.04748288225</v>
      </c>
      <c r="W54" s="135">
        <f t="shared" si="44"/>
        <v>258428.92963581343</v>
      </c>
      <c r="X54" s="135">
        <f t="shared" si="44"/>
        <v>263049.4094318031</v>
      </c>
      <c r="Y54" s="135">
        <f t="shared" si="44"/>
        <v>267762.29882371263</v>
      </c>
      <c r="Z54" s="135">
        <f t="shared" si="44"/>
        <v>272569.44600346033</v>
      </c>
      <c r="AA54" s="135">
        <f t="shared" si="44"/>
        <v>277472.73612680304</v>
      </c>
      <c r="AB54" s="135">
        <f t="shared" si="44"/>
        <v>282474.09205261245</v>
      </c>
      <c r="AC54" s="135">
        <f t="shared" si="44"/>
        <v>287575.4750969382</v>
      </c>
      <c r="AD54" s="135">
        <f t="shared" si="44"/>
        <v>292778.88580215035</v>
      </c>
      <c r="AE54" s="135">
        <f t="shared" si="44"/>
        <v>298086.36472146685</v>
      </c>
      <c r="AF54" s="135">
        <f t="shared" si="44"/>
        <v>303499.99321916961</v>
      </c>
      <c r="AG54" s="233"/>
      <c r="AH54" s="243" t="s">
        <v>173</v>
      </c>
      <c r="AI54" s="243"/>
      <c r="AJ54" s="152"/>
    </row>
    <row r="55" spans="1:36" ht="15" customHeight="1" x14ac:dyDescent="0.25">
      <c r="A55" s="200" t="s">
        <v>163</v>
      </c>
      <c r="B55" s="203">
        <v>0.54</v>
      </c>
      <c r="C55" s="135">
        <v>0</v>
      </c>
      <c r="D55" s="135">
        <v>0</v>
      </c>
      <c r="E55" s="135">
        <v>0</v>
      </c>
      <c r="F55" s="135">
        <v>0</v>
      </c>
      <c r="G55" s="369">
        <f t="shared" ref="G55:AF55" si="45">$B$55*G50</f>
        <v>1087492.3920319884</v>
      </c>
      <c r="H55" s="135">
        <f t="shared" si="45"/>
        <v>1208764.2142755482</v>
      </c>
      <c r="I55" s="135">
        <f t="shared" si="45"/>
        <v>1316344.1896660652</v>
      </c>
      <c r="J55" s="135">
        <f t="shared" si="45"/>
        <v>1380945.677893586</v>
      </c>
      <c r="K55" s="135">
        <f t="shared" si="45"/>
        <v>1407350.3700487018</v>
      </c>
      <c r="L55" s="135">
        <f t="shared" si="45"/>
        <v>1434283.1560469198</v>
      </c>
      <c r="M55" s="135">
        <f t="shared" si="45"/>
        <v>1461754.5977651018</v>
      </c>
      <c r="N55" s="135">
        <f t="shared" si="45"/>
        <v>1489829.4889467205</v>
      </c>
      <c r="O55" s="135">
        <f t="shared" si="45"/>
        <v>1515926.4118477511</v>
      </c>
      <c r="P55" s="135">
        <f t="shared" si="45"/>
        <v>1542545.2732068021</v>
      </c>
      <c r="Q55" s="135">
        <f t="shared" si="45"/>
        <v>1569696.5117930339</v>
      </c>
      <c r="R55" s="135">
        <f t="shared" si="45"/>
        <v>1597390.7751509903</v>
      </c>
      <c r="S55" s="135">
        <f t="shared" si="45"/>
        <v>1625638.9237761055</v>
      </c>
      <c r="T55" s="135">
        <f t="shared" si="45"/>
        <v>1654452.0353737236</v>
      </c>
      <c r="U55" s="135">
        <f t="shared" si="45"/>
        <v>1683841.4092032935</v>
      </c>
      <c r="V55" s="135">
        <f t="shared" si="45"/>
        <v>1713818.5705094554</v>
      </c>
      <c r="W55" s="135">
        <f t="shared" si="45"/>
        <v>1744395.2750417406</v>
      </c>
      <c r="X55" s="135">
        <f t="shared" si="45"/>
        <v>1775583.513664671</v>
      </c>
      <c r="Y55" s="135">
        <f t="shared" si="45"/>
        <v>1807395.5170600603</v>
      </c>
      <c r="Z55" s="135">
        <f t="shared" si="45"/>
        <v>1839843.7605233574</v>
      </c>
      <c r="AA55" s="135">
        <f t="shared" si="45"/>
        <v>1872940.9688559205</v>
      </c>
      <c r="AB55" s="135">
        <f t="shared" si="45"/>
        <v>1906700.1213551343</v>
      </c>
      <c r="AC55" s="135">
        <f t="shared" si="45"/>
        <v>1941134.4569043331</v>
      </c>
      <c r="AD55" s="135">
        <f t="shared" si="45"/>
        <v>1976257.4791645152</v>
      </c>
      <c r="AE55" s="135">
        <f t="shared" si="45"/>
        <v>2012082.9618699015</v>
      </c>
      <c r="AF55" s="135">
        <f t="shared" si="45"/>
        <v>2048624.9542293949</v>
      </c>
      <c r="AG55" s="227" t="s">
        <v>185</v>
      </c>
      <c r="AH55" s="240" t="s">
        <v>188</v>
      </c>
      <c r="AI55" s="240"/>
      <c r="AJ55" s="152"/>
    </row>
    <row r="56" spans="1:36" ht="15" customHeight="1" x14ac:dyDescent="0.25">
      <c r="A56" s="220" t="s">
        <v>160</v>
      </c>
      <c r="B56" s="221">
        <f>SUM(B53:B55)</f>
        <v>1</v>
      </c>
      <c r="C56" s="222">
        <f>SUM(C53:C55)</f>
        <v>0</v>
      </c>
      <c r="D56" s="222">
        <f t="shared" ref="D56:AF56" si="46">SUM(D53:D55)</f>
        <v>0</v>
      </c>
      <c r="E56" s="222">
        <f t="shared" si="46"/>
        <v>0</v>
      </c>
      <c r="F56" s="222">
        <f t="shared" si="46"/>
        <v>0</v>
      </c>
      <c r="G56" s="370">
        <f t="shared" si="46"/>
        <v>2013874.8000592378</v>
      </c>
      <c r="H56" s="222">
        <f t="shared" si="46"/>
        <v>2238452.2486584224</v>
      </c>
      <c r="I56" s="222">
        <f t="shared" si="46"/>
        <v>2437674.4253075281</v>
      </c>
      <c r="J56" s="222">
        <f t="shared" si="46"/>
        <v>2557306.810914048</v>
      </c>
      <c r="K56" s="222">
        <f t="shared" si="46"/>
        <v>2606204.3889790773</v>
      </c>
      <c r="L56" s="222">
        <f t="shared" si="46"/>
        <v>2656079.9186054068</v>
      </c>
      <c r="M56" s="222">
        <f t="shared" si="46"/>
        <v>2706952.9588242625</v>
      </c>
      <c r="N56" s="222">
        <f t="shared" si="46"/>
        <v>2758943.4980494822</v>
      </c>
      <c r="O56" s="222">
        <f t="shared" si="46"/>
        <v>2807271.1330513908</v>
      </c>
      <c r="P56" s="222">
        <f t="shared" si="46"/>
        <v>2856565.3207533369</v>
      </c>
      <c r="Q56" s="222">
        <f t="shared" si="46"/>
        <v>2906845.3922093217</v>
      </c>
      <c r="R56" s="222">
        <f t="shared" si="46"/>
        <v>2958131.0650944263</v>
      </c>
      <c r="S56" s="222">
        <f t="shared" si="46"/>
        <v>3010442.4514372321</v>
      </c>
      <c r="T56" s="222">
        <f t="shared" si="46"/>
        <v>3063800.0655068955</v>
      </c>
      <c r="U56" s="222">
        <f t="shared" si="46"/>
        <v>3118224.8318579509</v>
      </c>
      <c r="V56" s="222">
        <f t="shared" si="46"/>
        <v>3173738.0935360282</v>
      </c>
      <c r="W56" s="222">
        <f t="shared" si="46"/>
        <v>3230361.6204476678</v>
      </c>
      <c r="X56" s="222">
        <f t="shared" si="46"/>
        <v>3288117.6178975385</v>
      </c>
      <c r="Y56" s="222">
        <f t="shared" si="46"/>
        <v>3347028.7352964077</v>
      </c>
      <c r="Z56" s="222">
        <f t="shared" si="46"/>
        <v>3407118.0750432545</v>
      </c>
      <c r="AA56" s="222">
        <f t="shared" si="46"/>
        <v>3468409.2015850376</v>
      </c>
      <c r="AB56" s="222">
        <f t="shared" si="46"/>
        <v>3530926.1506576557</v>
      </c>
      <c r="AC56" s="222">
        <f t="shared" si="46"/>
        <v>3594693.438711728</v>
      </c>
      <c r="AD56" s="222">
        <f t="shared" si="46"/>
        <v>3659736.0725268796</v>
      </c>
      <c r="AE56" s="222">
        <f t="shared" si="46"/>
        <v>3726079.5590183362</v>
      </c>
      <c r="AF56" s="222">
        <f t="shared" si="46"/>
        <v>3793749.91523962</v>
      </c>
      <c r="AG56" s="227"/>
      <c r="AH56" s="238"/>
      <c r="AI56" s="238"/>
      <c r="AJ56" s="152"/>
    </row>
    <row r="57" spans="1:36" ht="8.1" customHeight="1" x14ac:dyDescent="0.25">
      <c r="A57" s="140"/>
      <c r="B57" s="101"/>
      <c r="C57" s="136"/>
      <c r="D57" s="136"/>
      <c r="E57" s="136"/>
      <c r="F57" s="205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227"/>
      <c r="AH57" s="238"/>
      <c r="AI57" s="238"/>
      <c r="AJ57" s="152"/>
    </row>
    <row r="58" spans="1:36" ht="15" customHeight="1" x14ac:dyDescent="0.25">
      <c r="A58" s="150" t="str">
        <f>CONCATENATE("Increase in ",A4," General Fund Revenues")</f>
        <v>Increase in Marina General Fund Revenues</v>
      </c>
      <c r="B58" s="251" t="s">
        <v>198</v>
      </c>
      <c r="C58" s="136"/>
      <c r="D58" s="136"/>
      <c r="E58" s="136"/>
      <c r="F58" s="205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227"/>
      <c r="AH58" s="238"/>
      <c r="AI58" s="238"/>
      <c r="AJ58" s="152"/>
    </row>
    <row r="59" spans="1:36" ht="30" customHeight="1" x14ac:dyDescent="0.25">
      <c r="A59" s="178" t="s">
        <v>199</v>
      </c>
      <c r="B59" s="252">
        <f>Scenarios!B7</f>
        <v>0.2</v>
      </c>
      <c r="C59" s="177">
        <v>0</v>
      </c>
      <c r="D59" s="177">
        <v>0</v>
      </c>
      <c r="E59" s="177">
        <f>E55*$B$59</f>
        <v>0</v>
      </c>
      <c r="F59" s="224">
        <f>F55*$B$59</f>
        <v>0</v>
      </c>
      <c r="G59" s="177">
        <f t="shared" ref="G59:L59" si="47">G55*$B$59</f>
        <v>217498.47840639768</v>
      </c>
      <c r="H59" s="177">
        <f t="shared" si="47"/>
        <v>241752.84285510966</v>
      </c>
      <c r="I59" s="177">
        <f t="shared" si="47"/>
        <v>263268.83793321304</v>
      </c>
      <c r="J59" s="177">
        <f t="shared" si="47"/>
        <v>276189.13557871722</v>
      </c>
      <c r="K59" s="177">
        <f t="shared" si="47"/>
        <v>281470.07400974038</v>
      </c>
      <c r="L59" s="177">
        <f t="shared" si="47"/>
        <v>286856.63120938395</v>
      </c>
      <c r="M59" s="177">
        <f>M55*$B$59</f>
        <v>292350.91955302039</v>
      </c>
      <c r="N59" s="177">
        <f t="shared" ref="N59:AF59" si="48">N55*$B$59</f>
        <v>297965.89778934413</v>
      </c>
      <c r="O59" s="177">
        <f t="shared" si="48"/>
        <v>303185.28236955026</v>
      </c>
      <c r="P59" s="177">
        <f t="shared" si="48"/>
        <v>308509.05464136042</v>
      </c>
      <c r="Q59" s="177">
        <f t="shared" si="48"/>
        <v>313939.30235860677</v>
      </c>
      <c r="R59" s="177">
        <f t="shared" si="48"/>
        <v>319478.1550301981</v>
      </c>
      <c r="S59" s="177">
        <f t="shared" si="48"/>
        <v>325127.7847552211</v>
      </c>
      <c r="T59" s="177">
        <f t="shared" si="48"/>
        <v>330890.40707474475</v>
      </c>
      <c r="U59" s="177">
        <f t="shared" si="48"/>
        <v>336768.28184065875</v>
      </c>
      <c r="V59" s="177">
        <f t="shared" si="48"/>
        <v>342763.71410189109</v>
      </c>
      <c r="W59" s="177">
        <f t="shared" si="48"/>
        <v>348879.05500834814</v>
      </c>
      <c r="X59" s="177">
        <f t="shared" si="48"/>
        <v>355116.70273293421</v>
      </c>
      <c r="Y59" s="177">
        <f t="shared" si="48"/>
        <v>361479.1034120121</v>
      </c>
      <c r="Z59" s="177">
        <f t="shared" si="48"/>
        <v>367968.7521046715</v>
      </c>
      <c r="AA59" s="177">
        <f t="shared" si="48"/>
        <v>374588.19377118413</v>
      </c>
      <c r="AB59" s="177">
        <f t="shared" si="48"/>
        <v>381340.02427102689</v>
      </c>
      <c r="AC59" s="177">
        <f t="shared" si="48"/>
        <v>388226.89138086664</v>
      </c>
      <c r="AD59" s="177">
        <f t="shared" si="48"/>
        <v>395251.49583290308</v>
      </c>
      <c r="AE59" s="177">
        <f t="shared" si="48"/>
        <v>402416.59237398033</v>
      </c>
      <c r="AF59" s="177">
        <f t="shared" si="48"/>
        <v>409724.99084587902</v>
      </c>
      <c r="AG59" s="235" t="s">
        <v>186</v>
      </c>
      <c r="AH59" s="245" t="s">
        <v>187</v>
      </c>
      <c r="AI59" s="245"/>
      <c r="AJ59" s="152"/>
    </row>
    <row r="60" spans="1:36" ht="15" hidden="1" customHeight="1" x14ac:dyDescent="0.25">
      <c r="A60" s="151" t="str">
        <f>CONCATENATE("Add Back In: 10% of Incremental FORA Share sent to ",A4)</f>
        <v>Add Back In: 10% of Incremental FORA Share sent to Marina</v>
      </c>
      <c r="B60" s="142"/>
      <c r="C60" s="145">
        <f t="shared" ref="C60:M60" si="49">-C47</f>
        <v>58388.38048041708</v>
      </c>
      <c r="D60" s="145">
        <f t="shared" si="49"/>
        <v>86860.47494988468</v>
      </c>
      <c r="E60" s="145">
        <f t="shared" si="49"/>
        <v>110947.11585409667</v>
      </c>
      <c r="F60" s="145">
        <f t="shared" si="49"/>
        <v>136615.4829546533</v>
      </c>
      <c r="G60" s="145">
        <f t="shared" si="49"/>
        <v>158110.86667324865</v>
      </c>
      <c r="H60" s="145">
        <f t="shared" si="49"/>
        <v>183063.91651760251</v>
      </c>
      <c r="I60" s="145">
        <f t="shared" si="49"/>
        <v>205199.71392305871</v>
      </c>
      <c r="J60" s="145">
        <f t="shared" si="49"/>
        <v>218492.20121267202</v>
      </c>
      <c r="K60" s="145">
        <f t="shared" si="49"/>
        <v>223925.26544211968</v>
      </c>
      <c r="L60" s="145">
        <f t="shared" si="49"/>
        <v>229466.99095615628</v>
      </c>
      <c r="M60" s="145">
        <f t="shared" si="49"/>
        <v>235119.55098047361</v>
      </c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227" t="s">
        <v>148</v>
      </c>
      <c r="AH60" s="238"/>
      <c r="AI60" s="238"/>
      <c r="AJ60" s="26"/>
    </row>
    <row r="61" spans="1:36" x14ac:dyDescent="0.25">
      <c r="A61" s="40" t="str">
        <f>CONCATENATE("Increase in Net Property Taxes Received by ",A4," General Fund *****")</f>
        <v>Increase in Net Property Taxes Received by Marina General Fund *****</v>
      </c>
      <c r="B61" s="40"/>
      <c r="C61" s="374">
        <f>C59</f>
        <v>0</v>
      </c>
      <c r="D61" s="375">
        <f t="shared" ref="D61:AF61" si="50">D59</f>
        <v>0</v>
      </c>
      <c r="E61" s="375">
        <f>E59</f>
        <v>0</v>
      </c>
      <c r="F61" s="374">
        <f>F59</f>
        <v>0</v>
      </c>
      <c r="G61" s="374">
        <f t="shared" si="50"/>
        <v>217498.47840639768</v>
      </c>
      <c r="H61" s="374">
        <f t="shared" si="50"/>
        <v>241752.84285510966</v>
      </c>
      <c r="I61" s="374">
        <f t="shared" si="50"/>
        <v>263268.83793321304</v>
      </c>
      <c r="J61" s="374">
        <f t="shared" si="50"/>
        <v>276189.13557871722</v>
      </c>
      <c r="K61" s="374">
        <f t="shared" si="50"/>
        <v>281470.07400974038</v>
      </c>
      <c r="L61" s="374">
        <f t="shared" si="50"/>
        <v>286856.63120938395</v>
      </c>
      <c r="M61" s="374">
        <f t="shared" si="50"/>
        <v>292350.91955302039</v>
      </c>
      <c r="N61" s="374">
        <f t="shared" si="50"/>
        <v>297965.89778934413</v>
      </c>
      <c r="O61" s="374">
        <f t="shared" si="50"/>
        <v>303185.28236955026</v>
      </c>
      <c r="P61" s="374">
        <f t="shared" si="50"/>
        <v>308509.05464136042</v>
      </c>
      <c r="Q61" s="374">
        <f t="shared" si="50"/>
        <v>313939.30235860677</v>
      </c>
      <c r="R61" s="374">
        <f t="shared" si="50"/>
        <v>319478.1550301981</v>
      </c>
      <c r="S61" s="374">
        <f t="shared" si="50"/>
        <v>325127.7847552211</v>
      </c>
      <c r="T61" s="374">
        <f t="shared" si="50"/>
        <v>330890.40707474475</v>
      </c>
      <c r="U61" s="374">
        <f t="shared" si="50"/>
        <v>336768.28184065875</v>
      </c>
      <c r="V61" s="374">
        <f t="shared" si="50"/>
        <v>342763.71410189109</v>
      </c>
      <c r="W61" s="374">
        <f t="shared" si="50"/>
        <v>348879.05500834814</v>
      </c>
      <c r="X61" s="374">
        <f t="shared" si="50"/>
        <v>355116.70273293421</v>
      </c>
      <c r="Y61" s="374">
        <f t="shared" si="50"/>
        <v>361479.1034120121</v>
      </c>
      <c r="Z61" s="374">
        <f t="shared" si="50"/>
        <v>367968.7521046715</v>
      </c>
      <c r="AA61" s="374">
        <f t="shared" si="50"/>
        <v>374588.19377118413</v>
      </c>
      <c r="AB61" s="374">
        <f t="shared" si="50"/>
        <v>381340.02427102689</v>
      </c>
      <c r="AC61" s="374">
        <f t="shared" si="50"/>
        <v>388226.89138086664</v>
      </c>
      <c r="AD61" s="374">
        <f t="shared" si="50"/>
        <v>395251.49583290308</v>
      </c>
      <c r="AE61" s="374">
        <f t="shared" si="50"/>
        <v>402416.59237398033</v>
      </c>
      <c r="AF61" s="374">
        <f t="shared" si="50"/>
        <v>409724.99084587902</v>
      </c>
      <c r="AG61" s="335"/>
      <c r="AH61" s="240" t="s">
        <v>216</v>
      </c>
      <c r="AI61" s="240"/>
    </row>
    <row r="62" spans="1:36" x14ac:dyDescent="0.25">
      <c r="A62" s="1" t="s">
        <v>103</v>
      </c>
      <c r="C62" s="109">
        <f>NPV(Assumptions!D4,'4 - Marina'!D61:AF61)+'4 - Marina'!C61</f>
        <v>4169706.8799006524</v>
      </c>
      <c r="E62" s="352"/>
      <c r="AG62" s="227"/>
      <c r="AH62" s="238"/>
      <c r="AI62" s="238"/>
    </row>
    <row r="63" spans="1:36" x14ac:dyDescent="0.25">
      <c r="D63" s="80"/>
      <c r="AG63" s="227"/>
      <c r="AH63" s="238"/>
      <c r="AI63" s="238"/>
    </row>
    <row r="64" spans="1:36" x14ac:dyDescent="0.25">
      <c r="A64" s="19" t="s">
        <v>96</v>
      </c>
      <c r="D64" s="80"/>
      <c r="AG64" s="227"/>
      <c r="AH64" s="238"/>
      <c r="AI64" s="238"/>
    </row>
    <row r="65" spans="1:35" x14ac:dyDescent="0.25">
      <c r="A65" s="19" t="s">
        <v>95</v>
      </c>
      <c r="E65" s="80"/>
      <c r="AG65" s="227"/>
      <c r="AH65" s="238"/>
      <c r="AI65" s="238"/>
    </row>
    <row r="66" spans="1:35" x14ac:dyDescent="0.25">
      <c r="A66" s="19" t="s">
        <v>175</v>
      </c>
      <c r="E66" s="80"/>
      <c r="AG66" s="227"/>
      <c r="AH66" s="238"/>
      <c r="AI66" s="238"/>
    </row>
    <row r="67" spans="1:35" x14ac:dyDescent="0.25">
      <c r="A67" s="19" t="s">
        <v>259</v>
      </c>
      <c r="E67" s="80"/>
      <c r="AG67" s="227"/>
      <c r="AH67" s="238"/>
      <c r="AI67" s="238"/>
    </row>
    <row r="68" spans="1:35" x14ac:dyDescent="0.25">
      <c r="A68" s="19" t="s">
        <v>174</v>
      </c>
      <c r="AG68" s="227"/>
      <c r="AH68" s="238"/>
      <c r="AI68" s="238"/>
    </row>
    <row r="69" spans="1:35" x14ac:dyDescent="0.25">
      <c r="A69" s="19"/>
      <c r="AG69" s="227"/>
      <c r="AH69" s="238"/>
      <c r="AI69" s="238"/>
    </row>
    <row r="70" spans="1:35" ht="15.75" x14ac:dyDescent="0.25">
      <c r="A70" s="65"/>
      <c r="AG70" s="227"/>
      <c r="AH70" s="238"/>
      <c r="AI70" s="238"/>
    </row>
    <row r="71" spans="1:35" x14ac:dyDescent="0.25">
      <c r="AG71" s="227"/>
      <c r="AH71" s="238"/>
      <c r="AI71" s="238"/>
    </row>
    <row r="72" spans="1:35" x14ac:dyDescent="0.25">
      <c r="AG72" s="236"/>
      <c r="AH72" s="246"/>
      <c r="AI72" s="246"/>
    </row>
  </sheetData>
  <mergeCells count="13">
    <mergeCell ref="AU22:AU25"/>
    <mergeCell ref="AV22:AV25"/>
    <mergeCell ref="AP23:AP25"/>
    <mergeCell ref="AQ23:AQ25"/>
    <mergeCell ref="AM24:AM25"/>
    <mergeCell ref="B45:B46"/>
    <mergeCell ref="C6:F6"/>
    <mergeCell ref="AH10:AH12"/>
    <mergeCell ref="AT21:AT25"/>
    <mergeCell ref="AN22:AN25"/>
    <mergeCell ref="AO22:AO25"/>
    <mergeCell ref="AR22:AR25"/>
    <mergeCell ref="AS22:AS25"/>
  </mergeCells>
  <pageMargins left="0.25" right="0.25" top="0.75" bottom="0.75" header="0.3" footer="0.3"/>
  <pageSetup scale="55" orientation="landscape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J69"/>
  <sheetViews>
    <sheetView showGridLines="0" zoomScale="85" zoomScaleNormal="85" workbookViewId="0">
      <selection activeCell="E8" sqref="E8:N8"/>
    </sheetView>
  </sheetViews>
  <sheetFormatPr defaultColWidth="8.85546875" defaultRowHeight="15" x14ac:dyDescent="0.25"/>
  <cols>
    <col min="1" max="1" width="64.85546875" customWidth="1"/>
    <col min="2" max="2" width="15.28515625" customWidth="1"/>
    <col min="3" max="32" width="13.28515625" customWidth="1"/>
    <col min="33" max="33" width="4.28515625" style="226" bestFit="1" customWidth="1"/>
    <col min="34" max="34" width="16.7109375" style="237" customWidth="1"/>
    <col min="35" max="35" width="13.85546875" customWidth="1"/>
  </cols>
  <sheetData>
    <row r="1" spans="1:36" ht="18.75" x14ac:dyDescent="0.3">
      <c r="A1" s="53" t="s">
        <v>56</v>
      </c>
    </row>
    <row r="2" spans="1:36" ht="18.75" x14ac:dyDescent="0.3">
      <c r="A2" s="54" t="s">
        <v>313</v>
      </c>
    </row>
    <row r="3" spans="1:36" ht="18.75" x14ac:dyDescent="0.3">
      <c r="A3" s="54"/>
    </row>
    <row r="4" spans="1:36" ht="18.75" x14ac:dyDescent="0.3">
      <c r="A4" s="376" t="s">
        <v>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</row>
    <row r="5" spans="1:36" ht="15.75" x14ac:dyDescent="0.25">
      <c r="A5" s="391" t="s">
        <v>319</v>
      </c>
      <c r="B5" s="390">
        <v>0</v>
      </c>
      <c r="AI5" s="264"/>
    </row>
    <row r="6" spans="1:36" x14ac:dyDescent="0.25">
      <c r="A6" s="52"/>
      <c r="B6" s="257"/>
      <c r="C6" s="442" t="s">
        <v>59</v>
      </c>
      <c r="D6" s="442"/>
      <c r="E6" s="442"/>
      <c r="F6" s="442"/>
      <c r="G6" s="350" t="s">
        <v>60</v>
      </c>
      <c r="H6" s="350"/>
      <c r="I6" s="350"/>
      <c r="J6" s="350"/>
      <c r="K6" s="350"/>
      <c r="L6" s="350"/>
      <c r="M6" s="350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I6" s="265"/>
    </row>
    <row r="7" spans="1:36" x14ac:dyDescent="0.25">
      <c r="A7" s="258" t="s">
        <v>92</v>
      </c>
      <c r="B7" s="259" t="s">
        <v>9</v>
      </c>
      <c r="C7" s="97">
        <v>201819</v>
      </c>
      <c r="D7" s="97">
        <f t="shared" ref="D7:AF7" si="0">C7+101</f>
        <v>201920</v>
      </c>
      <c r="E7" s="97">
        <f t="shared" si="0"/>
        <v>202021</v>
      </c>
      <c r="F7" s="97">
        <f t="shared" si="0"/>
        <v>202122</v>
      </c>
      <c r="G7" s="337">
        <f t="shared" si="0"/>
        <v>202223</v>
      </c>
      <c r="H7" s="337">
        <f t="shared" si="0"/>
        <v>202324</v>
      </c>
      <c r="I7" s="337">
        <f t="shared" si="0"/>
        <v>202425</v>
      </c>
      <c r="J7" s="337">
        <f t="shared" si="0"/>
        <v>202526</v>
      </c>
      <c r="K7" s="337">
        <f>J7+101</f>
        <v>202627</v>
      </c>
      <c r="L7" s="337">
        <f t="shared" si="0"/>
        <v>202728</v>
      </c>
      <c r="M7" s="337">
        <f t="shared" si="0"/>
        <v>202829</v>
      </c>
      <c r="N7" s="337">
        <f t="shared" si="0"/>
        <v>202930</v>
      </c>
      <c r="O7" s="337">
        <f t="shared" si="0"/>
        <v>203031</v>
      </c>
      <c r="P7" s="337">
        <f t="shared" si="0"/>
        <v>203132</v>
      </c>
      <c r="Q7" s="337">
        <f t="shared" si="0"/>
        <v>203233</v>
      </c>
      <c r="R7" s="337">
        <f t="shared" si="0"/>
        <v>203334</v>
      </c>
      <c r="S7" s="337">
        <f t="shared" si="0"/>
        <v>203435</v>
      </c>
      <c r="T7" s="337">
        <f t="shared" si="0"/>
        <v>203536</v>
      </c>
      <c r="U7" s="337">
        <f t="shared" si="0"/>
        <v>203637</v>
      </c>
      <c r="V7" s="337">
        <f t="shared" si="0"/>
        <v>203738</v>
      </c>
      <c r="W7" s="337">
        <f t="shared" si="0"/>
        <v>203839</v>
      </c>
      <c r="X7" s="337">
        <f t="shared" si="0"/>
        <v>203940</v>
      </c>
      <c r="Y7" s="337">
        <f t="shared" si="0"/>
        <v>204041</v>
      </c>
      <c r="Z7" s="337">
        <f t="shared" si="0"/>
        <v>204142</v>
      </c>
      <c r="AA7" s="337">
        <f t="shared" si="0"/>
        <v>204243</v>
      </c>
      <c r="AB7" s="337">
        <f t="shared" si="0"/>
        <v>204344</v>
      </c>
      <c r="AC7" s="337">
        <f t="shared" si="0"/>
        <v>204445</v>
      </c>
      <c r="AD7" s="337">
        <f t="shared" si="0"/>
        <v>204546</v>
      </c>
      <c r="AE7" s="337">
        <f t="shared" si="0"/>
        <v>204647</v>
      </c>
      <c r="AF7" s="337">
        <f t="shared" si="0"/>
        <v>204748</v>
      </c>
      <c r="AG7" s="227"/>
      <c r="AH7" s="238"/>
      <c r="AI7" s="265"/>
    </row>
    <row r="8" spans="1:36" x14ac:dyDescent="0.25">
      <c r="A8" s="139" t="s">
        <v>43</v>
      </c>
      <c r="B8" s="260">
        <v>533000</v>
      </c>
      <c r="C8" s="247">
        <v>192</v>
      </c>
      <c r="D8" s="247">
        <v>235</v>
      </c>
      <c r="E8" s="60">
        <v>40</v>
      </c>
      <c r="F8" s="61">
        <v>50</v>
      </c>
      <c r="G8" s="60">
        <v>125</v>
      </c>
      <c r="H8" s="60">
        <v>164</v>
      </c>
      <c r="I8" s="60">
        <v>109</v>
      </c>
      <c r="J8" s="60">
        <v>25</v>
      </c>
      <c r="K8" s="60">
        <v>22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60">
        <v>0</v>
      </c>
      <c r="AD8" s="60">
        <v>0</v>
      </c>
      <c r="AE8" s="60">
        <v>0</v>
      </c>
      <c r="AF8" s="60">
        <v>0</v>
      </c>
      <c r="AG8" s="227"/>
      <c r="AH8" s="238"/>
      <c r="AI8" s="265"/>
    </row>
    <row r="9" spans="1:36" x14ac:dyDescent="0.25">
      <c r="A9" s="139" t="s">
        <v>44</v>
      </c>
      <c r="B9" s="261">
        <v>220</v>
      </c>
      <c r="C9" s="247">
        <v>0</v>
      </c>
      <c r="D9" s="247">
        <v>23000</v>
      </c>
      <c r="E9" s="60">
        <v>0</v>
      </c>
      <c r="F9" s="61">
        <v>0</v>
      </c>
      <c r="G9" s="60"/>
      <c r="H9" s="60"/>
      <c r="I9" s="60">
        <v>100000</v>
      </c>
      <c r="J9" s="60"/>
      <c r="K9" s="60"/>
      <c r="L9" s="60">
        <v>50000</v>
      </c>
      <c r="M9" s="60">
        <v>50000</v>
      </c>
      <c r="N9" s="60">
        <v>50000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60">
        <v>0</v>
      </c>
      <c r="AD9" s="60">
        <v>0</v>
      </c>
      <c r="AE9" s="60">
        <v>0</v>
      </c>
      <c r="AF9" s="60">
        <v>0</v>
      </c>
      <c r="AG9" s="227"/>
      <c r="AH9" s="238"/>
      <c r="AI9" s="265"/>
    </row>
    <row r="10" spans="1:36" x14ac:dyDescent="0.25">
      <c r="A10" s="139" t="s">
        <v>45</v>
      </c>
      <c r="B10" s="261">
        <v>90</v>
      </c>
      <c r="C10" s="247">
        <v>0</v>
      </c>
      <c r="D10" s="247">
        <v>0</v>
      </c>
      <c r="E10" s="60"/>
      <c r="F10" s="61"/>
      <c r="G10" s="60">
        <v>10000</v>
      </c>
      <c r="H10" s="60">
        <v>10000</v>
      </c>
      <c r="I10" s="60">
        <v>10000</v>
      </c>
      <c r="J10" s="60">
        <v>10000</v>
      </c>
      <c r="K10" s="60">
        <v>10000</v>
      </c>
      <c r="L10" s="60">
        <v>10000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C10" s="60">
        <v>0</v>
      </c>
      <c r="AD10" s="60">
        <v>0</v>
      </c>
      <c r="AE10" s="60">
        <v>0</v>
      </c>
      <c r="AF10" s="60">
        <v>0</v>
      </c>
      <c r="AG10" s="334"/>
      <c r="AH10" s="444" t="s">
        <v>197</v>
      </c>
      <c r="AI10" s="265"/>
    </row>
    <row r="11" spans="1:36" ht="15" customHeight="1" x14ac:dyDescent="0.25">
      <c r="A11" s="139" t="s">
        <v>46</v>
      </c>
      <c r="B11" s="261">
        <v>265</v>
      </c>
      <c r="C11" s="247">
        <v>0</v>
      </c>
      <c r="D11" s="247">
        <v>20000</v>
      </c>
      <c r="E11" s="60">
        <v>0</v>
      </c>
      <c r="F11" s="61">
        <v>0</v>
      </c>
      <c r="G11" s="60">
        <v>0</v>
      </c>
      <c r="H11" s="60">
        <v>10000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60">
        <v>0</v>
      </c>
      <c r="AD11" s="60">
        <v>0</v>
      </c>
      <c r="AE11" s="60">
        <v>0</v>
      </c>
      <c r="AF11" s="60">
        <v>0</v>
      </c>
      <c r="AG11" s="334"/>
      <c r="AH11" s="444"/>
      <c r="AI11" s="143"/>
    </row>
    <row r="12" spans="1:36" ht="26.25" x14ac:dyDescent="0.25">
      <c r="A12" s="139" t="s">
        <v>47</v>
      </c>
      <c r="B12" s="262">
        <v>162000</v>
      </c>
      <c r="C12" s="249">
        <v>0</v>
      </c>
      <c r="D12" s="249">
        <v>0</v>
      </c>
      <c r="E12" s="60">
        <v>368</v>
      </c>
      <c r="F12" s="61">
        <v>0</v>
      </c>
      <c r="G12" s="60">
        <v>330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60">
        <v>0</v>
      </c>
      <c r="AD12" s="60">
        <v>0</v>
      </c>
      <c r="AE12" s="60">
        <v>0</v>
      </c>
      <c r="AF12" s="60">
        <v>0</v>
      </c>
      <c r="AG12" s="334" t="s">
        <v>189</v>
      </c>
      <c r="AH12" s="444"/>
      <c r="AI12" s="152"/>
    </row>
    <row r="13" spans="1:36" x14ac:dyDescent="0.25">
      <c r="A13" s="37" t="s">
        <v>49</v>
      </c>
      <c r="B13" s="24"/>
      <c r="C13" s="318">
        <v>1622985</v>
      </c>
      <c r="D13" s="136">
        <v>165612790</v>
      </c>
      <c r="E13" s="302">
        <f>SUMPRODUCT($B$8:$B$12,E8:E12)*(1-$B$5)</f>
        <v>80936000</v>
      </c>
      <c r="F13" s="378">
        <f t="shared" ref="F13:AF13" si="1">SUMPRODUCT($B$8:$B$12,F8:F12)*(1-$B$5)</f>
        <v>26650000</v>
      </c>
      <c r="G13" s="302">
        <f t="shared" si="1"/>
        <v>120985000</v>
      </c>
      <c r="H13" s="302">
        <f t="shared" si="1"/>
        <v>90962000</v>
      </c>
      <c r="I13" s="302">
        <f t="shared" si="1"/>
        <v>80997000</v>
      </c>
      <c r="J13" s="302">
        <f t="shared" si="1"/>
        <v>14225000</v>
      </c>
      <c r="K13" s="302">
        <f t="shared" si="1"/>
        <v>12626000</v>
      </c>
      <c r="L13" s="302">
        <f t="shared" si="1"/>
        <v>11900000</v>
      </c>
      <c r="M13" s="302">
        <f t="shared" si="1"/>
        <v>11000000</v>
      </c>
      <c r="N13" s="302">
        <f t="shared" si="1"/>
        <v>11000000</v>
      </c>
      <c r="O13" s="302">
        <f t="shared" si="1"/>
        <v>0</v>
      </c>
      <c r="P13" s="302">
        <f t="shared" si="1"/>
        <v>0</v>
      </c>
      <c r="Q13" s="302">
        <f t="shared" si="1"/>
        <v>0</v>
      </c>
      <c r="R13" s="302">
        <f t="shared" si="1"/>
        <v>0</v>
      </c>
      <c r="S13" s="302">
        <f t="shared" si="1"/>
        <v>0</v>
      </c>
      <c r="T13" s="302">
        <f t="shared" si="1"/>
        <v>0</v>
      </c>
      <c r="U13" s="302">
        <f t="shared" si="1"/>
        <v>0</v>
      </c>
      <c r="V13" s="302">
        <f t="shared" si="1"/>
        <v>0</v>
      </c>
      <c r="W13" s="302">
        <f t="shared" si="1"/>
        <v>0</v>
      </c>
      <c r="X13" s="302">
        <f t="shared" si="1"/>
        <v>0</v>
      </c>
      <c r="Y13" s="302">
        <f t="shared" si="1"/>
        <v>0</v>
      </c>
      <c r="Z13" s="302">
        <f t="shared" si="1"/>
        <v>0</v>
      </c>
      <c r="AA13" s="302">
        <f t="shared" si="1"/>
        <v>0</v>
      </c>
      <c r="AB13" s="302">
        <f t="shared" si="1"/>
        <v>0</v>
      </c>
      <c r="AC13" s="302">
        <f t="shared" si="1"/>
        <v>0</v>
      </c>
      <c r="AD13" s="302">
        <f t="shared" si="1"/>
        <v>0</v>
      </c>
      <c r="AE13" s="302">
        <f t="shared" si="1"/>
        <v>0</v>
      </c>
      <c r="AF13" s="302">
        <f t="shared" si="1"/>
        <v>0</v>
      </c>
      <c r="AG13" s="229" t="s">
        <v>143</v>
      </c>
      <c r="AH13" s="239"/>
      <c r="AI13" s="143"/>
      <c r="AJ13" s="24"/>
    </row>
    <row r="14" spans="1:36" x14ac:dyDescent="0.25">
      <c r="A14" t="s">
        <v>97</v>
      </c>
      <c r="C14" s="319">
        <f>C16-C13-C15</f>
        <v>366312020.5882355</v>
      </c>
      <c r="D14" s="136">
        <f>C16</f>
        <v>375261246</v>
      </c>
      <c r="E14" s="175">
        <f>D16</f>
        <v>548379260.91999996</v>
      </c>
      <c r="F14" s="293">
        <f>E16</f>
        <v>640282846.13839996</v>
      </c>
      <c r="G14" s="144">
        <f t="shared" ref="G14:AF14" si="2">F16</f>
        <v>679738503.06116796</v>
      </c>
      <c r="H14" s="144">
        <f t="shared" si="2"/>
        <v>814318273.12239134</v>
      </c>
      <c r="I14" s="144">
        <f t="shared" si="2"/>
        <v>921566638.58483922</v>
      </c>
      <c r="J14" s="144">
        <f t="shared" si="2"/>
        <v>1020994971.356536</v>
      </c>
      <c r="K14" s="144">
        <f t="shared" si="2"/>
        <v>1055639870.7836667</v>
      </c>
      <c r="L14" s="144">
        <f t="shared" si="2"/>
        <v>1089378668.1993401</v>
      </c>
      <c r="M14" s="144">
        <f t="shared" si="2"/>
        <v>1123066241.5633268</v>
      </c>
      <c r="N14" s="144">
        <f t="shared" si="2"/>
        <v>1156527566.3945935</v>
      </c>
      <c r="O14" s="144">
        <f t="shared" si="2"/>
        <v>1190658117.7224853</v>
      </c>
      <c r="P14" s="144">
        <f t="shared" si="2"/>
        <v>1214471280.0769351</v>
      </c>
      <c r="Q14" s="144">
        <f t="shared" si="2"/>
        <v>1238760705.6784737</v>
      </c>
      <c r="R14" s="144">
        <f t="shared" si="2"/>
        <v>1263535919.7920432</v>
      </c>
      <c r="S14" s="144">
        <f t="shared" si="2"/>
        <v>1288806638.1878841</v>
      </c>
      <c r="T14" s="144">
        <f t="shared" si="2"/>
        <v>1314582770.9516418</v>
      </c>
      <c r="U14" s="144">
        <f t="shared" si="2"/>
        <v>1340874426.3706746</v>
      </c>
      <c r="V14" s="144">
        <f t="shared" si="2"/>
        <v>1367691914.8980882</v>
      </c>
      <c r="W14" s="144">
        <f t="shared" si="2"/>
        <v>1395045753.1960499</v>
      </c>
      <c r="X14" s="144">
        <f t="shared" si="2"/>
        <v>1422946668.2599709</v>
      </c>
      <c r="Y14" s="144">
        <f t="shared" si="2"/>
        <v>1451405601.6251702</v>
      </c>
      <c r="Z14" s="144">
        <f t="shared" si="2"/>
        <v>1480433713.6576736</v>
      </c>
      <c r="AA14" s="144">
        <f t="shared" si="2"/>
        <v>1510042387.9308271</v>
      </c>
      <c r="AB14" s="144">
        <f t="shared" si="2"/>
        <v>1540243235.6894436</v>
      </c>
      <c r="AC14" s="144">
        <f t="shared" si="2"/>
        <v>1571048100.4032326</v>
      </c>
      <c r="AD14" s="144">
        <f t="shared" si="2"/>
        <v>1602469062.4112973</v>
      </c>
      <c r="AE14" s="144">
        <f t="shared" si="2"/>
        <v>1634518443.6595232</v>
      </c>
      <c r="AF14" s="144">
        <f t="shared" si="2"/>
        <v>1667208812.5327137</v>
      </c>
      <c r="AG14" s="227" t="s">
        <v>145</v>
      </c>
      <c r="AH14" s="238"/>
      <c r="AI14" s="152"/>
    </row>
    <row r="15" spans="1:36" x14ac:dyDescent="0.25">
      <c r="A15" t="s">
        <v>94</v>
      </c>
      <c r="B15" s="8"/>
      <c r="C15" s="320">
        <v>7326240.4117645184</v>
      </c>
      <c r="D15" s="132">
        <f>D14*0.02</f>
        <v>7505224.9199999999</v>
      </c>
      <c r="E15" s="136">
        <f>E14*0.02</f>
        <v>10967585.2184</v>
      </c>
      <c r="F15" s="206">
        <f t="shared" ref="F15:AF15" si="3">F14*0.02</f>
        <v>12805656.922767999</v>
      </c>
      <c r="G15" s="132">
        <f t="shared" si="3"/>
        <v>13594770.06122336</v>
      </c>
      <c r="H15" s="132">
        <f t="shared" si="3"/>
        <v>16286365.462447828</v>
      </c>
      <c r="I15" s="132">
        <f t="shared" si="3"/>
        <v>18431332.771696784</v>
      </c>
      <c r="J15" s="132">
        <f t="shared" si="3"/>
        <v>20419899.427130722</v>
      </c>
      <c r="K15" s="132">
        <f t="shared" si="3"/>
        <v>21112797.415673334</v>
      </c>
      <c r="L15" s="132">
        <f t="shared" si="3"/>
        <v>21787573.363986801</v>
      </c>
      <c r="M15" s="132">
        <f t="shared" si="3"/>
        <v>22461324.831266537</v>
      </c>
      <c r="N15" s="132">
        <f t="shared" si="3"/>
        <v>23130551.327891871</v>
      </c>
      <c r="O15" s="132">
        <f t="shared" si="3"/>
        <v>23813162.354449708</v>
      </c>
      <c r="P15" s="132">
        <f t="shared" si="3"/>
        <v>24289425.601538703</v>
      </c>
      <c r="Q15" s="132">
        <f t="shared" si="3"/>
        <v>24775214.113569476</v>
      </c>
      <c r="R15" s="132">
        <f t="shared" si="3"/>
        <v>25270718.395840865</v>
      </c>
      <c r="S15" s="132">
        <f t="shared" si="3"/>
        <v>25776132.763757683</v>
      </c>
      <c r="T15" s="132">
        <f t="shared" si="3"/>
        <v>26291655.419032838</v>
      </c>
      <c r="U15" s="132">
        <f t="shared" si="3"/>
        <v>26817488.527413491</v>
      </c>
      <c r="V15" s="132">
        <f t="shared" si="3"/>
        <v>27353838.297961764</v>
      </c>
      <c r="W15" s="132">
        <f t="shared" si="3"/>
        <v>27900915.063921001</v>
      </c>
      <c r="X15" s="132">
        <f t="shared" si="3"/>
        <v>28458933.365199417</v>
      </c>
      <c r="Y15" s="132">
        <f t="shared" si="3"/>
        <v>29028112.032503404</v>
      </c>
      <c r="Z15" s="132">
        <f t="shared" si="3"/>
        <v>29608674.273153473</v>
      </c>
      <c r="AA15" s="132">
        <f t="shared" si="3"/>
        <v>30200847.758616544</v>
      </c>
      <c r="AB15" s="132">
        <f t="shared" si="3"/>
        <v>30804864.713788871</v>
      </c>
      <c r="AC15" s="132">
        <f t="shared" si="3"/>
        <v>31420962.008064654</v>
      </c>
      <c r="AD15" s="132">
        <f t="shared" si="3"/>
        <v>32049381.248225946</v>
      </c>
      <c r="AE15" s="132">
        <f t="shared" si="3"/>
        <v>32690368.873190466</v>
      </c>
      <c r="AF15" s="132">
        <f t="shared" si="3"/>
        <v>33344176.250654273</v>
      </c>
      <c r="AG15" s="227" t="s">
        <v>146</v>
      </c>
      <c r="AH15" s="238"/>
      <c r="AI15" s="152"/>
    </row>
    <row r="16" spans="1:36" x14ac:dyDescent="0.25">
      <c r="A16" t="s">
        <v>203</v>
      </c>
      <c r="C16" s="82">
        <f>C20/B20</f>
        <v>375261246</v>
      </c>
      <c r="D16" s="173">
        <f t="shared" ref="D16:AF16" si="4">D13+D14+D15</f>
        <v>548379260.91999996</v>
      </c>
      <c r="E16" s="303">
        <f t="shared" si="4"/>
        <v>640282846.13839996</v>
      </c>
      <c r="F16" s="207">
        <f t="shared" si="4"/>
        <v>679738503.06116796</v>
      </c>
      <c r="G16" s="82">
        <f t="shared" si="4"/>
        <v>814318273.12239134</v>
      </c>
      <c r="H16" s="82">
        <f t="shared" si="4"/>
        <v>921566638.58483922</v>
      </c>
      <c r="I16" s="82">
        <f t="shared" si="4"/>
        <v>1020994971.356536</v>
      </c>
      <c r="J16" s="82">
        <f t="shared" si="4"/>
        <v>1055639870.7836667</v>
      </c>
      <c r="K16" s="82">
        <f t="shared" si="4"/>
        <v>1089378668.1993401</v>
      </c>
      <c r="L16" s="82">
        <f t="shared" si="4"/>
        <v>1123066241.5633268</v>
      </c>
      <c r="M16" s="82">
        <f t="shared" si="4"/>
        <v>1156527566.3945935</v>
      </c>
      <c r="N16" s="82">
        <f t="shared" si="4"/>
        <v>1190658117.7224853</v>
      </c>
      <c r="O16" s="82">
        <f t="shared" si="4"/>
        <v>1214471280.0769351</v>
      </c>
      <c r="P16" s="82">
        <f t="shared" si="4"/>
        <v>1238760705.6784737</v>
      </c>
      <c r="Q16" s="82">
        <f t="shared" si="4"/>
        <v>1263535919.7920432</v>
      </c>
      <c r="R16" s="82">
        <f t="shared" si="4"/>
        <v>1288806638.1878841</v>
      </c>
      <c r="S16" s="82">
        <f t="shared" si="4"/>
        <v>1314582770.9516418</v>
      </c>
      <c r="T16" s="82">
        <f t="shared" si="4"/>
        <v>1340874426.3706746</v>
      </c>
      <c r="U16" s="82">
        <f t="shared" si="4"/>
        <v>1367691914.8980882</v>
      </c>
      <c r="V16" s="82">
        <f t="shared" si="4"/>
        <v>1395045753.1960499</v>
      </c>
      <c r="W16" s="82">
        <f t="shared" si="4"/>
        <v>1422946668.2599709</v>
      </c>
      <c r="X16" s="82">
        <f t="shared" si="4"/>
        <v>1451405601.6251702</v>
      </c>
      <c r="Y16" s="82">
        <f t="shared" si="4"/>
        <v>1480433713.6576736</v>
      </c>
      <c r="Z16" s="82">
        <f t="shared" si="4"/>
        <v>1510042387.9308271</v>
      </c>
      <c r="AA16" s="82">
        <f t="shared" si="4"/>
        <v>1540243235.6894436</v>
      </c>
      <c r="AB16" s="82">
        <f t="shared" si="4"/>
        <v>1571048100.4032326</v>
      </c>
      <c r="AC16" s="82">
        <f t="shared" si="4"/>
        <v>1602469062.4112973</v>
      </c>
      <c r="AD16" s="82">
        <f t="shared" si="4"/>
        <v>1634518443.6595232</v>
      </c>
      <c r="AE16" s="82">
        <f t="shared" si="4"/>
        <v>1667208812.5327137</v>
      </c>
      <c r="AF16" s="82">
        <f t="shared" si="4"/>
        <v>1700552988.7833679</v>
      </c>
      <c r="AG16" s="335" t="s">
        <v>176</v>
      </c>
      <c r="AH16" s="240" t="s">
        <v>190</v>
      </c>
      <c r="AI16" s="152"/>
    </row>
    <row r="17" spans="1:35" x14ac:dyDescent="0.25">
      <c r="A17" t="s">
        <v>12</v>
      </c>
      <c r="C17" s="146">
        <f t="shared" ref="C17:AF17" si="5">-$B$6</f>
        <v>0</v>
      </c>
      <c r="D17" s="146">
        <f t="shared" si="5"/>
        <v>0</v>
      </c>
      <c r="E17" s="69">
        <f t="shared" si="5"/>
        <v>0</v>
      </c>
      <c r="F17" s="294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  <c r="Z17" s="56">
        <f t="shared" si="5"/>
        <v>0</v>
      </c>
      <c r="AA17" s="56">
        <f t="shared" si="5"/>
        <v>0</v>
      </c>
      <c r="AB17" s="56">
        <f t="shared" si="5"/>
        <v>0</v>
      </c>
      <c r="AC17" s="56">
        <f t="shared" si="5"/>
        <v>0</v>
      </c>
      <c r="AD17" s="56">
        <f t="shared" si="5"/>
        <v>0</v>
      </c>
      <c r="AE17" s="56">
        <f t="shared" si="5"/>
        <v>0</v>
      </c>
      <c r="AF17" s="56">
        <f t="shared" si="5"/>
        <v>0</v>
      </c>
      <c r="AG17" s="227" t="s">
        <v>144</v>
      </c>
      <c r="AH17" s="238" t="s">
        <v>144</v>
      </c>
      <c r="AI17" s="152"/>
    </row>
    <row r="18" spans="1:35" x14ac:dyDescent="0.25">
      <c r="A18" s="1" t="s">
        <v>51</v>
      </c>
      <c r="C18" s="96">
        <f>C20/B20</f>
        <v>375261246</v>
      </c>
      <c r="D18" s="299">
        <f t="shared" ref="D18:AF18" si="6">SUM(D16:D17)</f>
        <v>548379260.91999996</v>
      </c>
      <c r="E18" s="353">
        <f t="shared" si="6"/>
        <v>640282846.13839996</v>
      </c>
      <c r="F18" s="295">
        <f t="shared" si="6"/>
        <v>679738503.06116796</v>
      </c>
      <c r="G18" s="70">
        <f t="shared" si="6"/>
        <v>814318273.12239134</v>
      </c>
      <c r="H18" s="70">
        <f t="shared" si="6"/>
        <v>921566638.58483922</v>
      </c>
      <c r="I18" s="70">
        <f t="shared" si="6"/>
        <v>1020994971.356536</v>
      </c>
      <c r="J18" s="70">
        <f t="shared" si="6"/>
        <v>1055639870.7836667</v>
      </c>
      <c r="K18" s="70">
        <f t="shared" si="6"/>
        <v>1089378668.1993401</v>
      </c>
      <c r="L18" s="70">
        <f t="shared" si="6"/>
        <v>1123066241.5633268</v>
      </c>
      <c r="M18" s="70">
        <f t="shared" si="6"/>
        <v>1156527566.3945935</v>
      </c>
      <c r="N18" s="70">
        <f t="shared" si="6"/>
        <v>1190658117.7224853</v>
      </c>
      <c r="O18" s="70">
        <f t="shared" si="6"/>
        <v>1214471280.0769351</v>
      </c>
      <c r="P18" s="70">
        <f t="shared" si="6"/>
        <v>1238760705.6784737</v>
      </c>
      <c r="Q18" s="70">
        <f t="shared" si="6"/>
        <v>1263535919.7920432</v>
      </c>
      <c r="R18" s="70">
        <f t="shared" si="6"/>
        <v>1288806638.1878841</v>
      </c>
      <c r="S18" s="70">
        <f t="shared" si="6"/>
        <v>1314582770.9516418</v>
      </c>
      <c r="T18" s="70">
        <f t="shared" si="6"/>
        <v>1340874426.3706746</v>
      </c>
      <c r="U18" s="70">
        <f t="shared" si="6"/>
        <v>1367691914.8980882</v>
      </c>
      <c r="V18" s="70">
        <f t="shared" si="6"/>
        <v>1395045753.1960499</v>
      </c>
      <c r="W18" s="70">
        <f t="shared" si="6"/>
        <v>1422946668.2599709</v>
      </c>
      <c r="X18" s="70">
        <f t="shared" si="6"/>
        <v>1451405601.6251702</v>
      </c>
      <c r="Y18" s="70">
        <f t="shared" si="6"/>
        <v>1480433713.6576736</v>
      </c>
      <c r="Z18" s="70">
        <f t="shared" si="6"/>
        <v>1510042387.9308271</v>
      </c>
      <c r="AA18" s="70">
        <f t="shared" si="6"/>
        <v>1540243235.6894436</v>
      </c>
      <c r="AB18" s="70">
        <f t="shared" si="6"/>
        <v>1571048100.4032326</v>
      </c>
      <c r="AC18" s="70">
        <f t="shared" si="6"/>
        <v>1602469062.4112973</v>
      </c>
      <c r="AD18" s="70">
        <f t="shared" si="6"/>
        <v>1634518443.6595232</v>
      </c>
      <c r="AE18" s="70">
        <f t="shared" si="6"/>
        <v>1667208812.5327137</v>
      </c>
      <c r="AF18" s="70">
        <f t="shared" si="6"/>
        <v>1700552988.7833679</v>
      </c>
      <c r="AG18" s="227" t="s">
        <v>177</v>
      </c>
      <c r="AH18" s="238" t="s">
        <v>191</v>
      </c>
      <c r="AI18" s="152"/>
    </row>
    <row r="19" spans="1:35" ht="8.1" customHeight="1" x14ac:dyDescent="0.25">
      <c r="C19" s="82"/>
      <c r="D19" s="173"/>
      <c r="E19" s="69"/>
      <c r="F19" s="296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227"/>
      <c r="AH19" s="238"/>
      <c r="AI19" s="152"/>
    </row>
    <row r="20" spans="1:35" x14ac:dyDescent="0.25">
      <c r="A20" t="s">
        <v>42</v>
      </c>
      <c r="B20" s="253">
        <v>0.01</v>
      </c>
      <c r="C20" s="82">
        <f>440.8+3752171.66</f>
        <v>3752612.46</v>
      </c>
      <c r="D20" s="173">
        <f>D18*B20</f>
        <v>5483792.6091999998</v>
      </c>
      <c r="E20" s="69">
        <f t="shared" ref="E20:L20" si="7">1%*E18</f>
        <v>6402828.4613839993</v>
      </c>
      <c r="F20" s="296">
        <f t="shared" si="7"/>
        <v>6797385.0306116799</v>
      </c>
      <c r="G20" s="68">
        <f t="shared" si="7"/>
        <v>8143182.7312239138</v>
      </c>
      <c r="H20" s="68">
        <f t="shared" si="7"/>
        <v>9215666.3858483918</v>
      </c>
      <c r="I20" s="68">
        <f t="shared" si="7"/>
        <v>10209949.713565361</v>
      </c>
      <c r="J20" s="68">
        <f t="shared" si="7"/>
        <v>10556398.707836667</v>
      </c>
      <c r="K20" s="68">
        <f t="shared" si="7"/>
        <v>10893786.681993401</v>
      </c>
      <c r="L20" s="68">
        <f t="shared" si="7"/>
        <v>11230662.415633269</v>
      </c>
      <c r="M20" s="68">
        <f>1%*M18</f>
        <v>11565275.663945936</v>
      </c>
      <c r="N20" s="68">
        <f t="shared" ref="N20:AF20" si="8">1%*N18</f>
        <v>11906581.177224854</v>
      </c>
      <c r="O20" s="68">
        <f t="shared" si="8"/>
        <v>12144712.800769351</v>
      </c>
      <c r="P20" s="68">
        <f t="shared" si="8"/>
        <v>12387607.056784738</v>
      </c>
      <c r="Q20" s="68">
        <f t="shared" si="8"/>
        <v>12635359.197920432</v>
      </c>
      <c r="R20" s="68">
        <f t="shared" si="8"/>
        <v>12888066.381878842</v>
      </c>
      <c r="S20" s="68">
        <f t="shared" si="8"/>
        <v>13145827.709516419</v>
      </c>
      <c r="T20" s="68">
        <f t="shared" si="8"/>
        <v>13408744.263706746</v>
      </c>
      <c r="U20" s="68">
        <f t="shared" si="8"/>
        <v>13676919.148980882</v>
      </c>
      <c r="V20" s="68">
        <f t="shared" si="8"/>
        <v>13950457.5319605</v>
      </c>
      <c r="W20" s="68">
        <f t="shared" si="8"/>
        <v>14229466.682599708</v>
      </c>
      <c r="X20" s="68">
        <f t="shared" si="8"/>
        <v>14514056.016251702</v>
      </c>
      <c r="Y20" s="68">
        <f t="shared" si="8"/>
        <v>14804337.136576736</v>
      </c>
      <c r="Z20" s="68">
        <f t="shared" si="8"/>
        <v>15100423.879308272</v>
      </c>
      <c r="AA20" s="68">
        <f t="shared" si="8"/>
        <v>15402432.356894435</v>
      </c>
      <c r="AB20" s="68">
        <f t="shared" si="8"/>
        <v>15710481.004032327</v>
      </c>
      <c r="AC20" s="68">
        <f t="shared" si="8"/>
        <v>16024690.624112973</v>
      </c>
      <c r="AD20" s="68">
        <f t="shared" si="8"/>
        <v>16345184.436595233</v>
      </c>
      <c r="AE20" s="68">
        <f t="shared" si="8"/>
        <v>16672088.125327136</v>
      </c>
      <c r="AF20" s="68">
        <f t="shared" si="8"/>
        <v>17005529.887833677</v>
      </c>
      <c r="AG20" s="227" t="s">
        <v>178</v>
      </c>
      <c r="AH20" s="240" t="s">
        <v>192</v>
      </c>
      <c r="AI20" s="152"/>
    </row>
    <row r="21" spans="1:35" x14ac:dyDescent="0.25">
      <c r="A21" t="s">
        <v>41</v>
      </c>
      <c r="B21" s="176">
        <v>0.2</v>
      </c>
      <c r="C21" s="173">
        <f t="shared" ref="C21:L21" si="9">-$B21*C20</f>
        <v>-750522.49200000009</v>
      </c>
      <c r="D21" s="173">
        <f t="shared" si="9"/>
        <v>-1096758.5218400001</v>
      </c>
      <c r="E21" s="69">
        <f t="shared" si="9"/>
        <v>-1280565.6922768001</v>
      </c>
      <c r="F21" s="296">
        <f t="shared" si="9"/>
        <v>-1359477.006122336</v>
      </c>
      <c r="G21" s="69">
        <f t="shared" si="9"/>
        <v>-1628636.5462447829</v>
      </c>
      <c r="H21" s="69">
        <f t="shared" si="9"/>
        <v>-1843133.2771696784</v>
      </c>
      <c r="I21" s="69">
        <f t="shared" si="9"/>
        <v>-2041989.9427130723</v>
      </c>
      <c r="J21" s="69">
        <f t="shared" si="9"/>
        <v>-2111279.7415673337</v>
      </c>
      <c r="K21" s="69">
        <f t="shared" si="9"/>
        <v>-2178757.3363986802</v>
      </c>
      <c r="L21" s="69">
        <f t="shared" si="9"/>
        <v>-2246132.4831266538</v>
      </c>
      <c r="M21" s="69">
        <f>-$B21*M20</f>
        <v>-2313055.1327891871</v>
      </c>
      <c r="N21" s="69">
        <f t="shared" ref="N21:AF21" si="10">-$B21*N20</f>
        <v>-2381316.2354449709</v>
      </c>
      <c r="O21" s="69">
        <f t="shared" si="10"/>
        <v>-2428942.5601538704</v>
      </c>
      <c r="P21" s="69">
        <f t="shared" si="10"/>
        <v>-2477521.4113569479</v>
      </c>
      <c r="Q21" s="69">
        <f t="shared" si="10"/>
        <v>-2527071.8395840866</v>
      </c>
      <c r="R21" s="69">
        <f t="shared" si="10"/>
        <v>-2577613.2763757687</v>
      </c>
      <c r="S21" s="69">
        <f t="shared" si="10"/>
        <v>-2629165.5419032839</v>
      </c>
      <c r="T21" s="69">
        <f t="shared" si="10"/>
        <v>-2681748.8527413495</v>
      </c>
      <c r="U21" s="69">
        <f t="shared" si="10"/>
        <v>-2735383.8297961764</v>
      </c>
      <c r="V21" s="69">
        <f t="shared" si="10"/>
        <v>-2790091.5063921004</v>
      </c>
      <c r="W21" s="69">
        <f t="shared" si="10"/>
        <v>-2845893.3365199417</v>
      </c>
      <c r="X21" s="69">
        <f t="shared" si="10"/>
        <v>-2902811.2032503407</v>
      </c>
      <c r="Y21" s="69">
        <f t="shared" si="10"/>
        <v>-2960867.4273153474</v>
      </c>
      <c r="Z21" s="69">
        <f t="shared" si="10"/>
        <v>-3020084.7758616544</v>
      </c>
      <c r="AA21" s="69">
        <f t="shared" si="10"/>
        <v>-3080486.4713788871</v>
      </c>
      <c r="AB21" s="69">
        <f t="shared" si="10"/>
        <v>-3142096.2008064655</v>
      </c>
      <c r="AC21" s="69">
        <f t="shared" si="10"/>
        <v>-3204938.1248225947</v>
      </c>
      <c r="AD21" s="69">
        <f t="shared" si="10"/>
        <v>-3269036.887319047</v>
      </c>
      <c r="AE21" s="69">
        <f t="shared" si="10"/>
        <v>-3334417.6250654273</v>
      </c>
      <c r="AF21" s="69">
        <f t="shared" si="10"/>
        <v>-3401105.9775667358</v>
      </c>
      <c r="AG21" s="231" t="s">
        <v>179</v>
      </c>
      <c r="AH21" s="241" t="s">
        <v>193</v>
      </c>
      <c r="AI21" s="152"/>
    </row>
    <row r="22" spans="1:35" x14ac:dyDescent="0.25">
      <c r="A22" s="1" t="s">
        <v>69</v>
      </c>
      <c r="B22" s="254"/>
      <c r="C22" s="204">
        <f>C20+C21</f>
        <v>3002089.9679999999</v>
      </c>
      <c r="D22" s="112">
        <f t="shared" ref="D22:AF22" si="11">D20+D21</f>
        <v>4387034.0873600002</v>
      </c>
      <c r="E22" s="71">
        <f t="shared" si="11"/>
        <v>5122262.7691071993</v>
      </c>
      <c r="F22" s="297">
        <f t="shared" si="11"/>
        <v>5437908.0244893441</v>
      </c>
      <c r="G22" s="71">
        <f t="shared" si="11"/>
        <v>6514546.1849791314</v>
      </c>
      <c r="H22" s="71">
        <f t="shared" si="11"/>
        <v>7372533.1086787134</v>
      </c>
      <c r="I22" s="71">
        <f t="shared" si="11"/>
        <v>8167959.7708522882</v>
      </c>
      <c r="J22" s="71">
        <f t="shared" si="11"/>
        <v>8445118.9662693329</v>
      </c>
      <c r="K22" s="71">
        <f t="shared" si="11"/>
        <v>8715029.3455947209</v>
      </c>
      <c r="L22" s="71">
        <f t="shared" si="11"/>
        <v>8984529.9325066153</v>
      </c>
      <c r="M22" s="71">
        <f t="shared" si="11"/>
        <v>9252220.5311567485</v>
      </c>
      <c r="N22" s="71">
        <f t="shared" si="11"/>
        <v>9525264.9417798836</v>
      </c>
      <c r="O22" s="71">
        <f t="shared" si="11"/>
        <v>9715770.2406154815</v>
      </c>
      <c r="P22" s="71">
        <f t="shared" si="11"/>
        <v>9910085.6454277895</v>
      </c>
      <c r="Q22" s="71">
        <f t="shared" si="11"/>
        <v>10108287.358336346</v>
      </c>
      <c r="R22" s="71">
        <f t="shared" si="11"/>
        <v>10310453.105503073</v>
      </c>
      <c r="S22" s="71">
        <f t="shared" si="11"/>
        <v>10516662.167613136</v>
      </c>
      <c r="T22" s="71">
        <f t="shared" si="11"/>
        <v>10726995.410965396</v>
      </c>
      <c r="U22" s="71">
        <f t="shared" si="11"/>
        <v>10941535.319184706</v>
      </c>
      <c r="V22" s="71">
        <f t="shared" si="11"/>
        <v>11160366.0255684</v>
      </c>
      <c r="W22" s="71">
        <f t="shared" si="11"/>
        <v>11383573.346079767</v>
      </c>
      <c r="X22" s="71">
        <f t="shared" si="11"/>
        <v>11611244.813001361</v>
      </c>
      <c r="Y22" s="71">
        <f t="shared" si="11"/>
        <v>11843469.709261389</v>
      </c>
      <c r="Z22" s="71">
        <f t="shared" si="11"/>
        <v>12080339.103446618</v>
      </c>
      <c r="AA22" s="71">
        <f t="shared" si="11"/>
        <v>12321945.885515548</v>
      </c>
      <c r="AB22" s="71">
        <f t="shared" si="11"/>
        <v>12568384.803225862</v>
      </c>
      <c r="AC22" s="71">
        <f t="shared" si="11"/>
        <v>12819752.499290379</v>
      </c>
      <c r="AD22" s="71">
        <f t="shared" si="11"/>
        <v>13076147.549276186</v>
      </c>
      <c r="AE22" s="71">
        <f t="shared" si="11"/>
        <v>13337670.500261709</v>
      </c>
      <c r="AF22" s="71">
        <f t="shared" si="11"/>
        <v>13604423.910266941</v>
      </c>
      <c r="AG22" s="227" t="s">
        <v>180</v>
      </c>
      <c r="AH22" s="238" t="s">
        <v>150</v>
      </c>
      <c r="AI22" s="152"/>
    </row>
    <row r="23" spans="1:35" ht="8.1" customHeight="1" x14ac:dyDescent="0.25">
      <c r="A23" s="1"/>
      <c r="B23" s="254"/>
      <c r="C23" s="82"/>
      <c r="D23" s="173"/>
      <c r="E23" s="69"/>
      <c r="F23" s="296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227"/>
      <c r="AH23" s="238"/>
      <c r="AI23" s="152"/>
    </row>
    <row r="24" spans="1:35" x14ac:dyDescent="0.25">
      <c r="A24" s="1" t="s">
        <v>222</v>
      </c>
      <c r="B24" s="255"/>
      <c r="C24" s="82"/>
      <c r="D24" s="173"/>
      <c r="E24" s="69"/>
      <c r="F24" s="296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227"/>
      <c r="AH24" s="240"/>
      <c r="AI24" s="152"/>
    </row>
    <row r="25" spans="1:35" x14ac:dyDescent="0.25">
      <c r="A25" s="19" t="s">
        <v>220</v>
      </c>
      <c r="B25" s="255">
        <v>0.25</v>
      </c>
      <c r="C25" s="82"/>
      <c r="D25" s="173"/>
      <c r="E25" s="69"/>
      <c r="F25" s="296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227"/>
      <c r="AH25" s="240"/>
      <c r="AI25" s="152"/>
    </row>
    <row r="26" spans="1:35" x14ac:dyDescent="0.25">
      <c r="A26" t="s">
        <v>218</v>
      </c>
      <c r="B26" s="255">
        <v>0.41253499999999999</v>
      </c>
      <c r="C26" s="82">
        <f>-$B$26*C$22*$B$25</f>
        <v>-309616.79623722</v>
      </c>
      <c r="D26" s="173">
        <f t="shared" ref="D26:L26" si="12">-$B$26*D$22*$B$25</f>
        <v>-452451.27680726442</v>
      </c>
      <c r="E26" s="69">
        <f t="shared" si="12"/>
        <v>-528278.16786340962</v>
      </c>
      <c r="F26" s="296">
        <f t="shared" si="12"/>
        <v>-560831.84672067792</v>
      </c>
      <c r="G26" s="68">
        <f t="shared" si="12"/>
        <v>-671869.5776050915</v>
      </c>
      <c r="H26" s="68">
        <f t="shared" si="12"/>
        <v>-760356.98649719323</v>
      </c>
      <c r="I26" s="68">
        <f t="shared" si="12"/>
        <v>-842392.32101713715</v>
      </c>
      <c r="J26" s="68">
        <f t="shared" si="12"/>
        <v>-870976.78818747983</v>
      </c>
      <c r="K26" s="68">
        <f t="shared" si="12"/>
        <v>-898813.65777122951</v>
      </c>
      <c r="L26" s="68">
        <f t="shared" si="12"/>
        <v>-926608.26392665412</v>
      </c>
      <c r="M26" s="68">
        <f>-$B$26*M$22*$B$25</f>
        <v>-954216.19920518727</v>
      </c>
      <c r="N26" s="68">
        <f t="shared" ref="N26:AF26" si="13">-$B$26*N$22*$B$25</f>
        <v>-982376.29318929103</v>
      </c>
      <c r="O26" s="68">
        <f t="shared" si="13"/>
        <v>-1002023.8190530769</v>
      </c>
      <c r="P26" s="68">
        <f t="shared" si="13"/>
        <v>-1022064.2954341383</v>
      </c>
      <c r="Q26" s="68">
        <f t="shared" si="13"/>
        <v>-1042505.5813428211</v>
      </c>
      <c r="R26" s="68">
        <f t="shared" si="13"/>
        <v>-1063355.6929696775</v>
      </c>
      <c r="S26" s="68">
        <f t="shared" si="13"/>
        <v>-1084622.8068290711</v>
      </c>
      <c r="T26" s="68">
        <f t="shared" si="13"/>
        <v>-1106315.2629656524</v>
      </c>
      <c r="U26" s="68">
        <f t="shared" si="13"/>
        <v>-1128441.5682249656</v>
      </c>
      <c r="V26" s="68">
        <f t="shared" si="13"/>
        <v>-1151010.399589465</v>
      </c>
      <c r="W26" s="68">
        <f t="shared" si="13"/>
        <v>-1174030.6075812541</v>
      </c>
      <c r="X26" s="68">
        <f t="shared" si="13"/>
        <v>-1197511.219732879</v>
      </c>
      <c r="Y26" s="68">
        <f t="shared" si="13"/>
        <v>-1221461.4441275368</v>
      </c>
      <c r="Z26" s="68">
        <f t="shared" si="13"/>
        <v>-1245890.6730100876</v>
      </c>
      <c r="AA26" s="68">
        <f t="shared" si="13"/>
        <v>-1270808.4864702891</v>
      </c>
      <c r="AB26" s="68">
        <f t="shared" si="13"/>
        <v>-1296224.6561996951</v>
      </c>
      <c r="AC26" s="68">
        <f t="shared" si="13"/>
        <v>-1322149.1493236891</v>
      </c>
      <c r="AD26" s="68">
        <f t="shared" si="13"/>
        <v>-1348592.1323101628</v>
      </c>
      <c r="AE26" s="68">
        <f t="shared" si="13"/>
        <v>-1375563.974956366</v>
      </c>
      <c r="AF26" s="68">
        <f t="shared" si="13"/>
        <v>-1403075.2544554931</v>
      </c>
      <c r="AG26" s="227" t="s">
        <v>224</v>
      </c>
      <c r="AH26" s="240" t="s">
        <v>256</v>
      </c>
      <c r="AI26" s="152"/>
    </row>
    <row r="27" spans="1:35" x14ac:dyDescent="0.25">
      <c r="A27" t="s">
        <v>219</v>
      </c>
      <c r="B27" s="255">
        <v>4.4551E-2</v>
      </c>
      <c r="C27" s="82">
        <f>-$B$27*C$22*$B$25</f>
        <v>-33436.527541092</v>
      </c>
      <c r="D27" s="173">
        <f t="shared" ref="D27:AF27" si="14">-$B$27*D$22*$B$25</f>
        <v>-48861.688906493844</v>
      </c>
      <c r="E27" s="69">
        <f t="shared" si="14"/>
        <v>-57050.482156623708</v>
      </c>
      <c r="F27" s="296">
        <f t="shared" si="14"/>
        <v>-60566.060099756192</v>
      </c>
      <c r="G27" s="68">
        <f t="shared" si="14"/>
        <v>-72557.38677175132</v>
      </c>
      <c r="H27" s="68">
        <f t="shared" si="14"/>
        <v>-82113.430631186347</v>
      </c>
      <c r="I27" s="68">
        <f t="shared" si="14"/>
        <v>-90972.69393781008</v>
      </c>
      <c r="J27" s="68">
        <f t="shared" si="14"/>
        <v>-94059.623766566263</v>
      </c>
      <c r="K27" s="68">
        <f t="shared" si="14"/>
        <v>-97065.8180938976</v>
      </c>
      <c r="L27" s="68">
        <f t="shared" si="14"/>
        <v>-100067.44825577555</v>
      </c>
      <c r="M27" s="68">
        <f t="shared" si="14"/>
        <v>-103048.91922089108</v>
      </c>
      <c r="N27" s="68">
        <f t="shared" si="14"/>
        <v>-106090.0196053089</v>
      </c>
      <c r="O27" s="68">
        <f t="shared" si="14"/>
        <v>-108211.81999741508</v>
      </c>
      <c r="P27" s="68">
        <f t="shared" si="14"/>
        <v>-110376.05639736337</v>
      </c>
      <c r="Q27" s="68">
        <f t="shared" si="14"/>
        <v>-112583.57752531064</v>
      </c>
      <c r="R27" s="68">
        <f t="shared" si="14"/>
        <v>-114835.24907581686</v>
      </c>
      <c r="S27" s="68">
        <f t="shared" si="14"/>
        <v>-117131.95405733321</v>
      </c>
      <c r="T27" s="68">
        <f t="shared" si="14"/>
        <v>-119474.59313847985</v>
      </c>
      <c r="U27" s="68">
        <f t="shared" si="14"/>
        <v>-121864.08500124946</v>
      </c>
      <c r="V27" s="68">
        <f t="shared" si="14"/>
        <v>-124301.36670127444</v>
      </c>
      <c r="W27" s="68">
        <f t="shared" si="14"/>
        <v>-126787.39403529992</v>
      </c>
      <c r="X27" s="68">
        <f t="shared" si="14"/>
        <v>-129323.1419160059</v>
      </c>
      <c r="Y27" s="68">
        <f t="shared" si="14"/>
        <v>-131909.60475432605</v>
      </c>
      <c r="Z27" s="68">
        <f t="shared" si="14"/>
        <v>-134547.79684941258</v>
      </c>
      <c r="AA27" s="68">
        <f t="shared" si="14"/>
        <v>-137238.75278640079</v>
      </c>
      <c r="AB27" s="68">
        <f t="shared" si="14"/>
        <v>-139983.52784212885</v>
      </c>
      <c r="AC27" s="68">
        <f t="shared" si="14"/>
        <v>-142783.19839897141</v>
      </c>
      <c r="AD27" s="68">
        <f t="shared" si="14"/>
        <v>-145638.86236695084</v>
      </c>
      <c r="AE27" s="68">
        <f t="shared" si="14"/>
        <v>-148551.63961428986</v>
      </c>
      <c r="AF27" s="68">
        <f t="shared" si="14"/>
        <v>-151522.67240657561</v>
      </c>
      <c r="AG27" s="227" t="s">
        <v>225</v>
      </c>
      <c r="AH27" s="240" t="s">
        <v>257</v>
      </c>
      <c r="AI27" s="152"/>
    </row>
    <row r="28" spans="1:35" ht="26.25" x14ac:dyDescent="0.25">
      <c r="A28" s="322" t="s">
        <v>234</v>
      </c>
      <c r="B28" s="255"/>
      <c r="C28" s="82">
        <f>(C20-(8009.1+2870848.25))*0.8</f>
        <v>699004.08799999999</v>
      </c>
      <c r="D28" s="173">
        <f t="shared" ref="D28:AF28" si="15">(D20-(8009.1+2870848.25))*0.8</f>
        <v>2083948.2073599999</v>
      </c>
      <c r="E28" s="69">
        <f t="shared" si="15"/>
        <v>2819176.8891071994</v>
      </c>
      <c r="F28" s="296">
        <f t="shared" si="15"/>
        <v>3134822.1444893442</v>
      </c>
      <c r="G28" s="68">
        <f t="shared" si="15"/>
        <v>4211460.3049791306</v>
      </c>
      <c r="H28" s="68">
        <f t="shared" si="15"/>
        <v>5069447.2286787145</v>
      </c>
      <c r="I28" s="68">
        <f t="shared" si="15"/>
        <v>5864873.8908522893</v>
      </c>
      <c r="J28" s="68">
        <f t="shared" si="15"/>
        <v>6142033.086269334</v>
      </c>
      <c r="K28" s="68">
        <f t="shared" si="15"/>
        <v>6411943.465594721</v>
      </c>
      <c r="L28" s="68">
        <f t="shared" si="15"/>
        <v>6681444.0525066154</v>
      </c>
      <c r="M28" s="68">
        <f t="shared" si="15"/>
        <v>6949134.6511567496</v>
      </c>
      <c r="N28" s="68">
        <f t="shared" si="15"/>
        <v>7222179.0617798837</v>
      </c>
      <c r="O28" s="68">
        <f t="shared" si="15"/>
        <v>7412684.3606154816</v>
      </c>
      <c r="P28" s="68">
        <f t="shared" si="15"/>
        <v>7606999.7654277906</v>
      </c>
      <c r="Q28" s="68">
        <f t="shared" si="15"/>
        <v>7805201.4783363463</v>
      </c>
      <c r="R28" s="68">
        <f t="shared" si="15"/>
        <v>8007367.225503074</v>
      </c>
      <c r="S28" s="68">
        <f t="shared" si="15"/>
        <v>8213576.2876131358</v>
      </c>
      <c r="T28" s="68">
        <f t="shared" si="15"/>
        <v>8423909.5309653971</v>
      </c>
      <c r="U28" s="68">
        <f t="shared" si="15"/>
        <v>8638449.4391847067</v>
      </c>
      <c r="V28" s="68">
        <f t="shared" si="15"/>
        <v>8857280.1455684006</v>
      </c>
      <c r="W28" s="68">
        <f t="shared" si="15"/>
        <v>9080487.4660797678</v>
      </c>
      <c r="X28" s="68">
        <f t="shared" si="15"/>
        <v>9308158.9330013618</v>
      </c>
      <c r="Y28" s="68">
        <f t="shared" si="15"/>
        <v>9540383.8292613905</v>
      </c>
      <c r="Z28" s="68">
        <f t="shared" si="15"/>
        <v>9777253.2234466188</v>
      </c>
      <c r="AA28" s="68">
        <f t="shared" si="15"/>
        <v>10018860.005515549</v>
      </c>
      <c r="AB28" s="68">
        <f t="shared" si="15"/>
        <v>10265298.923225863</v>
      </c>
      <c r="AC28" s="68">
        <f t="shared" si="15"/>
        <v>10516666.61929038</v>
      </c>
      <c r="AD28" s="68">
        <f t="shared" si="15"/>
        <v>10773061.669276187</v>
      </c>
      <c r="AE28" s="68">
        <f t="shared" si="15"/>
        <v>11034584.62026171</v>
      </c>
      <c r="AF28" s="68">
        <f t="shared" si="15"/>
        <v>11301338.030266942</v>
      </c>
      <c r="AG28" s="227" t="s">
        <v>296</v>
      </c>
      <c r="AH28" s="246" t="s">
        <v>261</v>
      </c>
      <c r="AI28" s="152"/>
    </row>
    <row r="29" spans="1:35" x14ac:dyDescent="0.25">
      <c r="A29" s="317" t="s">
        <v>221</v>
      </c>
      <c r="B29" s="255">
        <v>0.21</v>
      </c>
      <c r="C29" s="82"/>
      <c r="D29" s="173"/>
      <c r="E29" s="69"/>
      <c r="F29" s="296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227"/>
      <c r="AH29" s="240"/>
      <c r="AI29" s="152"/>
    </row>
    <row r="30" spans="1:35" x14ac:dyDescent="0.25">
      <c r="A30" s="316" t="s">
        <v>218</v>
      </c>
      <c r="B30" s="255">
        <f>B26</f>
        <v>0.41253499999999999</v>
      </c>
      <c r="C30" s="82">
        <f>-C28*$B$30*$B$29</f>
        <v>-60556.366803046796</v>
      </c>
      <c r="D30" s="173">
        <f t="shared" ref="D30:AF30" si="16">-D28*$B$30*$B$29</f>
        <v>-180537.33048188407</v>
      </c>
      <c r="E30" s="69">
        <f t="shared" si="16"/>
        <v>-244231.91896904609</v>
      </c>
      <c r="F30" s="296">
        <f t="shared" si="16"/>
        <v>-271577.00920915138</v>
      </c>
      <c r="G30" s="68">
        <f t="shared" si="16"/>
        <v>-364848.70315205876</v>
      </c>
      <c r="H30" s="68">
        <f t="shared" si="16"/>
        <v>-439178.1266214244</v>
      </c>
      <c r="I30" s="68">
        <f t="shared" si="16"/>
        <v>-508087.80761817726</v>
      </c>
      <c r="J30" s="68">
        <f t="shared" si="16"/>
        <v>-532098.76004126505</v>
      </c>
      <c r="K30" s="68">
        <f t="shared" si="16"/>
        <v>-555481.73049161478</v>
      </c>
      <c r="L30" s="68">
        <f t="shared" si="16"/>
        <v>-578829.19966217142</v>
      </c>
      <c r="M30" s="68">
        <f t="shared" si="16"/>
        <v>-602019.86529613938</v>
      </c>
      <c r="N30" s="68">
        <f t="shared" si="16"/>
        <v>-625674.34424278652</v>
      </c>
      <c r="O30" s="68">
        <f t="shared" si="16"/>
        <v>-642178.26596836653</v>
      </c>
      <c r="P30" s="68">
        <f t="shared" si="16"/>
        <v>-659012.2661284582</v>
      </c>
      <c r="Q30" s="68">
        <f t="shared" si="16"/>
        <v>-676182.94629175169</v>
      </c>
      <c r="R30" s="68">
        <f t="shared" si="16"/>
        <v>-693697.04005831119</v>
      </c>
      <c r="S30" s="68">
        <f t="shared" si="16"/>
        <v>-711561.41570020176</v>
      </c>
      <c r="T30" s="68">
        <f t="shared" si="16"/>
        <v>-729783.07885493001</v>
      </c>
      <c r="U30" s="68">
        <f t="shared" si="16"/>
        <v>-748369.17527275311</v>
      </c>
      <c r="V30" s="68">
        <f t="shared" si="16"/>
        <v>-767326.99361893255</v>
      </c>
      <c r="W30" s="68">
        <f t="shared" si="16"/>
        <v>-786663.96833203547</v>
      </c>
      <c r="X30" s="68">
        <f t="shared" si="16"/>
        <v>-806387.68253940041</v>
      </c>
      <c r="Y30" s="68">
        <f t="shared" si="16"/>
        <v>-826505.87103091297</v>
      </c>
      <c r="Z30" s="68">
        <f t="shared" si="16"/>
        <v>-847026.42329225561</v>
      </c>
      <c r="AA30" s="68">
        <f t="shared" si="16"/>
        <v>-867957.38659882499</v>
      </c>
      <c r="AB30" s="68">
        <f t="shared" si="16"/>
        <v>-889306.96917152603</v>
      </c>
      <c r="AC30" s="68">
        <f t="shared" si="16"/>
        <v>-911083.54339568096</v>
      </c>
      <c r="AD30" s="68">
        <f t="shared" si="16"/>
        <v>-933295.64910431881</v>
      </c>
      <c r="AE30" s="68">
        <f t="shared" si="16"/>
        <v>-955951.99692712957</v>
      </c>
      <c r="AF30" s="68">
        <f t="shared" si="16"/>
        <v>-979061.47170639632</v>
      </c>
      <c r="AG30" s="227" t="s">
        <v>226</v>
      </c>
      <c r="AH30" s="240" t="s">
        <v>306</v>
      </c>
      <c r="AI30" s="152"/>
    </row>
    <row r="31" spans="1:35" x14ac:dyDescent="0.25">
      <c r="A31" s="316" t="s">
        <v>219</v>
      </c>
      <c r="B31" s="255">
        <f>B27</f>
        <v>4.4551E-2</v>
      </c>
      <c r="C31" s="173">
        <f>-($B$29*$B$31*C28)</f>
        <v>-6539.6795361424793</v>
      </c>
      <c r="D31" s="173">
        <f t="shared" ref="D31:AF31" si="17">-($B$29*$B$31*D28)</f>
        <v>-19496.815083080022</v>
      </c>
      <c r="E31" s="69">
        <f t="shared" si="17"/>
        <v>-26375.401413189116</v>
      </c>
      <c r="F31" s="296">
        <f t="shared" si="17"/>
        <v>-29328.486885420403</v>
      </c>
      <c r="G31" s="69">
        <f t="shared" si="17"/>
        <v>-39401.2012898963</v>
      </c>
      <c r="H31" s="69">
        <f t="shared" si="17"/>
        <v>-47428.278131821731</v>
      </c>
      <c r="I31" s="69">
        <f t="shared" si="17"/>
        <v>-54870.059309385673</v>
      </c>
      <c r="J31" s="69">
        <f t="shared" si="17"/>
        <v>-57463.080365540867</v>
      </c>
      <c r="K31" s="69">
        <f t="shared" si="17"/>
        <v>-59988.283600499184</v>
      </c>
      <c r="L31" s="69">
        <f t="shared" si="17"/>
        <v>-62509.652936476668</v>
      </c>
      <c r="M31" s="69">
        <f t="shared" si="17"/>
        <v>-65014.088547173713</v>
      </c>
      <c r="N31" s="69">
        <f t="shared" si="17"/>
        <v>-67568.612870084675</v>
      </c>
      <c r="O31" s="69">
        <f t="shared" si="17"/>
        <v>-69350.925199453864</v>
      </c>
      <c r="P31" s="69">
        <f t="shared" si="17"/>
        <v>-71168.883775410432</v>
      </c>
      <c r="Q31" s="69">
        <f t="shared" si="17"/>
        <v>-73023.201522886142</v>
      </c>
      <c r="R31" s="69">
        <f t="shared" si="17"/>
        <v>-74914.605625311364</v>
      </c>
      <c r="S31" s="69">
        <f t="shared" si="17"/>
        <v>-76843.837809785095</v>
      </c>
      <c r="T31" s="69">
        <f t="shared" si="17"/>
        <v>-78811.654637948275</v>
      </c>
      <c r="U31" s="69">
        <f t="shared" si="17"/>
        <v>-80818.827802674743</v>
      </c>
      <c r="V31" s="69">
        <f t="shared" si="17"/>
        <v>-82866.144430695742</v>
      </c>
      <c r="W31" s="69">
        <f t="shared" si="17"/>
        <v>-84954.407391277142</v>
      </c>
      <c r="X31" s="69">
        <f t="shared" si="17"/>
        <v>-87084.435611070163</v>
      </c>
      <c r="Y31" s="69">
        <f t="shared" si="17"/>
        <v>-89257.064395259076</v>
      </c>
      <c r="Z31" s="69">
        <f t="shared" si="17"/>
        <v>-91473.145755131758</v>
      </c>
      <c r="AA31" s="69">
        <f t="shared" si="17"/>
        <v>-93733.548742201878</v>
      </c>
      <c r="AB31" s="69">
        <f t="shared" si="17"/>
        <v>-96039.159789013429</v>
      </c>
      <c r="AC31" s="69">
        <f t="shared" si="17"/>
        <v>-98390.883056761202</v>
      </c>
      <c r="AD31" s="69">
        <f t="shared" si="17"/>
        <v>-100789.64078986392</v>
      </c>
      <c r="AE31" s="69">
        <f t="shared" si="17"/>
        <v>-103236.37367762868</v>
      </c>
      <c r="AF31" s="69">
        <f t="shared" si="17"/>
        <v>-105732.04122314873</v>
      </c>
      <c r="AG31" s="227" t="s">
        <v>227</v>
      </c>
      <c r="AH31" s="240" t="s">
        <v>307</v>
      </c>
      <c r="AI31" s="152"/>
    </row>
    <row r="32" spans="1:35" ht="26.25" x14ac:dyDescent="0.25">
      <c r="A32" s="322" t="s">
        <v>293</v>
      </c>
      <c r="B32" s="255"/>
      <c r="C32" s="173">
        <v>0</v>
      </c>
      <c r="D32" s="173">
        <v>0</v>
      </c>
      <c r="E32" s="69">
        <v>0</v>
      </c>
      <c r="F32" s="296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>O22-$N$22</f>
        <v>190505.29883559793</v>
      </c>
      <c r="P32" s="69">
        <f t="shared" ref="P32:AF32" si="18">P22-$N$22</f>
        <v>384820.70364790596</v>
      </c>
      <c r="Q32" s="69">
        <f t="shared" si="18"/>
        <v>583022.41655646265</v>
      </c>
      <c r="R32" s="69">
        <f t="shared" si="18"/>
        <v>785188.16372318938</v>
      </c>
      <c r="S32" s="69">
        <f t="shared" si="18"/>
        <v>991397.22583325207</v>
      </c>
      <c r="T32" s="69">
        <f t="shared" si="18"/>
        <v>1201730.4691855125</v>
      </c>
      <c r="U32" s="69">
        <f t="shared" si="18"/>
        <v>1416270.377404822</v>
      </c>
      <c r="V32" s="69">
        <f t="shared" si="18"/>
        <v>1635101.083788516</v>
      </c>
      <c r="W32" s="69">
        <f t="shared" si="18"/>
        <v>1858308.4042998832</v>
      </c>
      <c r="X32" s="69">
        <f t="shared" si="18"/>
        <v>2085979.8712214772</v>
      </c>
      <c r="Y32" s="69">
        <f t="shared" si="18"/>
        <v>2318204.7674815059</v>
      </c>
      <c r="Z32" s="69">
        <f t="shared" si="18"/>
        <v>2555074.1616667341</v>
      </c>
      <c r="AA32" s="69">
        <f t="shared" si="18"/>
        <v>2796680.9437356647</v>
      </c>
      <c r="AB32" s="69">
        <f t="shared" si="18"/>
        <v>3043119.8614459783</v>
      </c>
      <c r="AC32" s="69">
        <f t="shared" si="18"/>
        <v>3294487.5575104952</v>
      </c>
      <c r="AD32" s="69">
        <f t="shared" si="18"/>
        <v>3550882.6074963026</v>
      </c>
      <c r="AE32" s="69">
        <f t="shared" si="18"/>
        <v>3812405.5584818255</v>
      </c>
      <c r="AF32" s="69">
        <f t="shared" si="18"/>
        <v>4079158.9684870578</v>
      </c>
      <c r="AG32" s="227" t="s">
        <v>297</v>
      </c>
      <c r="AH32" s="246" t="s">
        <v>261</v>
      </c>
      <c r="AI32" s="152"/>
    </row>
    <row r="33" spans="1:35" x14ac:dyDescent="0.25">
      <c r="A33" s="317" t="s">
        <v>221</v>
      </c>
      <c r="B33" s="255">
        <v>0.14000000000000001</v>
      </c>
      <c r="C33" s="82"/>
      <c r="D33" s="173"/>
      <c r="E33" s="69"/>
      <c r="F33" s="296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227"/>
      <c r="AH33" s="240"/>
      <c r="AI33" s="152"/>
    </row>
    <row r="34" spans="1:35" x14ac:dyDescent="0.25">
      <c r="A34" s="316" t="s">
        <v>218</v>
      </c>
      <c r="B34" s="255">
        <f>B30</f>
        <v>0.41253499999999999</v>
      </c>
      <c r="C34" s="82">
        <f>-C32*$B$30*$B$29</f>
        <v>0</v>
      </c>
      <c r="D34" s="173">
        <f t="shared" ref="D34:N34" si="19">-D32*$B$30*$B$29</f>
        <v>0</v>
      </c>
      <c r="E34" s="69">
        <f t="shared" si="19"/>
        <v>0</v>
      </c>
      <c r="F34" s="296">
        <f t="shared" si="19"/>
        <v>0</v>
      </c>
      <c r="G34" s="68">
        <f t="shared" si="19"/>
        <v>0</v>
      </c>
      <c r="H34" s="68">
        <f t="shared" si="19"/>
        <v>0</v>
      </c>
      <c r="I34" s="68">
        <f t="shared" si="19"/>
        <v>0</v>
      </c>
      <c r="J34" s="68">
        <f t="shared" si="19"/>
        <v>0</v>
      </c>
      <c r="K34" s="68">
        <f t="shared" si="19"/>
        <v>0</v>
      </c>
      <c r="L34" s="68">
        <f t="shared" si="19"/>
        <v>0</v>
      </c>
      <c r="M34" s="68">
        <f t="shared" si="19"/>
        <v>0</v>
      </c>
      <c r="N34" s="68">
        <f t="shared" si="19"/>
        <v>0</v>
      </c>
      <c r="O34" s="68">
        <f>-O32*$B$34*$B$33</f>
        <v>-11002.614483720075</v>
      </c>
      <c r="P34" s="68">
        <f t="shared" ref="P34:AF34" si="20">-P32*$B$34*$B$33</f>
        <v>-22225.281257114446</v>
      </c>
      <c r="Q34" s="68">
        <f>-Q32*$B$34*$B$33</f>
        <v>-33672.401365976846</v>
      </c>
      <c r="R34" s="68">
        <f t="shared" si="20"/>
        <v>-45348.463877016431</v>
      </c>
      <c r="S34" s="68">
        <f t="shared" si="20"/>
        <v>-57258.04763827689</v>
      </c>
      <c r="T34" s="68">
        <f t="shared" si="20"/>
        <v>-69405.82307476236</v>
      </c>
      <c r="U34" s="68">
        <f t="shared" si="20"/>
        <v>-81796.554019977761</v>
      </c>
      <c r="V34" s="68">
        <f t="shared" si="20"/>
        <v>-94435.099584097363</v>
      </c>
      <c r="W34" s="68">
        <f t="shared" si="20"/>
        <v>-107326.41605949933</v>
      </c>
      <c r="X34" s="68">
        <f t="shared" si="20"/>
        <v>-120475.55886440931</v>
      </c>
      <c r="Y34" s="68">
        <f t="shared" si="20"/>
        <v>-133887.68452541763</v>
      </c>
      <c r="Z34" s="68">
        <f t="shared" si="20"/>
        <v>-147568.05269964607</v>
      </c>
      <c r="AA34" s="68">
        <f t="shared" si="20"/>
        <v>-161522.02823735896</v>
      </c>
      <c r="AB34" s="68">
        <f t="shared" si="20"/>
        <v>-175755.08328582635</v>
      </c>
      <c r="AC34" s="68">
        <f t="shared" si="20"/>
        <v>-190272.79943526292</v>
      </c>
      <c r="AD34" s="68">
        <f t="shared" si="20"/>
        <v>-205080.86990768823</v>
      </c>
      <c r="AE34" s="68">
        <f t="shared" si="20"/>
        <v>-220185.101789562</v>
      </c>
      <c r="AF34" s="68">
        <f t="shared" si="20"/>
        <v>-235591.4183090732</v>
      </c>
      <c r="AG34" s="227" t="s">
        <v>284</v>
      </c>
      <c r="AH34" s="240" t="s">
        <v>308</v>
      </c>
      <c r="AI34" s="152"/>
    </row>
    <row r="35" spans="1:35" x14ac:dyDescent="0.25">
      <c r="A35" s="316" t="s">
        <v>219</v>
      </c>
      <c r="B35" s="256">
        <f>B31</f>
        <v>4.4551E-2</v>
      </c>
      <c r="C35" s="146">
        <f>-($B$29*$B$31*C32)</f>
        <v>0</v>
      </c>
      <c r="D35" s="146">
        <f t="shared" ref="D35:N35" si="21">-($B$29*$B$31*D32)</f>
        <v>0</v>
      </c>
      <c r="E35" s="69">
        <f t="shared" si="21"/>
        <v>0</v>
      </c>
      <c r="F35" s="294">
        <f t="shared" si="21"/>
        <v>0</v>
      </c>
      <c r="G35" s="56">
        <f t="shared" si="21"/>
        <v>0</v>
      </c>
      <c r="H35" s="56">
        <f t="shared" si="21"/>
        <v>0</v>
      </c>
      <c r="I35" s="56">
        <f t="shared" si="21"/>
        <v>0</v>
      </c>
      <c r="J35" s="56">
        <f t="shared" si="21"/>
        <v>0</v>
      </c>
      <c r="K35" s="56">
        <f t="shared" si="21"/>
        <v>0</v>
      </c>
      <c r="L35" s="56">
        <f t="shared" si="21"/>
        <v>0</v>
      </c>
      <c r="M35" s="56">
        <f t="shared" si="21"/>
        <v>0</v>
      </c>
      <c r="N35" s="56">
        <f t="shared" si="21"/>
        <v>0</v>
      </c>
      <c r="O35" s="56">
        <f>-($B$33*$B$35*O32)</f>
        <v>-1188.2082195794615</v>
      </c>
      <c r="P35" s="56">
        <f t="shared" ref="P35:AF35" si="22">-($B$33*$B$35*P32)</f>
        <v>-2400.1806035505001</v>
      </c>
      <c r="Q35" s="56">
        <f t="shared" si="22"/>
        <v>-3636.3924352009758</v>
      </c>
      <c r="R35" s="56">
        <f t="shared" si="22"/>
        <v>-4897.3285034844539</v>
      </c>
      <c r="S35" s="56">
        <f t="shared" si="22"/>
        <v>-6183.4832931336105</v>
      </c>
      <c r="T35" s="56">
        <f t="shared" si="22"/>
        <v>-7495.3611785757275</v>
      </c>
      <c r="U35" s="56">
        <f t="shared" si="22"/>
        <v>-8833.4766217267115</v>
      </c>
      <c r="V35" s="56">
        <f t="shared" si="22"/>
        <v>-10198.354373740705</v>
      </c>
      <c r="W35" s="56">
        <f t="shared" si="22"/>
        <v>-11590.529680794974</v>
      </c>
      <c r="X35" s="56">
        <f t="shared" si="22"/>
        <v>-13010.548493990325</v>
      </c>
      <c r="Y35" s="56">
        <f t="shared" si="22"/>
        <v>-14458.9676834496</v>
      </c>
      <c r="Z35" s="56">
        <f t="shared" si="22"/>
        <v>-15936.355256698056</v>
      </c>
      <c r="AA35" s="56">
        <f t="shared" si="22"/>
        <v>-17443.290581411464</v>
      </c>
      <c r="AB35" s="56">
        <f t="shared" si="22"/>
        <v>-18980.364612619171</v>
      </c>
      <c r="AC35" s="56">
        <f t="shared" si="22"/>
        <v>-20548.18012445101</v>
      </c>
      <c r="AD35" s="56">
        <f t="shared" si="22"/>
        <v>-22147.351946519491</v>
      </c>
      <c r="AE35" s="56">
        <f t="shared" si="22"/>
        <v>-23778.507205029335</v>
      </c>
      <c r="AF35" s="56">
        <f t="shared" si="22"/>
        <v>-25442.285568709369</v>
      </c>
      <c r="AG35" s="227" t="s">
        <v>285</v>
      </c>
      <c r="AH35" s="240" t="s">
        <v>309</v>
      </c>
      <c r="AI35" s="152"/>
    </row>
    <row r="36" spans="1:35" x14ac:dyDescent="0.25">
      <c r="A36" s="1" t="s">
        <v>223</v>
      </c>
      <c r="B36" s="266"/>
      <c r="C36" s="112">
        <f>C22+SUM(C26:C27)+SUM(C30:C31)+SUM(C34:C35)</f>
        <v>2591940.5978824985</v>
      </c>
      <c r="D36" s="112">
        <f t="shared" ref="D36:AF36" si="23">D22+SUM(D26:D27)+SUM(D30:D31)+SUM(D34:D35)</f>
        <v>3685686.9760812782</v>
      </c>
      <c r="E36" s="71">
        <f t="shared" si="23"/>
        <v>4266326.7987049306</v>
      </c>
      <c r="F36" s="297">
        <f t="shared" si="23"/>
        <v>4515604.6215743385</v>
      </c>
      <c r="G36" s="71">
        <f t="shared" si="23"/>
        <v>5365869.3161603343</v>
      </c>
      <c r="H36" s="71">
        <f t="shared" si="23"/>
        <v>6043456.2867970876</v>
      </c>
      <c r="I36" s="71">
        <f t="shared" si="23"/>
        <v>6671636.8889697781</v>
      </c>
      <c r="J36" s="71">
        <f t="shared" si="23"/>
        <v>6890520.7139084805</v>
      </c>
      <c r="K36" s="71">
        <f t="shared" si="23"/>
        <v>7103679.8556374796</v>
      </c>
      <c r="L36" s="71">
        <f t="shared" si="23"/>
        <v>7316515.3677255381</v>
      </c>
      <c r="M36" s="71">
        <f t="shared" si="23"/>
        <v>7527921.4588873563</v>
      </c>
      <c r="N36" s="134">
        <f>N22+SUM(N26:N27)+SUM(N30:N31)+SUM(N34:N35)</f>
        <v>7743555.6718724128</v>
      </c>
      <c r="O36" s="134">
        <f>O22+SUM(O26:O27)+SUM(O30:O31)+SUM(O34:O35)</f>
        <v>7881814.5876938691</v>
      </c>
      <c r="P36" s="134">
        <f>P22+SUM(P26:P27)+SUM(P30:P31)+SUM(P34:P35)</f>
        <v>8022838.6818317547</v>
      </c>
      <c r="Q36" s="134">
        <f>Q22+SUM(Q26:Q27)+SUM(Q30:Q31)+SUM(Q34:Q35)</f>
        <v>8166683.2578523979</v>
      </c>
      <c r="R36" s="134">
        <f t="shared" si="23"/>
        <v>8313404.7253934545</v>
      </c>
      <c r="S36" s="134">
        <f t="shared" si="23"/>
        <v>8463060.6222853325</v>
      </c>
      <c r="T36" s="134">
        <f t="shared" si="23"/>
        <v>8615709.6371150464</v>
      </c>
      <c r="U36" s="134">
        <f t="shared" si="23"/>
        <v>8771411.6322413571</v>
      </c>
      <c r="V36" s="134">
        <f t="shared" si="23"/>
        <v>8930227.6672701929</v>
      </c>
      <c r="W36" s="134">
        <f t="shared" si="23"/>
        <v>9092220.022999607</v>
      </c>
      <c r="X36" s="134">
        <f t="shared" si="23"/>
        <v>9257452.2258436047</v>
      </c>
      <c r="Y36" s="134">
        <f t="shared" si="23"/>
        <v>9425989.0727444887</v>
      </c>
      <c r="Z36" s="134">
        <f t="shared" si="23"/>
        <v>9597896.6565833855</v>
      </c>
      <c r="AA36" s="134">
        <f t="shared" si="23"/>
        <v>9773242.392099062</v>
      </c>
      <c r="AB36" s="134">
        <f t="shared" si="23"/>
        <v>9952095.0423250534</v>
      </c>
      <c r="AC36" s="134">
        <f t="shared" si="23"/>
        <v>10134524.745555561</v>
      </c>
      <c r="AD36" s="134">
        <f t="shared" si="23"/>
        <v>10320603.042850683</v>
      </c>
      <c r="AE36" s="134">
        <f t="shared" si="23"/>
        <v>10510402.906091705</v>
      </c>
      <c r="AF36" s="134">
        <f t="shared" si="23"/>
        <v>10703998.766597545</v>
      </c>
      <c r="AG36" s="227" t="s">
        <v>182</v>
      </c>
      <c r="AH36" s="240" t="s">
        <v>230</v>
      </c>
      <c r="AI36" s="152"/>
    </row>
    <row r="37" spans="1:35" ht="8.1" customHeight="1" x14ac:dyDescent="0.25">
      <c r="A37" s="1"/>
      <c r="B37" s="152"/>
      <c r="C37" s="114"/>
      <c r="D37" s="145"/>
      <c r="E37" s="134"/>
      <c r="F37" s="298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227"/>
      <c r="AH37" s="238"/>
      <c r="AI37" s="152"/>
    </row>
    <row r="38" spans="1:35" x14ac:dyDescent="0.25">
      <c r="A38" s="193" t="s">
        <v>167</v>
      </c>
      <c r="B38" s="194"/>
      <c r="C38" s="195"/>
      <c r="D38" s="300"/>
      <c r="E38" s="300"/>
      <c r="F38" s="212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227"/>
      <c r="AH38" s="238"/>
      <c r="AI38" s="152"/>
    </row>
    <row r="39" spans="1:35" ht="15" customHeight="1" x14ac:dyDescent="0.25">
      <c r="A39" s="179" t="s">
        <v>157</v>
      </c>
      <c r="B39" s="180">
        <v>0.25</v>
      </c>
      <c r="C39" s="181">
        <f>$B$39*C$36</f>
        <v>647985.14947062463</v>
      </c>
      <c r="D39" s="181">
        <f t="shared" ref="D39:AF39" si="24">$B$39*D$36</f>
        <v>921421.74402031954</v>
      </c>
      <c r="E39" s="181">
        <f t="shared" si="24"/>
        <v>1066581.6996762326</v>
      </c>
      <c r="F39" s="213">
        <f t="shared" si="24"/>
        <v>1128901.1553935846</v>
      </c>
      <c r="G39" s="181">
        <f t="shared" si="24"/>
        <v>1341467.3290400836</v>
      </c>
      <c r="H39" s="181">
        <f t="shared" si="24"/>
        <v>1510864.0716992719</v>
      </c>
      <c r="I39" s="181">
        <f t="shared" si="24"/>
        <v>1667909.2222424445</v>
      </c>
      <c r="J39" s="181">
        <f t="shared" si="24"/>
        <v>1722630.1784771201</v>
      </c>
      <c r="K39" s="181">
        <f t="shared" si="24"/>
        <v>1775919.9639093699</v>
      </c>
      <c r="L39" s="181">
        <f t="shared" si="24"/>
        <v>1829128.8419313845</v>
      </c>
      <c r="M39" s="181">
        <f t="shared" si="24"/>
        <v>1881980.3647218391</v>
      </c>
      <c r="N39" s="181">
        <f t="shared" si="24"/>
        <v>1935888.9179681032</v>
      </c>
      <c r="O39" s="181">
        <f t="shared" si="24"/>
        <v>1970453.6469234673</v>
      </c>
      <c r="P39" s="181">
        <f t="shared" si="24"/>
        <v>2005709.6704579387</v>
      </c>
      <c r="Q39" s="181">
        <f t="shared" si="24"/>
        <v>2041670.8144630995</v>
      </c>
      <c r="R39" s="181">
        <f t="shared" si="24"/>
        <v>2078351.1813483636</v>
      </c>
      <c r="S39" s="181">
        <f t="shared" si="24"/>
        <v>2115765.1555713331</v>
      </c>
      <c r="T39" s="181">
        <f t="shared" si="24"/>
        <v>2153927.4092787616</v>
      </c>
      <c r="U39" s="181">
        <f t="shared" si="24"/>
        <v>2192852.9080603393</v>
      </c>
      <c r="V39" s="181">
        <f t="shared" si="24"/>
        <v>2232556.9168175482</v>
      </c>
      <c r="W39" s="181">
        <f t="shared" si="24"/>
        <v>2273055.0057499018</v>
      </c>
      <c r="X39" s="181">
        <f t="shared" si="24"/>
        <v>2314363.0564609012</v>
      </c>
      <c r="Y39" s="181">
        <f t="shared" si="24"/>
        <v>2356497.2681861222</v>
      </c>
      <c r="Z39" s="181">
        <f t="shared" si="24"/>
        <v>2399474.1641458464</v>
      </c>
      <c r="AA39" s="181">
        <f t="shared" si="24"/>
        <v>2443310.5980247655</v>
      </c>
      <c r="AB39" s="181">
        <f t="shared" si="24"/>
        <v>2488023.7605812633</v>
      </c>
      <c r="AC39" s="181">
        <f t="shared" si="24"/>
        <v>2533631.1863888903</v>
      </c>
      <c r="AD39" s="181">
        <f t="shared" si="24"/>
        <v>2580150.7607126706</v>
      </c>
      <c r="AE39" s="181">
        <f t="shared" si="24"/>
        <v>2627600.7265229262</v>
      </c>
      <c r="AF39" s="181">
        <f t="shared" si="24"/>
        <v>2675999.6916493862</v>
      </c>
      <c r="AG39" s="232"/>
      <c r="AH39" s="242" t="s">
        <v>169</v>
      </c>
      <c r="AI39" s="124"/>
    </row>
    <row r="40" spans="1:35" ht="15" customHeight="1" x14ac:dyDescent="0.25">
      <c r="A40" s="179" t="s">
        <v>156</v>
      </c>
      <c r="B40" s="182">
        <v>0.05</v>
      </c>
      <c r="C40" s="181">
        <f>B40*C$36</f>
        <v>129597.02989412493</v>
      </c>
      <c r="D40" s="181">
        <f>B40*D$36</f>
        <v>184284.34880406392</v>
      </c>
      <c r="E40" s="181">
        <f>$B$40*E36</f>
        <v>213316.33993524653</v>
      </c>
      <c r="F40" s="213">
        <f t="shared" ref="F40:AF40" si="25">$B$40*F36</f>
        <v>225780.23107871693</v>
      </c>
      <c r="G40" s="181">
        <f t="shared" si="25"/>
        <v>268293.46580801671</v>
      </c>
      <c r="H40" s="181">
        <f t="shared" si="25"/>
        <v>302172.81433985441</v>
      </c>
      <c r="I40" s="181">
        <f t="shared" si="25"/>
        <v>333581.8444484889</v>
      </c>
      <c r="J40" s="181">
        <f t="shared" si="25"/>
        <v>344526.03569542407</v>
      </c>
      <c r="K40" s="181">
        <f t="shared" si="25"/>
        <v>355183.99278187403</v>
      </c>
      <c r="L40" s="181">
        <f t="shared" si="25"/>
        <v>365825.7683862769</v>
      </c>
      <c r="M40" s="181">
        <f t="shared" si="25"/>
        <v>376396.07294436783</v>
      </c>
      <c r="N40" s="181">
        <f t="shared" si="25"/>
        <v>387177.78359362064</v>
      </c>
      <c r="O40" s="181">
        <f t="shared" si="25"/>
        <v>394090.72938469349</v>
      </c>
      <c r="P40" s="181">
        <f t="shared" si="25"/>
        <v>401141.93409158778</v>
      </c>
      <c r="Q40" s="181">
        <f t="shared" si="25"/>
        <v>408334.1628926199</v>
      </c>
      <c r="R40" s="181">
        <f t="shared" si="25"/>
        <v>415670.23626967275</v>
      </c>
      <c r="S40" s="181">
        <f t="shared" si="25"/>
        <v>423153.03111426666</v>
      </c>
      <c r="T40" s="181">
        <f t="shared" si="25"/>
        <v>430785.48185575235</v>
      </c>
      <c r="U40" s="181">
        <f t="shared" si="25"/>
        <v>438570.58161206788</v>
      </c>
      <c r="V40" s="181">
        <f t="shared" si="25"/>
        <v>446511.38336350967</v>
      </c>
      <c r="W40" s="181">
        <f t="shared" si="25"/>
        <v>454611.00114998035</v>
      </c>
      <c r="X40" s="181">
        <f t="shared" si="25"/>
        <v>462872.61129218026</v>
      </c>
      <c r="Y40" s="181">
        <f t="shared" si="25"/>
        <v>471299.45363722445</v>
      </c>
      <c r="Z40" s="181">
        <f t="shared" si="25"/>
        <v>479894.83282916929</v>
      </c>
      <c r="AA40" s="181">
        <f t="shared" si="25"/>
        <v>488662.1196049531</v>
      </c>
      <c r="AB40" s="181">
        <f t="shared" si="25"/>
        <v>497604.75211625267</v>
      </c>
      <c r="AC40" s="181">
        <f t="shared" si="25"/>
        <v>506726.2372777781</v>
      </c>
      <c r="AD40" s="181">
        <f t="shared" si="25"/>
        <v>516030.15214253415</v>
      </c>
      <c r="AE40" s="181">
        <f t="shared" si="25"/>
        <v>525520.14530458522</v>
      </c>
      <c r="AF40" s="181">
        <f t="shared" si="25"/>
        <v>535199.93832987722</v>
      </c>
      <c r="AG40" s="233"/>
      <c r="AH40" s="243" t="s">
        <v>170</v>
      </c>
      <c r="AI40" s="152"/>
    </row>
    <row r="41" spans="1:35" ht="15" customHeight="1" x14ac:dyDescent="0.25">
      <c r="A41" s="179" t="s">
        <v>58</v>
      </c>
      <c r="B41" s="182">
        <v>0.35</v>
      </c>
      <c r="C41" s="181">
        <f>B41*C$36</f>
        <v>907179.20925887441</v>
      </c>
      <c r="D41" s="181">
        <f>B41*(D$36)</f>
        <v>1289990.4416284473</v>
      </c>
      <c r="E41" s="181">
        <f>$B$41*(E36)</f>
        <v>1493214.3795467257</v>
      </c>
      <c r="F41" s="213">
        <f t="shared" ref="F41:AF41" si="26">$B$41*(F36)</f>
        <v>1580461.6175510185</v>
      </c>
      <c r="G41" s="181">
        <f t="shared" si="26"/>
        <v>1878054.2606561168</v>
      </c>
      <c r="H41" s="181">
        <f t="shared" si="26"/>
        <v>2115209.7003789805</v>
      </c>
      <c r="I41" s="181">
        <f t="shared" si="26"/>
        <v>2335072.9111394221</v>
      </c>
      <c r="J41" s="181">
        <f t="shared" si="26"/>
        <v>2411682.2498679678</v>
      </c>
      <c r="K41" s="181">
        <f t="shared" si="26"/>
        <v>2486287.9494731175</v>
      </c>
      <c r="L41" s="181">
        <f t="shared" si="26"/>
        <v>2560780.3787039383</v>
      </c>
      <c r="M41" s="181">
        <f t="shared" si="26"/>
        <v>2634772.5106105744</v>
      </c>
      <c r="N41" s="181">
        <f t="shared" si="26"/>
        <v>2710244.4851553445</v>
      </c>
      <c r="O41" s="181">
        <f t="shared" si="26"/>
        <v>2758635.1056928542</v>
      </c>
      <c r="P41" s="181">
        <f t="shared" si="26"/>
        <v>2807993.5386411138</v>
      </c>
      <c r="Q41" s="181">
        <f t="shared" si="26"/>
        <v>2858339.1402483392</v>
      </c>
      <c r="R41" s="181">
        <f t="shared" si="26"/>
        <v>2909691.6538877091</v>
      </c>
      <c r="S41" s="181">
        <f t="shared" si="26"/>
        <v>2962071.2177998661</v>
      </c>
      <c r="T41" s="181">
        <f t="shared" si="26"/>
        <v>3015498.372990266</v>
      </c>
      <c r="U41" s="181">
        <f t="shared" si="26"/>
        <v>3069994.0712844748</v>
      </c>
      <c r="V41" s="181">
        <f t="shared" si="26"/>
        <v>3125579.6835445673</v>
      </c>
      <c r="W41" s="181">
        <f t="shared" si="26"/>
        <v>3182277.0080498625</v>
      </c>
      <c r="X41" s="181">
        <f t="shared" si="26"/>
        <v>3240108.2790452614</v>
      </c>
      <c r="Y41" s="181">
        <f t="shared" si="26"/>
        <v>3299096.175460571</v>
      </c>
      <c r="Z41" s="181">
        <f t="shared" si="26"/>
        <v>3359263.8298041848</v>
      </c>
      <c r="AA41" s="181">
        <f t="shared" si="26"/>
        <v>3420634.8372346717</v>
      </c>
      <c r="AB41" s="181">
        <f t="shared" si="26"/>
        <v>3483233.2648137687</v>
      </c>
      <c r="AC41" s="181">
        <f t="shared" si="26"/>
        <v>3547083.660944446</v>
      </c>
      <c r="AD41" s="181">
        <f t="shared" si="26"/>
        <v>3612211.0649977387</v>
      </c>
      <c r="AE41" s="181">
        <f t="shared" si="26"/>
        <v>3678641.0171320965</v>
      </c>
      <c r="AF41" s="181">
        <f t="shared" si="26"/>
        <v>3746399.5683091404</v>
      </c>
      <c r="AG41" s="335"/>
      <c r="AH41" s="240" t="s">
        <v>171</v>
      </c>
      <c r="AI41" s="152"/>
    </row>
    <row r="42" spans="1:35" x14ac:dyDescent="0.25">
      <c r="A42" s="179" t="s">
        <v>165</v>
      </c>
      <c r="B42" s="183">
        <v>0.35</v>
      </c>
      <c r="C42" s="181">
        <f>B42*C36</f>
        <v>907179.20925887441</v>
      </c>
      <c r="D42" s="181">
        <f>B42*D36</f>
        <v>1289990.4416284473</v>
      </c>
      <c r="E42" s="181">
        <f>$B$42*E36</f>
        <v>1493214.3795467257</v>
      </c>
      <c r="F42" s="213">
        <f t="shared" ref="F42:AF42" si="27">$B$42*F36</f>
        <v>1580461.6175510185</v>
      </c>
      <c r="G42" s="181">
        <f t="shared" si="27"/>
        <v>1878054.2606561168</v>
      </c>
      <c r="H42" s="181">
        <f t="shared" si="27"/>
        <v>2115209.7003789805</v>
      </c>
      <c r="I42" s="181">
        <f t="shared" si="27"/>
        <v>2335072.9111394221</v>
      </c>
      <c r="J42" s="181">
        <f t="shared" si="27"/>
        <v>2411682.2498679678</v>
      </c>
      <c r="K42" s="181">
        <f t="shared" si="27"/>
        <v>2486287.9494731175</v>
      </c>
      <c r="L42" s="181">
        <f t="shared" si="27"/>
        <v>2560780.3787039383</v>
      </c>
      <c r="M42" s="181">
        <f t="shared" si="27"/>
        <v>2634772.5106105744</v>
      </c>
      <c r="N42" s="181">
        <f t="shared" si="27"/>
        <v>2710244.4851553445</v>
      </c>
      <c r="O42" s="181">
        <f t="shared" si="27"/>
        <v>2758635.1056928542</v>
      </c>
      <c r="P42" s="181">
        <f t="shared" si="27"/>
        <v>2807993.5386411138</v>
      </c>
      <c r="Q42" s="181">
        <f t="shared" si="27"/>
        <v>2858339.1402483392</v>
      </c>
      <c r="R42" s="181">
        <f t="shared" si="27"/>
        <v>2909691.6538877091</v>
      </c>
      <c r="S42" s="181">
        <f t="shared" si="27"/>
        <v>2962071.2177998661</v>
      </c>
      <c r="T42" s="181">
        <f t="shared" si="27"/>
        <v>3015498.372990266</v>
      </c>
      <c r="U42" s="181">
        <f t="shared" si="27"/>
        <v>3069994.0712844748</v>
      </c>
      <c r="V42" s="181">
        <f t="shared" si="27"/>
        <v>3125579.6835445673</v>
      </c>
      <c r="W42" s="181">
        <f t="shared" si="27"/>
        <v>3182277.0080498625</v>
      </c>
      <c r="X42" s="181">
        <f t="shared" si="27"/>
        <v>3240108.2790452614</v>
      </c>
      <c r="Y42" s="181">
        <f t="shared" si="27"/>
        <v>3299096.175460571</v>
      </c>
      <c r="Z42" s="181">
        <f t="shared" si="27"/>
        <v>3359263.8298041848</v>
      </c>
      <c r="AA42" s="181">
        <f t="shared" si="27"/>
        <v>3420634.8372346717</v>
      </c>
      <c r="AB42" s="181">
        <f t="shared" si="27"/>
        <v>3483233.2648137687</v>
      </c>
      <c r="AC42" s="181">
        <f t="shared" si="27"/>
        <v>3547083.660944446</v>
      </c>
      <c r="AD42" s="181">
        <f t="shared" si="27"/>
        <v>3612211.0649977387</v>
      </c>
      <c r="AE42" s="181">
        <f t="shared" si="27"/>
        <v>3678641.0171320965</v>
      </c>
      <c r="AF42" s="181">
        <f t="shared" si="27"/>
        <v>3746399.5683091404</v>
      </c>
      <c r="AG42" s="335" t="s">
        <v>164</v>
      </c>
      <c r="AH42" s="240" t="s">
        <v>194</v>
      </c>
      <c r="AI42" s="152"/>
    </row>
    <row r="43" spans="1:35" x14ac:dyDescent="0.25">
      <c r="A43" s="197" t="s">
        <v>158</v>
      </c>
      <c r="B43" s="196">
        <f>SUM(B39:B42)</f>
        <v>0.99999999999999989</v>
      </c>
      <c r="C43" s="191">
        <f>SUM(C39:C42)</f>
        <v>2591940.5978824985</v>
      </c>
      <c r="D43" s="191">
        <f t="shared" ref="D43:AF43" si="28">SUM(D39:D42)</f>
        <v>3685686.9760812777</v>
      </c>
      <c r="E43" s="191">
        <f t="shared" si="28"/>
        <v>4266326.7987049306</v>
      </c>
      <c r="F43" s="214">
        <f t="shared" si="28"/>
        <v>4515604.6215743385</v>
      </c>
      <c r="G43" s="191">
        <f t="shared" si="28"/>
        <v>5365869.3161603333</v>
      </c>
      <c r="H43" s="191">
        <f t="shared" si="28"/>
        <v>6043456.2867970876</v>
      </c>
      <c r="I43" s="191">
        <f t="shared" si="28"/>
        <v>6671636.8889697781</v>
      </c>
      <c r="J43" s="191">
        <f t="shared" si="28"/>
        <v>6890520.7139084805</v>
      </c>
      <c r="K43" s="191">
        <f t="shared" si="28"/>
        <v>7103679.8556374786</v>
      </c>
      <c r="L43" s="191">
        <f t="shared" si="28"/>
        <v>7316515.3677255381</v>
      </c>
      <c r="M43" s="191">
        <f t="shared" si="28"/>
        <v>7527921.4588873554</v>
      </c>
      <c r="N43" s="191">
        <f t="shared" si="28"/>
        <v>7743555.6718724128</v>
      </c>
      <c r="O43" s="191">
        <f t="shared" si="28"/>
        <v>7881814.5876938691</v>
      </c>
      <c r="P43" s="191">
        <f t="shared" si="28"/>
        <v>8022838.6818317538</v>
      </c>
      <c r="Q43" s="191">
        <f t="shared" si="28"/>
        <v>8166683.2578523979</v>
      </c>
      <c r="R43" s="191">
        <f t="shared" si="28"/>
        <v>8313404.7253934555</v>
      </c>
      <c r="S43" s="191">
        <f t="shared" si="28"/>
        <v>8463060.6222853325</v>
      </c>
      <c r="T43" s="191">
        <f t="shared" si="28"/>
        <v>8615709.6371150464</v>
      </c>
      <c r="U43" s="191">
        <f t="shared" si="28"/>
        <v>8771411.6322413571</v>
      </c>
      <c r="V43" s="191">
        <f t="shared" si="28"/>
        <v>8930227.6672701929</v>
      </c>
      <c r="W43" s="191">
        <f t="shared" si="28"/>
        <v>9092220.022999607</v>
      </c>
      <c r="X43" s="191">
        <f t="shared" si="28"/>
        <v>9257452.2258436047</v>
      </c>
      <c r="Y43" s="191">
        <f t="shared" si="28"/>
        <v>9425989.0727444887</v>
      </c>
      <c r="Z43" s="191">
        <f t="shared" si="28"/>
        <v>9597896.6565833855</v>
      </c>
      <c r="AA43" s="191">
        <f t="shared" si="28"/>
        <v>9773242.392099062</v>
      </c>
      <c r="AB43" s="191">
        <f t="shared" si="28"/>
        <v>9952095.0423250534</v>
      </c>
      <c r="AC43" s="191">
        <f t="shared" si="28"/>
        <v>10134524.745555561</v>
      </c>
      <c r="AD43" s="191">
        <f t="shared" si="28"/>
        <v>10320603.042850683</v>
      </c>
      <c r="AE43" s="191">
        <f t="shared" si="28"/>
        <v>10510402.906091705</v>
      </c>
      <c r="AF43" s="191">
        <f t="shared" si="28"/>
        <v>10703998.766597543</v>
      </c>
      <c r="AG43" s="227"/>
      <c r="AH43" s="238"/>
      <c r="AI43" s="152"/>
    </row>
    <row r="44" spans="1:35" ht="8.1" customHeight="1" x14ac:dyDescent="0.25">
      <c r="A44" s="141"/>
      <c r="B44" s="174"/>
      <c r="C44" s="136"/>
      <c r="D44" s="136"/>
      <c r="E44" s="136"/>
      <c r="F44" s="205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227"/>
      <c r="AH44" s="238"/>
      <c r="AI44" s="152"/>
    </row>
    <row r="45" spans="1:35" x14ac:dyDescent="0.25">
      <c r="A45" s="184" t="s">
        <v>159</v>
      </c>
      <c r="B45" s="439" t="s">
        <v>200</v>
      </c>
      <c r="C45" s="185"/>
      <c r="D45" s="185"/>
      <c r="E45" s="185"/>
      <c r="F45" s="21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227"/>
      <c r="AH45" s="238"/>
      <c r="AI45" s="152"/>
    </row>
    <row r="46" spans="1:35" x14ac:dyDescent="0.25">
      <c r="A46" s="186" t="s">
        <v>165</v>
      </c>
      <c r="B46" s="439"/>
      <c r="C46" s="185">
        <f>C42</f>
        <v>907179.20925887441</v>
      </c>
      <c r="D46" s="185">
        <f t="shared" ref="D46:AF46" si="29">D42</f>
        <v>1289990.4416284473</v>
      </c>
      <c r="E46" s="185">
        <f t="shared" si="29"/>
        <v>1493214.3795467257</v>
      </c>
      <c r="F46" s="215">
        <f t="shared" si="29"/>
        <v>1580461.6175510185</v>
      </c>
      <c r="G46" s="185">
        <f t="shared" si="29"/>
        <v>1878054.2606561168</v>
      </c>
      <c r="H46" s="185">
        <f t="shared" si="29"/>
        <v>2115209.7003789805</v>
      </c>
      <c r="I46" s="185">
        <f t="shared" si="29"/>
        <v>2335072.9111394221</v>
      </c>
      <c r="J46" s="185">
        <f t="shared" si="29"/>
        <v>2411682.2498679678</v>
      </c>
      <c r="K46" s="185">
        <f t="shared" si="29"/>
        <v>2486287.9494731175</v>
      </c>
      <c r="L46" s="185">
        <f t="shared" si="29"/>
        <v>2560780.3787039383</v>
      </c>
      <c r="M46" s="185">
        <f t="shared" si="29"/>
        <v>2634772.5106105744</v>
      </c>
      <c r="N46" s="185">
        <f t="shared" si="29"/>
        <v>2710244.4851553445</v>
      </c>
      <c r="O46" s="185">
        <f t="shared" si="29"/>
        <v>2758635.1056928542</v>
      </c>
      <c r="P46" s="185">
        <f t="shared" si="29"/>
        <v>2807993.5386411138</v>
      </c>
      <c r="Q46" s="185">
        <f t="shared" si="29"/>
        <v>2858339.1402483392</v>
      </c>
      <c r="R46" s="185">
        <f t="shared" si="29"/>
        <v>2909691.6538877091</v>
      </c>
      <c r="S46" s="185">
        <f t="shared" si="29"/>
        <v>2962071.2177998661</v>
      </c>
      <c r="T46" s="185">
        <f t="shared" si="29"/>
        <v>3015498.372990266</v>
      </c>
      <c r="U46" s="185">
        <f t="shared" si="29"/>
        <v>3069994.0712844748</v>
      </c>
      <c r="V46" s="185">
        <f t="shared" si="29"/>
        <v>3125579.6835445673</v>
      </c>
      <c r="W46" s="185">
        <f t="shared" si="29"/>
        <v>3182277.0080498625</v>
      </c>
      <c r="X46" s="185">
        <f>X42</f>
        <v>3240108.2790452614</v>
      </c>
      <c r="Y46" s="185">
        <f t="shared" si="29"/>
        <v>3299096.175460571</v>
      </c>
      <c r="Z46" s="185">
        <f t="shared" si="29"/>
        <v>3359263.8298041848</v>
      </c>
      <c r="AA46" s="185">
        <f t="shared" si="29"/>
        <v>3420634.8372346717</v>
      </c>
      <c r="AB46" s="185">
        <f t="shared" si="29"/>
        <v>3483233.2648137687</v>
      </c>
      <c r="AC46" s="185">
        <f t="shared" si="29"/>
        <v>3547083.660944446</v>
      </c>
      <c r="AD46" s="185">
        <f t="shared" si="29"/>
        <v>3612211.0649977387</v>
      </c>
      <c r="AE46" s="185">
        <f t="shared" si="29"/>
        <v>3678641.0171320965</v>
      </c>
      <c r="AF46" s="185">
        <f t="shared" si="29"/>
        <v>3746399.5683091404</v>
      </c>
      <c r="AG46" s="227" t="s">
        <v>164</v>
      </c>
      <c r="AH46" s="238" t="s">
        <v>164</v>
      </c>
      <c r="AI46" s="152"/>
    </row>
    <row r="47" spans="1:35" x14ac:dyDescent="0.25">
      <c r="A47" s="186" t="str">
        <f>CONCATENATE("Less: 10% of Incremental FORA Share after 7/1/2012 (goes to ",A4,")")</f>
        <v>Less: 10% of Incremental FORA Share after 7/1/2012 (goes to Seaside)</v>
      </c>
      <c r="B47" s="263">
        <v>391585.68236800004</v>
      </c>
      <c r="C47" s="185">
        <f t="shared" ref="C47:AF47" si="30">IF(C46&gt;0,-(0.1*(C46-$B$47)),0)</f>
        <v>-51559.352689087442</v>
      </c>
      <c r="D47" s="185">
        <f t="shared" si="30"/>
        <v>-89840.475926044732</v>
      </c>
      <c r="E47" s="185">
        <f t="shared" si="30"/>
        <v>-110162.86971787257</v>
      </c>
      <c r="F47" s="215">
        <f t="shared" si="30"/>
        <v>-118887.59351830184</v>
      </c>
      <c r="G47" s="185">
        <f t="shared" si="30"/>
        <v>-148646.85782881168</v>
      </c>
      <c r="H47" s="185">
        <f t="shared" si="30"/>
        <v>-172362.40180109805</v>
      </c>
      <c r="I47" s="185">
        <f t="shared" si="30"/>
        <v>-194348.72287714222</v>
      </c>
      <c r="J47" s="185">
        <f t="shared" si="30"/>
        <v>-202009.65674999679</v>
      </c>
      <c r="K47" s="185">
        <f t="shared" si="30"/>
        <v>-209470.22671051175</v>
      </c>
      <c r="L47" s="185">
        <f t="shared" si="30"/>
        <v>-216919.46963359384</v>
      </c>
      <c r="M47" s="185">
        <f t="shared" si="30"/>
        <v>-224318.68282425744</v>
      </c>
      <c r="N47" s="185">
        <f t="shared" si="30"/>
        <v>-231865.88027873446</v>
      </c>
      <c r="O47" s="185">
        <f t="shared" si="30"/>
        <v>-236704.94233248543</v>
      </c>
      <c r="P47" s="185">
        <f t="shared" si="30"/>
        <v>-241640.78562731139</v>
      </c>
      <c r="Q47" s="185">
        <f t="shared" si="30"/>
        <v>-246675.34578803391</v>
      </c>
      <c r="R47" s="185">
        <f t="shared" si="30"/>
        <v>-251810.59715197093</v>
      </c>
      <c r="S47" s="185">
        <f t="shared" si="30"/>
        <v>-257048.55354318663</v>
      </c>
      <c r="T47" s="185">
        <f t="shared" si="30"/>
        <v>-262391.26906222658</v>
      </c>
      <c r="U47" s="185">
        <f t="shared" si="30"/>
        <v>-267840.83889164747</v>
      </c>
      <c r="V47" s="185">
        <f t="shared" si="30"/>
        <v>-273399.40011765674</v>
      </c>
      <c r="W47" s="185">
        <f t="shared" si="30"/>
        <v>-279069.13256818627</v>
      </c>
      <c r="X47" s="185">
        <f t="shared" si="30"/>
        <v>-284852.25966772618</v>
      </c>
      <c r="Y47" s="185">
        <f t="shared" si="30"/>
        <v>-290751.04930925713</v>
      </c>
      <c r="Z47" s="185">
        <f t="shared" si="30"/>
        <v>-296767.81474361848</v>
      </c>
      <c r="AA47" s="185">
        <f t="shared" si="30"/>
        <v>-302904.91548666719</v>
      </c>
      <c r="AB47" s="185">
        <f t="shared" si="30"/>
        <v>-309164.75824457686</v>
      </c>
      <c r="AC47" s="185">
        <f t="shared" si="30"/>
        <v>-315549.79785764462</v>
      </c>
      <c r="AD47" s="185">
        <f t="shared" si="30"/>
        <v>-322062.53826297389</v>
      </c>
      <c r="AE47" s="185">
        <f t="shared" si="30"/>
        <v>-328705.53347640968</v>
      </c>
      <c r="AF47" s="185">
        <f t="shared" si="30"/>
        <v>-335481.38859411405</v>
      </c>
      <c r="AG47" s="227" t="s">
        <v>148</v>
      </c>
      <c r="AH47" s="238"/>
      <c r="AI47" s="152"/>
    </row>
    <row r="48" spans="1:35" ht="15" customHeight="1" x14ac:dyDescent="0.25">
      <c r="A48" s="186" t="s">
        <v>80</v>
      </c>
      <c r="B48" s="188"/>
      <c r="C48" s="189">
        <f t="shared" ref="C48:AF48" si="31">C42+C47</f>
        <v>855619.85656978702</v>
      </c>
      <c r="D48" s="189">
        <f t="shared" si="31"/>
        <v>1200149.9657024026</v>
      </c>
      <c r="E48" s="189">
        <f t="shared" si="31"/>
        <v>1383051.5098288532</v>
      </c>
      <c r="F48" s="216">
        <f t="shared" si="31"/>
        <v>1461574.0240327166</v>
      </c>
      <c r="G48" s="189">
        <f t="shared" si="31"/>
        <v>1729407.402827305</v>
      </c>
      <c r="H48" s="189">
        <f t="shared" si="31"/>
        <v>1942847.2985778823</v>
      </c>
      <c r="I48" s="189">
        <f t="shared" si="31"/>
        <v>2140724.1882622801</v>
      </c>
      <c r="J48" s="189">
        <f t="shared" si="31"/>
        <v>2209672.593117971</v>
      </c>
      <c r="K48" s="189">
        <f t="shared" si="31"/>
        <v>2276817.7227626056</v>
      </c>
      <c r="L48" s="189">
        <f t="shared" si="31"/>
        <v>2343860.9090703446</v>
      </c>
      <c r="M48" s="189">
        <f t="shared" si="31"/>
        <v>2410453.8277863171</v>
      </c>
      <c r="N48" s="189">
        <f t="shared" si="31"/>
        <v>2478378.60487661</v>
      </c>
      <c r="O48" s="189">
        <f t="shared" si="31"/>
        <v>2521930.1633603689</v>
      </c>
      <c r="P48" s="189">
        <f t="shared" si="31"/>
        <v>2566352.7530138022</v>
      </c>
      <c r="Q48" s="189">
        <f t="shared" si="31"/>
        <v>2611663.794460305</v>
      </c>
      <c r="R48" s="189">
        <f t="shared" si="31"/>
        <v>2657881.0567357382</v>
      </c>
      <c r="S48" s="189">
        <f t="shared" si="31"/>
        <v>2705022.6642566794</v>
      </c>
      <c r="T48" s="189">
        <f t="shared" si="31"/>
        <v>2753107.1039280393</v>
      </c>
      <c r="U48" s="189">
        <f t="shared" si="31"/>
        <v>2802153.2323928275</v>
      </c>
      <c r="V48" s="189">
        <f t="shared" si="31"/>
        <v>2852180.2834269106</v>
      </c>
      <c r="W48" s="189">
        <f t="shared" si="31"/>
        <v>2903207.8754816763</v>
      </c>
      <c r="X48" s="189">
        <f t="shared" si="31"/>
        <v>2955256.0193775352</v>
      </c>
      <c r="Y48" s="189">
        <f t="shared" si="31"/>
        <v>3008345.126151314</v>
      </c>
      <c r="Z48" s="189">
        <f t="shared" si="31"/>
        <v>3062496.0150605664</v>
      </c>
      <c r="AA48" s="189">
        <f t="shared" si="31"/>
        <v>3117729.9217480044</v>
      </c>
      <c r="AB48" s="189">
        <f t="shared" si="31"/>
        <v>3174068.5065691918</v>
      </c>
      <c r="AC48" s="189">
        <f t="shared" si="31"/>
        <v>3231533.8630868015</v>
      </c>
      <c r="AD48" s="189">
        <f t="shared" si="31"/>
        <v>3290148.5267347647</v>
      </c>
      <c r="AE48" s="189">
        <f t="shared" si="31"/>
        <v>3349935.483655687</v>
      </c>
      <c r="AF48" s="189">
        <f t="shared" si="31"/>
        <v>3410918.1797150262</v>
      </c>
      <c r="AG48" s="227" t="s">
        <v>183</v>
      </c>
      <c r="AH48" s="240" t="s">
        <v>195</v>
      </c>
      <c r="AI48" s="152"/>
    </row>
    <row r="49" spans="1:35" ht="15" customHeight="1" x14ac:dyDescent="0.25">
      <c r="A49" s="186" t="str">
        <f>CONCATENATE("Less: ",$A$4," Portion of FORA Remediation Bonds Debt Service")</f>
        <v>Less: Seaside Portion of FORA Remediation Bonds Debt Service</v>
      </c>
      <c r="B49" s="186"/>
      <c r="C49" s="185">
        <v>0</v>
      </c>
      <c r="D49" s="185">
        <v>0</v>
      </c>
      <c r="E49" s="185">
        <v>0</v>
      </c>
      <c r="F49" s="215">
        <v>0</v>
      </c>
      <c r="G49" s="185">
        <v>0</v>
      </c>
      <c r="H49" s="185">
        <v>0</v>
      </c>
      <c r="I49" s="185">
        <v>0</v>
      </c>
      <c r="J49" s="185">
        <v>0</v>
      </c>
      <c r="K49" s="185">
        <v>0</v>
      </c>
      <c r="L49" s="185">
        <v>0</v>
      </c>
      <c r="M49" s="185">
        <v>0</v>
      </c>
      <c r="N49" s="185">
        <v>0</v>
      </c>
      <c r="O49" s="185">
        <v>0</v>
      </c>
      <c r="P49" s="185">
        <v>0</v>
      </c>
      <c r="Q49" s="185">
        <v>0</v>
      </c>
      <c r="R49" s="185">
        <v>0</v>
      </c>
      <c r="S49" s="185">
        <v>0</v>
      </c>
      <c r="T49" s="185">
        <v>0</v>
      </c>
      <c r="U49" s="185">
        <v>0</v>
      </c>
      <c r="V49" s="185">
        <v>0</v>
      </c>
      <c r="W49" s="185">
        <v>0</v>
      </c>
      <c r="X49" s="185">
        <v>0</v>
      </c>
      <c r="Y49" s="185">
        <v>0</v>
      </c>
      <c r="Z49" s="185">
        <v>0</v>
      </c>
      <c r="AA49" s="185">
        <v>0</v>
      </c>
      <c r="AB49" s="185">
        <v>0</v>
      </c>
      <c r="AC49" s="185">
        <v>0</v>
      </c>
      <c r="AD49" s="185">
        <v>0</v>
      </c>
      <c r="AE49" s="185">
        <v>0</v>
      </c>
      <c r="AF49" s="185">
        <v>0</v>
      </c>
      <c r="AG49" s="227" t="s">
        <v>147</v>
      </c>
      <c r="AH49" s="238" t="s">
        <v>147</v>
      </c>
      <c r="AI49" s="152"/>
    </row>
    <row r="50" spans="1:35" ht="15" customHeight="1" x14ac:dyDescent="0.25">
      <c r="A50" s="192" t="s">
        <v>166</v>
      </c>
      <c r="B50" s="187"/>
      <c r="C50" s="190">
        <f>SUM(C48:C49)</f>
        <v>855619.85656978702</v>
      </c>
      <c r="D50" s="190">
        <f t="shared" ref="D50:AF50" si="32">SUM(D48:D49)</f>
        <v>1200149.9657024026</v>
      </c>
      <c r="E50" s="190">
        <f t="shared" si="32"/>
        <v>1383051.5098288532</v>
      </c>
      <c r="F50" s="217">
        <f t="shared" si="32"/>
        <v>1461574.0240327166</v>
      </c>
      <c r="G50" s="190">
        <f t="shared" si="32"/>
        <v>1729407.402827305</v>
      </c>
      <c r="H50" s="190">
        <f t="shared" si="32"/>
        <v>1942847.2985778823</v>
      </c>
      <c r="I50" s="190">
        <f t="shared" si="32"/>
        <v>2140724.1882622801</v>
      </c>
      <c r="J50" s="190">
        <f t="shared" si="32"/>
        <v>2209672.593117971</v>
      </c>
      <c r="K50" s="190">
        <f t="shared" si="32"/>
        <v>2276817.7227626056</v>
      </c>
      <c r="L50" s="190">
        <f t="shared" si="32"/>
        <v>2343860.9090703446</v>
      </c>
      <c r="M50" s="190">
        <f t="shared" si="32"/>
        <v>2410453.8277863171</v>
      </c>
      <c r="N50" s="190">
        <f t="shared" si="32"/>
        <v>2478378.60487661</v>
      </c>
      <c r="O50" s="190">
        <f t="shared" si="32"/>
        <v>2521930.1633603689</v>
      </c>
      <c r="P50" s="190">
        <f t="shared" si="32"/>
        <v>2566352.7530138022</v>
      </c>
      <c r="Q50" s="190">
        <f t="shared" si="32"/>
        <v>2611663.794460305</v>
      </c>
      <c r="R50" s="190">
        <f t="shared" si="32"/>
        <v>2657881.0567357382</v>
      </c>
      <c r="S50" s="190">
        <f t="shared" si="32"/>
        <v>2705022.6642566794</v>
      </c>
      <c r="T50" s="190">
        <f t="shared" si="32"/>
        <v>2753107.1039280393</v>
      </c>
      <c r="U50" s="190">
        <f t="shared" si="32"/>
        <v>2802153.2323928275</v>
      </c>
      <c r="V50" s="190">
        <f t="shared" si="32"/>
        <v>2852180.2834269106</v>
      </c>
      <c r="W50" s="190">
        <f t="shared" si="32"/>
        <v>2903207.8754816763</v>
      </c>
      <c r="X50" s="190">
        <f t="shared" si="32"/>
        <v>2955256.0193775352</v>
      </c>
      <c r="Y50" s="190">
        <f t="shared" si="32"/>
        <v>3008345.126151314</v>
      </c>
      <c r="Z50" s="190">
        <f t="shared" si="32"/>
        <v>3062496.0150605664</v>
      </c>
      <c r="AA50" s="190">
        <f t="shared" si="32"/>
        <v>3117729.9217480044</v>
      </c>
      <c r="AB50" s="190">
        <f t="shared" si="32"/>
        <v>3174068.5065691918</v>
      </c>
      <c r="AC50" s="190">
        <f t="shared" si="32"/>
        <v>3231533.8630868015</v>
      </c>
      <c r="AD50" s="190">
        <f t="shared" si="32"/>
        <v>3290148.5267347647</v>
      </c>
      <c r="AE50" s="190">
        <f t="shared" si="32"/>
        <v>3349935.483655687</v>
      </c>
      <c r="AF50" s="190">
        <f t="shared" si="32"/>
        <v>3410918.1797150262</v>
      </c>
      <c r="AG50" s="227" t="s">
        <v>184</v>
      </c>
      <c r="AH50" s="240" t="s">
        <v>196</v>
      </c>
      <c r="AI50" s="152"/>
    </row>
    <row r="51" spans="1:35" ht="8.1" customHeight="1" x14ac:dyDescent="0.25">
      <c r="A51" s="171"/>
      <c r="B51" s="172"/>
      <c r="C51" s="136"/>
      <c r="D51" s="136"/>
      <c r="E51" s="136"/>
      <c r="F51" s="205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227"/>
      <c r="AH51" s="238"/>
      <c r="AI51" s="152"/>
    </row>
    <row r="52" spans="1:35" ht="15" customHeight="1" x14ac:dyDescent="0.25">
      <c r="A52" s="198" t="s">
        <v>168</v>
      </c>
      <c r="B52" s="199"/>
      <c r="C52" s="135"/>
      <c r="D52" s="135"/>
      <c r="E52" s="135"/>
      <c r="F52" s="218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227"/>
      <c r="AH52" s="238"/>
      <c r="AI52" s="152"/>
    </row>
    <row r="53" spans="1:35" ht="15" customHeight="1" x14ac:dyDescent="0.25">
      <c r="A53" s="200" t="s">
        <v>161</v>
      </c>
      <c r="B53" s="201">
        <v>0.38</v>
      </c>
      <c r="C53" s="135">
        <v>0</v>
      </c>
      <c r="D53" s="135">
        <v>0</v>
      </c>
      <c r="E53" s="135">
        <v>0</v>
      </c>
      <c r="F53" s="218">
        <v>0</v>
      </c>
      <c r="G53" s="135">
        <f t="shared" ref="G53:AF53" si="33">G50*$B$53</f>
        <v>657174.81307437597</v>
      </c>
      <c r="H53" s="135">
        <f t="shared" si="33"/>
        <v>738281.97345959535</v>
      </c>
      <c r="I53" s="135">
        <f t="shared" si="33"/>
        <v>813475.19153966638</v>
      </c>
      <c r="J53" s="135">
        <f t="shared" si="33"/>
        <v>839675.58538482897</v>
      </c>
      <c r="K53" s="135">
        <f t="shared" si="33"/>
        <v>865190.7346497901</v>
      </c>
      <c r="L53" s="135">
        <f t="shared" si="33"/>
        <v>890667.14544673101</v>
      </c>
      <c r="M53" s="135">
        <f t="shared" si="33"/>
        <v>915972.45455880056</v>
      </c>
      <c r="N53" s="135">
        <f t="shared" si="33"/>
        <v>941783.8698531118</v>
      </c>
      <c r="O53" s="135">
        <f t="shared" si="33"/>
        <v>958333.46207694022</v>
      </c>
      <c r="P53" s="135">
        <f t="shared" si="33"/>
        <v>975214.04614524485</v>
      </c>
      <c r="Q53" s="135">
        <f t="shared" si="33"/>
        <v>992432.24189491593</v>
      </c>
      <c r="R53" s="135">
        <f t="shared" si="33"/>
        <v>1009994.8015595805</v>
      </c>
      <c r="S53" s="135">
        <f t="shared" si="33"/>
        <v>1027908.6124175382</v>
      </c>
      <c r="T53" s="135">
        <f t="shared" si="33"/>
        <v>1046180.699492655</v>
      </c>
      <c r="U53" s="135">
        <f t="shared" si="33"/>
        <v>1064818.2283092744</v>
      </c>
      <c r="V53" s="135">
        <f t="shared" si="33"/>
        <v>1083828.5077022261</v>
      </c>
      <c r="W53" s="135">
        <f t="shared" si="33"/>
        <v>1103218.992683037</v>
      </c>
      <c r="X53" s="135">
        <f t="shared" si="33"/>
        <v>1122997.2873634633</v>
      </c>
      <c r="Y53" s="135">
        <f t="shared" si="33"/>
        <v>1143171.1479374992</v>
      </c>
      <c r="Z53" s="135">
        <f t="shared" si="33"/>
        <v>1163748.4857230152</v>
      </c>
      <c r="AA53" s="135">
        <f t="shared" si="33"/>
        <v>1184737.3702642417</v>
      </c>
      <c r="AB53" s="135">
        <f t="shared" si="33"/>
        <v>1206146.0324962928</v>
      </c>
      <c r="AC53" s="135">
        <f t="shared" si="33"/>
        <v>1227982.8679729847</v>
      </c>
      <c r="AD53" s="135">
        <f t="shared" si="33"/>
        <v>1250256.4401592107</v>
      </c>
      <c r="AE53" s="135">
        <f t="shared" si="33"/>
        <v>1272975.4837891611</v>
      </c>
      <c r="AF53" s="135">
        <f t="shared" si="33"/>
        <v>1296148.9082917101</v>
      </c>
      <c r="AG53" s="234"/>
      <c r="AH53" s="244" t="s">
        <v>172</v>
      </c>
      <c r="AI53" s="124"/>
    </row>
    <row r="54" spans="1:35" ht="15" customHeight="1" x14ac:dyDescent="0.25">
      <c r="A54" s="200" t="s">
        <v>162</v>
      </c>
      <c r="B54" s="202">
        <v>0.08</v>
      </c>
      <c r="C54" s="135">
        <v>0</v>
      </c>
      <c r="D54" s="135">
        <v>0</v>
      </c>
      <c r="E54" s="135">
        <v>0</v>
      </c>
      <c r="F54" s="218">
        <v>0</v>
      </c>
      <c r="G54" s="135">
        <f t="shared" ref="G54:AF54" si="34">G50*$B$54</f>
        <v>138352.59222618441</v>
      </c>
      <c r="H54" s="135">
        <f t="shared" si="34"/>
        <v>155427.78388623058</v>
      </c>
      <c r="I54" s="135">
        <f t="shared" si="34"/>
        <v>171257.93506098242</v>
      </c>
      <c r="J54" s="135">
        <f t="shared" si="34"/>
        <v>176773.80744943768</v>
      </c>
      <c r="K54" s="135">
        <f t="shared" si="34"/>
        <v>182145.41782100845</v>
      </c>
      <c r="L54" s="135">
        <f t="shared" si="34"/>
        <v>187508.87272562759</v>
      </c>
      <c r="M54" s="135">
        <f t="shared" si="34"/>
        <v>192836.30622290538</v>
      </c>
      <c r="N54" s="135">
        <f t="shared" si="34"/>
        <v>198270.28839012882</v>
      </c>
      <c r="O54" s="135">
        <f t="shared" si="34"/>
        <v>201754.41306882951</v>
      </c>
      <c r="P54" s="135">
        <f t="shared" si="34"/>
        <v>205308.22024110419</v>
      </c>
      <c r="Q54" s="135">
        <f t="shared" si="34"/>
        <v>208933.10355682441</v>
      </c>
      <c r="R54" s="135">
        <f t="shared" si="34"/>
        <v>212630.48453885905</v>
      </c>
      <c r="S54" s="135">
        <f t="shared" si="34"/>
        <v>216401.81314053436</v>
      </c>
      <c r="T54" s="135">
        <f t="shared" si="34"/>
        <v>220248.56831424314</v>
      </c>
      <c r="U54" s="135">
        <f t="shared" si="34"/>
        <v>224172.25859142622</v>
      </c>
      <c r="V54" s="135">
        <f t="shared" si="34"/>
        <v>228174.42267415285</v>
      </c>
      <c r="W54" s="135">
        <f t="shared" si="34"/>
        <v>232256.63003853412</v>
      </c>
      <c r="X54" s="135">
        <f t="shared" si="34"/>
        <v>236420.48155020282</v>
      </c>
      <c r="Y54" s="135">
        <f t="shared" si="34"/>
        <v>240667.61009210511</v>
      </c>
      <c r="Z54" s="135">
        <f t="shared" si="34"/>
        <v>244999.68120484531</v>
      </c>
      <c r="AA54" s="135">
        <f t="shared" si="34"/>
        <v>249418.39373984037</v>
      </c>
      <c r="AB54" s="135">
        <f t="shared" si="34"/>
        <v>253925.48052553536</v>
      </c>
      <c r="AC54" s="135">
        <f t="shared" si="34"/>
        <v>258522.70904694413</v>
      </c>
      <c r="AD54" s="135">
        <f t="shared" si="34"/>
        <v>263211.88213878119</v>
      </c>
      <c r="AE54" s="135">
        <f t="shared" si="34"/>
        <v>267994.83869245497</v>
      </c>
      <c r="AF54" s="135">
        <f t="shared" si="34"/>
        <v>272873.45437720208</v>
      </c>
      <c r="AG54" s="233"/>
      <c r="AH54" s="243" t="s">
        <v>173</v>
      </c>
      <c r="AI54" s="152"/>
    </row>
    <row r="55" spans="1:35" ht="15" customHeight="1" x14ac:dyDescent="0.25">
      <c r="A55" s="200" t="s">
        <v>163</v>
      </c>
      <c r="B55" s="203">
        <v>0.54</v>
      </c>
      <c r="C55" s="135">
        <v>0</v>
      </c>
      <c r="D55" s="135">
        <v>0</v>
      </c>
      <c r="E55" s="135">
        <v>0</v>
      </c>
      <c r="F55" s="218">
        <v>0</v>
      </c>
      <c r="G55" s="135">
        <f t="shared" ref="G55:AF55" si="35">$B$55*G50</f>
        <v>933879.99752674473</v>
      </c>
      <c r="H55" s="135">
        <f t="shared" si="35"/>
        <v>1049137.5412320565</v>
      </c>
      <c r="I55" s="135">
        <f t="shared" si="35"/>
        <v>1155991.0616616313</v>
      </c>
      <c r="J55" s="135">
        <f t="shared" si="35"/>
        <v>1193223.2002837043</v>
      </c>
      <c r="K55" s="135">
        <f t="shared" si="35"/>
        <v>1229481.5702918072</v>
      </c>
      <c r="L55" s="135">
        <f t="shared" si="35"/>
        <v>1265684.8908979862</v>
      </c>
      <c r="M55" s="135">
        <f t="shared" si="35"/>
        <v>1301645.0670046113</v>
      </c>
      <c r="N55" s="135">
        <f t="shared" si="35"/>
        <v>1338324.4466333694</v>
      </c>
      <c r="O55" s="135">
        <f t="shared" si="35"/>
        <v>1361842.2882145992</v>
      </c>
      <c r="P55" s="135">
        <f t="shared" si="35"/>
        <v>1385830.4866274532</v>
      </c>
      <c r="Q55" s="135">
        <f t="shared" si="35"/>
        <v>1410298.4490085647</v>
      </c>
      <c r="R55" s="135">
        <f t="shared" si="35"/>
        <v>1435255.7706372987</v>
      </c>
      <c r="S55" s="135">
        <f t="shared" si="35"/>
        <v>1460712.2386986068</v>
      </c>
      <c r="T55" s="135">
        <f t="shared" si="35"/>
        <v>1486677.8361211414</v>
      </c>
      <c r="U55" s="135">
        <f t="shared" si="35"/>
        <v>1513162.745492127</v>
      </c>
      <c r="V55" s="135">
        <f t="shared" si="35"/>
        <v>1540177.3530505318</v>
      </c>
      <c r="W55" s="135">
        <f t="shared" si="35"/>
        <v>1567732.2527601053</v>
      </c>
      <c r="X55" s="135">
        <f t="shared" si="35"/>
        <v>1595838.2504638692</v>
      </c>
      <c r="Y55" s="135">
        <f t="shared" si="35"/>
        <v>1624506.3681217097</v>
      </c>
      <c r="Z55" s="135">
        <f t="shared" si="35"/>
        <v>1653747.848132706</v>
      </c>
      <c r="AA55" s="135">
        <f t="shared" si="35"/>
        <v>1683574.1577439224</v>
      </c>
      <c r="AB55" s="135">
        <f t="shared" si="35"/>
        <v>1713996.9935473637</v>
      </c>
      <c r="AC55" s="135">
        <f t="shared" si="35"/>
        <v>1745028.286066873</v>
      </c>
      <c r="AD55" s="135">
        <f t="shared" si="35"/>
        <v>1776680.204436773</v>
      </c>
      <c r="AE55" s="135">
        <f t="shared" si="35"/>
        <v>1808965.161174071</v>
      </c>
      <c r="AF55" s="135">
        <f t="shared" si="35"/>
        <v>1841895.8170461142</v>
      </c>
      <c r="AG55" s="227" t="s">
        <v>185</v>
      </c>
      <c r="AH55" s="240" t="s">
        <v>188</v>
      </c>
      <c r="AI55" s="152"/>
    </row>
    <row r="56" spans="1:35" ht="15" customHeight="1" x14ac:dyDescent="0.25">
      <c r="A56" s="220" t="s">
        <v>160</v>
      </c>
      <c r="B56" s="221">
        <f>SUM(B53:B55)</f>
        <v>1</v>
      </c>
      <c r="C56" s="222">
        <f>SUM(C53:C55)</f>
        <v>0</v>
      </c>
      <c r="D56" s="222">
        <f t="shared" ref="D56:AF56" si="36">SUM(D53:D55)</f>
        <v>0</v>
      </c>
      <c r="E56" s="222">
        <f t="shared" si="36"/>
        <v>0</v>
      </c>
      <c r="F56" s="223">
        <f t="shared" si="36"/>
        <v>0</v>
      </c>
      <c r="G56" s="222">
        <f t="shared" si="36"/>
        <v>1729407.4028273053</v>
      </c>
      <c r="H56" s="222">
        <f t="shared" si="36"/>
        <v>1942847.2985778823</v>
      </c>
      <c r="I56" s="222">
        <f t="shared" si="36"/>
        <v>2140724.1882622801</v>
      </c>
      <c r="J56" s="222">
        <f t="shared" si="36"/>
        <v>2209672.593117971</v>
      </c>
      <c r="K56" s="222">
        <f t="shared" si="36"/>
        <v>2276817.7227626056</v>
      </c>
      <c r="L56" s="222">
        <f t="shared" si="36"/>
        <v>2343860.9090703446</v>
      </c>
      <c r="M56" s="222">
        <f t="shared" si="36"/>
        <v>2410453.8277863171</v>
      </c>
      <c r="N56" s="222">
        <f t="shared" si="36"/>
        <v>2478378.60487661</v>
      </c>
      <c r="O56" s="222">
        <f t="shared" si="36"/>
        <v>2521930.1633603689</v>
      </c>
      <c r="P56" s="222">
        <f t="shared" si="36"/>
        <v>2566352.7530138022</v>
      </c>
      <c r="Q56" s="222">
        <f t="shared" si="36"/>
        <v>2611663.794460305</v>
      </c>
      <c r="R56" s="222">
        <f t="shared" si="36"/>
        <v>2657881.0567357382</v>
      </c>
      <c r="S56" s="222">
        <f t="shared" si="36"/>
        <v>2705022.6642566794</v>
      </c>
      <c r="T56" s="222">
        <f t="shared" si="36"/>
        <v>2753107.1039280398</v>
      </c>
      <c r="U56" s="222">
        <f t="shared" si="36"/>
        <v>2802153.232392828</v>
      </c>
      <c r="V56" s="222">
        <f t="shared" si="36"/>
        <v>2852180.2834269106</v>
      </c>
      <c r="W56" s="222">
        <f t="shared" si="36"/>
        <v>2903207.8754816763</v>
      </c>
      <c r="X56" s="222">
        <f t="shared" si="36"/>
        <v>2955256.0193775352</v>
      </c>
      <c r="Y56" s="222">
        <f t="shared" si="36"/>
        <v>3008345.126151314</v>
      </c>
      <c r="Z56" s="222">
        <f t="shared" si="36"/>
        <v>3062496.0150605664</v>
      </c>
      <c r="AA56" s="222">
        <f t="shared" si="36"/>
        <v>3117729.9217480044</v>
      </c>
      <c r="AB56" s="222">
        <f t="shared" si="36"/>
        <v>3174068.5065691918</v>
      </c>
      <c r="AC56" s="222">
        <f t="shared" si="36"/>
        <v>3231533.863086802</v>
      </c>
      <c r="AD56" s="222">
        <f t="shared" si="36"/>
        <v>3290148.5267347647</v>
      </c>
      <c r="AE56" s="222">
        <f t="shared" si="36"/>
        <v>3349935.483655687</v>
      </c>
      <c r="AF56" s="222">
        <f t="shared" si="36"/>
        <v>3410918.1797150262</v>
      </c>
      <c r="AG56" s="227"/>
      <c r="AH56" s="238"/>
      <c r="AI56" s="152"/>
    </row>
    <row r="57" spans="1:35" ht="8.1" customHeight="1" x14ac:dyDescent="0.25">
      <c r="A57" s="140"/>
      <c r="B57" s="101"/>
      <c r="C57" s="136"/>
      <c r="D57" s="136"/>
      <c r="E57" s="136"/>
      <c r="F57" s="205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227"/>
      <c r="AH57" s="238"/>
      <c r="AI57" s="152"/>
    </row>
    <row r="58" spans="1:35" ht="15" customHeight="1" x14ac:dyDescent="0.25">
      <c r="A58" s="150" t="str">
        <f>CONCATENATE("Increase in ",A4," General Fund Revenues")</f>
        <v>Increase in Seaside General Fund Revenues</v>
      </c>
      <c r="B58" s="251" t="s">
        <v>198</v>
      </c>
      <c r="C58" s="136"/>
      <c r="D58" s="136"/>
      <c r="E58" s="136"/>
      <c r="F58" s="205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227"/>
      <c r="AH58" s="238"/>
      <c r="AI58" s="152"/>
    </row>
    <row r="59" spans="1:35" ht="30" customHeight="1" x14ac:dyDescent="0.25">
      <c r="A59" s="178" t="s">
        <v>199</v>
      </c>
      <c r="B59" s="252">
        <f>Scenarios!C7</f>
        <v>0.2</v>
      </c>
      <c r="C59" s="177">
        <v>0</v>
      </c>
      <c r="D59" s="177">
        <v>0</v>
      </c>
      <c r="E59" s="177">
        <f t="shared" ref="E59:L59" si="37">E55*$B$59</f>
        <v>0</v>
      </c>
      <c r="F59" s="224">
        <f t="shared" si="37"/>
        <v>0</v>
      </c>
      <c r="G59" s="177">
        <f t="shared" si="37"/>
        <v>186775.99950534897</v>
      </c>
      <c r="H59" s="177">
        <f t="shared" si="37"/>
        <v>209827.50824641131</v>
      </c>
      <c r="I59" s="177">
        <f t="shared" si="37"/>
        <v>231198.21233232628</v>
      </c>
      <c r="J59" s="177">
        <f t="shared" si="37"/>
        <v>238644.64005674087</v>
      </c>
      <c r="K59" s="177">
        <f t="shared" si="37"/>
        <v>245896.31405836146</v>
      </c>
      <c r="L59" s="177">
        <f t="shared" si="37"/>
        <v>253136.97817959727</v>
      </c>
      <c r="M59" s="177">
        <f>M55*$B$59</f>
        <v>260329.01340092227</v>
      </c>
      <c r="N59" s="177">
        <f t="shared" ref="N59:AF59" si="38">N55*$B$59</f>
        <v>267664.88932667387</v>
      </c>
      <c r="O59" s="177">
        <f t="shared" si="38"/>
        <v>272368.45764291985</v>
      </c>
      <c r="P59" s="177">
        <f t="shared" si="38"/>
        <v>277166.09732549067</v>
      </c>
      <c r="Q59" s="177">
        <f t="shared" si="38"/>
        <v>282059.68980171293</v>
      </c>
      <c r="R59" s="177">
        <f t="shared" si="38"/>
        <v>287051.15412745974</v>
      </c>
      <c r="S59" s="177">
        <f t="shared" si="38"/>
        <v>292142.44773972139</v>
      </c>
      <c r="T59" s="177">
        <f t="shared" si="38"/>
        <v>297335.56722422829</v>
      </c>
      <c r="U59" s="177">
        <f t="shared" si="38"/>
        <v>302632.54909842543</v>
      </c>
      <c r="V59" s="177">
        <f t="shared" si="38"/>
        <v>308035.47061010636</v>
      </c>
      <c r="W59" s="177">
        <f t="shared" si="38"/>
        <v>313546.4505520211</v>
      </c>
      <c r="X59" s="177">
        <f t="shared" si="38"/>
        <v>319167.65009277384</v>
      </c>
      <c r="Y59" s="177">
        <f t="shared" si="38"/>
        <v>324901.27362434193</v>
      </c>
      <c r="Z59" s="177">
        <f t="shared" si="38"/>
        <v>330749.56962654123</v>
      </c>
      <c r="AA59" s="177">
        <f t="shared" si="38"/>
        <v>336714.83154878451</v>
      </c>
      <c r="AB59" s="177">
        <f t="shared" si="38"/>
        <v>342799.39870947273</v>
      </c>
      <c r="AC59" s="177">
        <f t="shared" si="38"/>
        <v>349005.65721337462</v>
      </c>
      <c r="AD59" s="177">
        <f t="shared" si="38"/>
        <v>355336.04088735464</v>
      </c>
      <c r="AE59" s="177">
        <f t="shared" si="38"/>
        <v>361793.03223481425</v>
      </c>
      <c r="AF59" s="177">
        <f t="shared" si="38"/>
        <v>368379.16340922285</v>
      </c>
      <c r="AG59" s="235" t="s">
        <v>186</v>
      </c>
      <c r="AH59" s="245" t="s">
        <v>187</v>
      </c>
      <c r="AI59" s="152"/>
    </row>
    <row r="60" spans="1:35" ht="15" hidden="1" customHeight="1" x14ac:dyDescent="0.25">
      <c r="A60" s="151" t="str">
        <f>CONCATENATE("Add Back In: 10% of Incremental FORA Share sent to ",A4)</f>
        <v>Add Back In: 10% of Incremental FORA Share sent to Seaside</v>
      </c>
      <c r="B60" s="142"/>
      <c r="C60" s="145">
        <f t="shared" ref="C60:M60" si="39">-C47</f>
        <v>51559.352689087442</v>
      </c>
      <c r="D60" s="145">
        <f t="shared" si="39"/>
        <v>89840.475926044732</v>
      </c>
      <c r="E60" s="145">
        <f t="shared" si="39"/>
        <v>110162.86971787257</v>
      </c>
      <c r="F60" s="145">
        <f t="shared" si="39"/>
        <v>118887.59351830184</v>
      </c>
      <c r="G60" s="145">
        <f t="shared" si="39"/>
        <v>148646.85782881168</v>
      </c>
      <c r="H60" s="145">
        <f t="shared" si="39"/>
        <v>172362.40180109805</v>
      </c>
      <c r="I60" s="145">
        <f t="shared" si="39"/>
        <v>194348.72287714222</v>
      </c>
      <c r="J60" s="145">
        <f t="shared" si="39"/>
        <v>202009.65674999679</v>
      </c>
      <c r="K60" s="145">
        <f t="shared" si="39"/>
        <v>209470.22671051175</v>
      </c>
      <c r="L60" s="145">
        <f t="shared" si="39"/>
        <v>216919.46963359384</v>
      </c>
      <c r="M60" s="145">
        <f t="shared" si="39"/>
        <v>224318.68282425744</v>
      </c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227" t="s">
        <v>148</v>
      </c>
      <c r="AH60" s="238"/>
      <c r="AI60" s="26"/>
    </row>
    <row r="61" spans="1:35" x14ac:dyDescent="0.25">
      <c r="A61" s="40" t="str">
        <f>CONCATENATE("Increase in Net Property Taxes Received by ",A4," General Fund")</f>
        <v>Increase in Net Property Taxes Received by Seaside General Fund</v>
      </c>
      <c r="B61" s="40"/>
      <c r="C61" s="374">
        <f>C59</f>
        <v>0</v>
      </c>
      <c r="D61" s="375">
        <f t="shared" ref="D61:AF61" si="40">D59</f>
        <v>0</v>
      </c>
      <c r="E61" s="375">
        <f t="shared" si="40"/>
        <v>0</v>
      </c>
      <c r="F61" s="374">
        <f t="shared" si="40"/>
        <v>0</v>
      </c>
      <c r="G61" s="374">
        <f t="shared" si="40"/>
        <v>186775.99950534897</v>
      </c>
      <c r="H61" s="374">
        <f t="shared" si="40"/>
        <v>209827.50824641131</v>
      </c>
      <c r="I61" s="374">
        <f t="shared" si="40"/>
        <v>231198.21233232628</v>
      </c>
      <c r="J61" s="374">
        <f t="shared" si="40"/>
        <v>238644.64005674087</v>
      </c>
      <c r="K61" s="374">
        <f t="shared" si="40"/>
        <v>245896.31405836146</v>
      </c>
      <c r="L61" s="374">
        <f t="shared" si="40"/>
        <v>253136.97817959727</v>
      </c>
      <c r="M61" s="374">
        <f t="shared" si="40"/>
        <v>260329.01340092227</v>
      </c>
      <c r="N61" s="374">
        <f t="shared" si="40"/>
        <v>267664.88932667387</v>
      </c>
      <c r="O61" s="374">
        <f t="shared" si="40"/>
        <v>272368.45764291985</v>
      </c>
      <c r="P61" s="374">
        <f t="shared" si="40"/>
        <v>277166.09732549067</v>
      </c>
      <c r="Q61" s="374">
        <f t="shared" si="40"/>
        <v>282059.68980171293</v>
      </c>
      <c r="R61" s="374">
        <f t="shared" si="40"/>
        <v>287051.15412745974</v>
      </c>
      <c r="S61" s="374">
        <f t="shared" si="40"/>
        <v>292142.44773972139</v>
      </c>
      <c r="T61" s="374">
        <f t="shared" si="40"/>
        <v>297335.56722422829</v>
      </c>
      <c r="U61" s="374">
        <f t="shared" si="40"/>
        <v>302632.54909842543</v>
      </c>
      <c r="V61" s="374">
        <f t="shared" si="40"/>
        <v>308035.47061010636</v>
      </c>
      <c r="W61" s="374">
        <f t="shared" si="40"/>
        <v>313546.4505520211</v>
      </c>
      <c r="X61" s="374">
        <f t="shared" si="40"/>
        <v>319167.65009277384</v>
      </c>
      <c r="Y61" s="374">
        <f t="shared" si="40"/>
        <v>324901.27362434193</v>
      </c>
      <c r="Z61" s="374">
        <f t="shared" si="40"/>
        <v>330749.56962654123</v>
      </c>
      <c r="AA61" s="374">
        <f t="shared" si="40"/>
        <v>336714.83154878451</v>
      </c>
      <c r="AB61" s="374">
        <f t="shared" si="40"/>
        <v>342799.39870947273</v>
      </c>
      <c r="AC61" s="374">
        <f t="shared" si="40"/>
        <v>349005.65721337462</v>
      </c>
      <c r="AD61" s="374">
        <f t="shared" si="40"/>
        <v>355336.04088735464</v>
      </c>
      <c r="AE61" s="374">
        <f t="shared" si="40"/>
        <v>361793.03223481425</v>
      </c>
      <c r="AF61" s="374">
        <f t="shared" si="40"/>
        <v>368379.16340922285</v>
      </c>
      <c r="AG61" s="335"/>
      <c r="AH61" s="240" t="s">
        <v>216</v>
      </c>
    </row>
    <row r="62" spans="1:35" x14ac:dyDescent="0.25">
      <c r="A62" s="1" t="s">
        <v>103</v>
      </c>
      <c r="C62" s="109">
        <f>NPV(Assumptions!D4,'4 - Seaside'!D61:AF61)+'4 - Seaside'!C61</f>
        <v>3713077.4867638452</v>
      </c>
      <c r="E62" s="80"/>
      <c r="AG62" s="227"/>
      <c r="AH62" s="238"/>
    </row>
    <row r="63" spans="1:35" x14ac:dyDescent="0.25">
      <c r="D63" s="80"/>
      <c r="AG63" s="227"/>
      <c r="AH63" s="238"/>
    </row>
    <row r="64" spans="1:35" x14ac:dyDescent="0.25">
      <c r="A64" s="19" t="s">
        <v>323</v>
      </c>
      <c r="D64" s="80"/>
      <c r="AG64" s="227"/>
      <c r="AH64" s="238"/>
    </row>
    <row r="65" spans="1:34" x14ac:dyDescent="0.25">
      <c r="A65" s="19" t="s">
        <v>201</v>
      </c>
      <c r="E65" s="80"/>
      <c r="AG65" s="227"/>
      <c r="AH65" s="238"/>
    </row>
    <row r="66" spans="1:34" x14ac:dyDescent="0.25">
      <c r="A66" s="19"/>
      <c r="AG66" s="227"/>
      <c r="AH66" s="238"/>
    </row>
    <row r="67" spans="1:34" ht="15.75" x14ac:dyDescent="0.25">
      <c r="A67" s="65"/>
      <c r="AG67" s="227"/>
      <c r="AH67" s="238"/>
    </row>
    <row r="68" spans="1:34" x14ac:dyDescent="0.25">
      <c r="AG68" s="227"/>
      <c r="AH68" s="238"/>
    </row>
    <row r="69" spans="1:34" x14ac:dyDescent="0.25">
      <c r="AG69" s="236"/>
      <c r="AH69" s="246"/>
    </row>
  </sheetData>
  <mergeCells count="3">
    <mergeCell ref="C6:F6"/>
    <mergeCell ref="AH10:AH12"/>
    <mergeCell ref="B45:B46"/>
  </mergeCells>
  <pageMargins left="0.25" right="0.25" top="0.75" bottom="0.75" header="0.3" footer="0.3"/>
  <pageSetup scale="55" orientation="landscape" horizontalDpi="1200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W62"/>
  <sheetViews>
    <sheetView showGridLines="0" topLeftCell="A34" zoomScale="85" zoomScaleNormal="85" workbookViewId="0">
      <selection activeCell="B5" sqref="B5"/>
    </sheetView>
  </sheetViews>
  <sheetFormatPr defaultColWidth="8.85546875" defaultRowHeight="15" x14ac:dyDescent="0.25"/>
  <cols>
    <col min="1" max="1" width="64.7109375" customWidth="1"/>
    <col min="2" max="2" width="15.28515625" customWidth="1"/>
    <col min="3" max="32" width="13.28515625" customWidth="1"/>
    <col min="33" max="33" width="4.28515625" style="226" bestFit="1" customWidth="1"/>
    <col min="34" max="34" width="17.85546875" style="237" customWidth="1"/>
    <col min="35" max="35" width="13.85546875" customWidth="1"/>
    <col min="36" max="40" width="8.85546875" style="139"/>
    <col min="49" max="49" width="8.85546875" style="139"/>
  </cols>
  <sheetData>
    <row r="1" spans="1:36" ht="18.75" x14ac:dyDescent="0.3">
      <c r="A1" s="53" t="s">
        <v>56</v>
      </c>
    </row>
    <row r="2" spans="1:36" ht="18.75" x14ac:dyDescent="0.3">
      <c r="A2" s="54" t="s">
        <v>313</v>
      </c>
    </row>
    <row r="3" spans="1:36" ht="18.75" x14ac:dyDescent="0.3">
      <c r="A3" s="54"/>
    </row>
    <row r="4" spans="1:36" ht="18.75" x14ac:dyDescent="0.3">
      <c r="A4" s="376" t="s">
        <v>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</row>
    <row r="5" spans="1:36" ht="15.75" x14ac:dyDescent="0.25">
      <c r="A5" s="391" t="s">
        <v>319</v>
      </c>
      <c r="B5" s="390">
        <v>0</v>
      </c>
      <c r="AI5" s="264"/>
    </row>
    <row r="6" spans="1:36" x14ac:dyDescent="0.25">
      <c r="A6" s="52"/>
      <c r="B6" s="257"/>
      <c r="C6" s="442" t="s">
        <v>59</v>
      </c>
      <c r="D6" s="442"/>
      <c r="E6" s="443" t="s">
        <v>60</v>
      </c>
      <c r="F6" s="443"/>
      <c r="G6" s="443"/>
      <c r="H6" s="443"/>
      <c r="I6" s="443"/>
      <c r="J6" s="443"/>
      <c r="K6" s="443"/>
      <c r="L6" s="443"/>
      <c r="M6" s="443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I6" s="265"/>
    </row>
    <row r="7" spans="1:36" x14ac:dyDescent="0.25">
      <c r="A7" s="258" t="s">
        <v>92</v>
      </c>
      <c r="B7" s="259" t="s">
        <v>9</v>
      </c>
      <c r="C7" s="339">
        <v>201819</v>
      </c>
      <c r="D7" s="339">
        <f t="shared" ref="D7:AF7" si="0">C7+101</f>
        <v>201920</v>
      </c>
      <c r="E7" s="337">
        <f t="shared" si="0"/>
        <v>202021</v>
      </c>
      <c r="F7" s="379">
        <f t="shared" si="0"/>
        <v>202122</v>
      </c>
      <c r="G7" s="337">
        <f t="shared" si="0"/>
        <v>202223</v>
      </c>
      <c r="H7" s="337">
        <f t="shared" si="0"/>
        <v>202324</v>
      </c>
      <c r="I7" s="337">
        <f t="shared" si="0"/>
        <v>202425</v>
      </c>
      <c r="J7" s="337">
        <f t="shared" si="0"/>
        <v>202526</v>
      </c>
      <c r="K7" s="337">
        <f>J7+101</f>
        <v>202627</v>
      </c>
      <c r="L7" s="337">
        <f t="shared" si="0"/>
        <v>202728</v>
      </c>
      <c r="M7" s="337">
        <f t="shared" si="0"/>
        <v>202829</v>
      </c>
      <c r="N7" s="337">
        <f t="shared" si="0"/>
        <v>202930</v>
      </c>
      <c r="O7" s="337">
        <f t="shared" si="0"/>
        <v>203031</v>
      </c>
      <c r="P7" s="337">
        <f t="shared" si="0"/>
        <v>203132</v>
      </c>
      <c r="Q7" s="337">
        <f t="shared" si="0"/>
        <v>203233</v>
      </c>
      <c r="R7" s="337">
        <f t="shared" si="0"/>
        <v>203334</v>
      </c>
      <c r="S7" s="337">
        <f t="shared" si="0"/>
        <v>203435</v>
      </c>
      <c r="T7" s="337">
        <f t="shared" si="0"/>
        <v>203536</v>
      </c>
      <c r="U7" s="337">
        <f t="shared" si="0"/>
        <v>203637</v>
      </c>
      <c r="V7" s="337">
        <f t="shared" si="0"/>
        <v>203738</v>
      </c>
      <c r="W7" s="337">
        <f t="shared" si="0"/>
        <v>203839</v>
      </c>
      <c r="X7" s="337">
        <f t="shared" si="0"/>
        <v>203940</v>
      </c>
      <c r="Y7" s="337">
        <f t="shared" si="0"/>
        <v>204041</v>
      </c>
      <c r="Z7" s="337">
        <f t="shared" si="0"/>
        <v>204142</v>
      </c>
      <c r="AA7" s="337">
        <f t="shared" si="0"/>
        <v>204243</v>
      </c>
      <c r="AB7" s="337">
        <f t="shared" si="0"/>
        <v>204344</v>
      </c>
      <c r="AC7" s="337">
        <f t="shared" si="0"/>
        <v>204445</v>
      </c>
      <c r="AD7" s="337">
        <f t="shared" si="0"/>
        <v>204546</v>
      </c>
      <c r="AE7" s="337">
        <f t="shared" si="0"/>
        <v>204647</v>
      </c>
      <c r="AF7" s="337">
        <f t="shared" si="0"/>
        <v>204748</v>
      </c>
      <c r="AG7" s="227"/>
      <c r="AH7" s="238"/>
      <c r="AI7" s="265"/>
    </row>
    <row r="8" spans="1:36" x14ac:dyDescent="0.25">
      <c r="A8" s="139" t="s">
        <v>43</v>
      </c>
      <c r="B8" s="260">
        <v>533000</v>
      </c>
      <c r="C8" s="247">
        <v>192</v>
      </c>
      <c r="D8" s="247">
        <v>235</v>
      </c>
      <c r="E8" s="60">
        <v>20</v>
      </c>
      <c r="F8" s="61">
        <v>60</v>
      </c>
      <c r="G8" s="60">
        <v>60</v>
      </c>
      <c r="H8" s="60">
        <v>60</v>
      </c>
      <c r="I8" s="60">
        <v>60</v>
      </c>
      <c r="J8" s="60">
        <v>120</v>
      </c>
      <c r="K8" s="60">
        <v>120</v>
      </c>
      <c r="L8" s="60">
        <v>110</v>
      </c>
      <c r="M8" s="60">
        <v>81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60">
        <v>0</v>
      </c>
      <c r="AD8" s="60">
        <v>0</v>
      </c>
      <c r="AE8" s="60">
        <v>0</v>
      </c>
      <c r="AF8" s="60">
        <v>0</v>
      </c>
      <c r="AG8" s="227"/>
      <c r="AH8" s="238"/>
      <c r="AI8" s="265"/>
    </row>
    <row r="9" spans="1:36" x14ac:dyDescent="0.25">
      <c r="A9" s="139" t="s">
        <v>44</v>
      </c>
      <c r="B9" s="261">
        <v>220</v>
      </c>
      <c r="C9" s="247">
        <v>0</v>
      </c>
      <c r="D9" s="247">
        <v>23000</v>
      </c>
      <c r="E9" s="60">
        <v>200000</v>
      </c>
      <c r="F9" s="61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60">
        <v>0</v>
      </c>
      <c r="AD9" s="60">
        <v>0</v>
      </c>
      <c r="AE9" s="60">
        <v>0</v>
      </c>
      <c r="AF9" s="60">
        <v>0</v>
      </c>
      <c r="AG9" s="227"/>
      <c r="AH9" s="238"/>
      <c r="AI9" s="265"/>
    </row>
    <row r="10" spans="1:36" x14ac:dyDescent="0.25">
      <c r="A10" s="139" t="s">
        <v>45</v>
      </c>
      <c r="B10" s="261">
        <v>90</v>
      </c>
      <c r="C10" s="247">
        <v>0</v>
      </c>
      <c r="D10" s="247">
        <v>0</v>
      </c>
      <c r="E10" s="60">
        <v>0</v>
      </c>
      <c r="F10" s="61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C10" s="60">
        <v>0</v>
      </c>
      <c r="AD10" s="60">
        <v>0</v>
      </c>
      <c r="AE10" s="60">
        <v>0</v>
      </c>
      <c r="AF10" s="60">
        <v>0</v>
      </c>
      <c r="AG10" s="334"/>
      <c r="AH10" s="444" t="s">
        <v>197</v>
      </c>
      <c r="AI10" s="265"/>
    </row>
    <row r="11" spans="1:36" ht="15" customHeight="1" x14ac:dyDescent="0.25">
      <c r="A11" s="139" t="s">
        <v>46</v>
      </c>
      <c r="B11" s="261">
        <v>265</v>
      </c>
      <c r="C11" s="247">
        <v>0</v>
      </c>
      <c r="D11" s="247">
        <v>20000</v>
      </c>
      <c r="E11" s="60">
        <v>0</v>
      </c>
      <c r="F11" s="61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60">
        <v>0</v>
      </c>
      <c r="AD11" s="60">
        <v>0</v>
      </c>
      <c r="AE11" s="60">
        <v>0</v>
      </c>
      <c r="AF11" s="60">
        <v>0</v>
      </c>
      <c r="AG11" s="334"/>
      <c r="AH11" s="444"/>
      <c r="AI11" s="143"/>
    </row>
    <row r="12" spans="1:36" ht="26.25" x14ac:dyDescent="0.25">
      <c r="A12" s="139" t="s">
        <v>47</v>
      </c>
      <c r="B12" s="262">
        <v>162000</v>
      </c>
      <c r="C12" s="249">
        <v>0</v>
      </c>
      <c r="D12" s="249">
        <v>0</v>
      </c>
      <c r="E12" s="60">
        <v>0</v>
      </c>
      <c r="F12" s="61">
        <v>0</v>
      </c>
      <c r="G12" s="60">
        <v>0</v>
      </c>
      <c r="H12" s="60">
        <v>0</v>
      </c>
      <c r="I12" s="60">
        <v>550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60">
        <v>0</v>
      </c>
      <c r="AD12" s="60">
        <v>0</v>
      </c>
      <c r="AE12" s="60">
        <v>0</v>
      </c>
      <c r="AF12" s="60">
        <v>0</v>
      </c>
      <c r="AG12" s="334" t="s">
        <v>189</v>
      </c>
      <c r="AH12" s="444"/>
      <c r="AI12" s="152"/>
    </row>
    <row r="13" spans="1:36" x14ac:dyDescent="0.25">
      <c r="A13" s="37" t="s">
        <v>49</v>
      </c>
      <c r="B13" s="24"/>
      <c r="C13" s="318">
        <v>0</v>
      </c>
      <c r="D13" s="136">
        <v>45329900</v>
      </c>
      <c r="E13" s="302">
        <f>SUMPRODUCT($B$8:$B$12,E8:E12)*(1-$B$5)</f>
        <v>54660000</v>
      </c>
      <c r="F13" s="378">
        <f t="shared" ref="F13:AF13" si="1">SUMPRODUCT($B$8:$B$12,F8:F12)*(1-$B$5)</f>
        <v>31980000</v>
      </c>
      <c r="G13" s="302">
        <f t="shared" si="1"/>
        <v>31980000</v>
      </c>
      <c r="H13" s="302">
        <f t="shared" si="1"/>
        <v>31980000</v>
      </c>
      <c r="I13" s="302">
        <f t="shared" si="1"/>
        <v>121080000</v>
      </c>
      <c r="J13" s="302">
        <f t="shared" si="1"/>
        <v>63960000</v>
      </c>
      <c r="K13" s="302">
        <f t="shared" si="1"/>
        <v>63960000</v>
      </c>
      <c r="L13" s="302">
        <f t="shared" si="1"/>
        <v>58630000</v>
      </c>
      <c r="M13" s="302">
        <f t="shared" si="1"/>
        <v>43173000</v>
      </c>
      <c r="N13" s="302">
        <f t="shared" si="1"/>
        <v>0</v>
      </c>
      <c r="O13" s="302">
        <f t="shared" si="1"/>
        <v>0</v>
      </c>
      <c r="P13" s="302">
        <f t="shared" si="1"/>
        <v>0</v>
      </c>
      <c r="Q13" s="302">
        <f t="shared" si="1"/>
        <v>0</v>
      </c>
      <c r="R13" s="302">
        <f t="shared" si="1"/>
        <v>0</v>
      </c>
      <c r="S13" s="302">
        <f t="shared" si="1"/>
        <v>0</v>
      </c>
      <c r="T13" s="302">
        <f t="shared" si="1"/>
        <v>0</v>
      </c>
      <c r="U13" s="302">
        <f t="shared" si="1"/>
        <v>0</v>
      </c>
      <c r="V13" s="302">
        <f t="shared" si="1"/>
        <v>0</v>
      </c>
      <c r="W13" s="302">
        <f t="shared" si="1"/>
        <v>0</v>
      </c>
      <c r="X13" s="302">
        <f t="shared" si="1"/>
        <v>0</v>
      </c>
      <c r="Y13" s="302">
        <f t="shared" si="1"/>
        <v>0</v>
      </c>
      <c r="Z13" s="302">
        <f t="shared" si="1"/>
        <v>0</v>
      </c>
      <c r="AA13" s="302">
        <f t="shared" si="1"/>
        <v>0</v>
      </c>
      <c r="AB13" s="302">
        <f t="shared" si="1"/>
        <v>0</v>
      </c>
      <c r="AC13" s="302">
        <f t="shared" si="1"/>
        <v>0</v>
      </c>
      <c r="AD13" s="302">
        <f t="shared" si="1"/>
        <v>0</v>
      </c>
      <c r="AE13" s="302">
        <f t="shared" si="1"/>
        <v>0</v>
      </c>
      <c r="AF13" s="302">
        <f t="shared" si="1"/>
        <v>0</v>
      </c>
      <c r="AG13" s="229" t="s">
        <v>143</v>
      </c>
      <c r="AH13" s="239"/>
      <c r="AI13" s="143"/>
      <c r="AJ13" s="37"/>
    </row>
    <row r="14" spans="1:36" x14ac:dyDescent="0.25">
      <c r="A14" t="s">
        <v>97</v>
      </c>
      <c r="C14" s="319">
        <v>3788683.0264020502</v>
      </c>
      <c r="D14" s="136">
        <f>C16</f>
        <v>3864456.6869300911</v>
      </c>
      <c r="E14" s="175">
        <f>D16</f>
        <v>49271645.82066869</v>
      </c>
      <c r="F14" s="293">
        <f>E16</f>
        <v>104917078.73708206</v>
      </c>
      <c r="G14" s="144">
        <f t="shared" ref="G14:L14" si="2">F16</f>
        <v>138995420.3118237</v>
      </c>
      <c r="H14" s="144">
        <f t="shared" si="2"/>
        <v>173755328.71806017</v>
      </c>
      <c r="I14" s="144">
        <f t="shared" si="2"/>
        <v>209210435.29242137</v>
      </c>
      <c r="J14" s="144">
        <f t="shared" si="2"/>
        <v>334474643.9982698</v>
      </c>
      <c r="K14" s="144">
        <f t="shared" si="2"/>
        <v>405124136.87823522</v>
      </c>
      <c r="L14" s="144">
        <f t="shared" si="2"/>
        <v>477186619.6157999</v>
      </c>
      <c r="M14" s="144">
        <f>L16</f>
        <v>545360352.00811589</v>
      </c>
      <c r="N14" s="144">
        <f t="shared" ref="N14:AF14" si="3">M16</f>
        <v>599440559.04827821</v>
      </c>
      <c r="O14" s="144">
        <f t="shared" si="3"/>
        <v>611429370.22924376</v>
      </c>
      <c r="P14" s="144">
        <f t="shared" si="3"/>
        <v>623657957.63382864</v>
      </c>
      <c r="Q14" s="144">
        <f t="shared" si="3"/>
        <v>636131116.78650522</v>
      </c>
      <c r="R14" s="144">
        <f t="shared" si="3"/>
        <v>648853739.1222353</v>
      </c>
      <c r="S14" s="144">
        <f t="shared" si="3"/>
        <v>661830813.90468001</v>
      </c>
      <c r="T14" s="144">
        <f t="shared" si="3"/>
        <v>675067430.18277359</v>
      </c>
      <c r="U14" s="144">
        <f t="shared" si="3"/>
        <v>688568778.78642905</v>
      </c>
      <c r="V14" s="144">
        <f t="shared" si="3"/>
        <v>702340154.36215758</v>
      </c>
      <c r="W14" s="144">
        <f t="shared" si="3"/>
        <v>716386957.44940078</v>
      </c>
      <c r="X14" s="144">
        <f t="shared" si="3"/>
        <v>730714696.59838879</v>
      </c>
      <c r="Y14" s="144">
        <f t="shared" si="3"/>
        <v>745328990.53035653</v>
      </c>
      <c r="Z14" s="144">
        <f t="shared" si="3"/>
        <v>760235570.3409636</v>
      </c>
      <c r="AA14" s="144">
        <f t="shared" si="3"/>
        <v>775440281.74778283</v>
      </c>
      <c r="AB14" s="144">
        <f t="shared" si="3"/>
        <v>790949087.38273847</v>
      </c>
      <c r="AC14" s="144">
        <f t="shared" si="3"/>
        <v>806768069.13039327</v>
      </c>
      <c r="AD14" s="144">
        <f t="shared" si="3"/>
        <v>822903430.51300108</v>
      </c>
      <c r="AE14" s="144">
        <f t="shared" si="3"/>
        <v>839361499.12326109</v>
      </c>
      <c r="AF14" s="144">
        <f t="shared" si="3"/>
        <v>856148729.10572636</v>
      </c>
      <c r="AG14" s="227" t="s">
        <v>145</v>
      </c>
      <c r="AH14" s="238"/>
      <c r="AI14" s="152"/>
    </row>
    <row r="15" spans="1:36" x14ac:dyDescent="0.25">
      <c r="A15" t="s">
        <v>94</v>
      </c>
      <c r="B15" s="8"/>
      <c r="C15" s="320">
        <v>75773.660528041</v>
      </c>
      <c r="D15" s="132">
        <f t="shared" ref="D15:AF15" si="4">D14*0.02</f>
        <v>77289.133738601828</v>
      </c>
      <c r="E15" s="136">
        <f t="shared" si="4"/>
        <v>985432.91641337378</v>
      </c>
      <c r="F15" s="206">
        <f t="shared" si="4"/>
        <v>2098341.5747416415</v>
      </c>
      <c r="G15" s="132">
        <f t="shared" si="4"/>
        <v>2779908.4062364739</v>
      </c>
      <c r="H15" s="132">
        <f t="shared" si="4"/>
        <v>3475106.5743612032</v>
      </c>
      <c r="I15" s="132">
        <f t="shared" si="4"/>
        <v>4184208.7058484275</v>
      </c>
      <c r="J15" s="132">
        <f t="shared" si="4"/>
        <v>6689492.8799653957</v>
      </c>
      <c r="K15" s="132">
        <f t="shared" si="4"/>
        <v>8102482.7375647044</v>
      </c>
      <c r="L15" s="132">
        <f t="shared" si="4"/>
        <v>9543732.3923159987</v>
      </c>
      <c r="M15" s="132">
        <f t="shared" si="4"/>
        <v>10907207.040162317</v>
      </c>
      <c r="N15" s="132">
        <f t="shared" si="4"/>
        <v>11988811.180965565</v>
      </c>
      <c r="O15" s="132">
        <f t="shared" si="4"/>
        <v>12228587.404584875</v>
      </c>
      <c r="P15" s="132">
        <f t="shared" si="4"/>
        <v>12473159.152676573</v>
      </c>
      <c r="Q15" s="132">
        <f t="shared" si="4"/>
        <v>12722622.335730106</v>
      </c>
      <c r="R15" s="132">
        <f t="shared" si="4"/>
        <v>12977074.782444706</v>
      </c>
      <c r="S15" s="132">
        <f t="shared" si="4"/>
        <v>13236616.278093601</v>
      </c>
      <c r="T15" s="132">
        <f t="shared" si="4"/>
        <v>13501348.603655472</v>
      </c>
      <c r="U15" s="132">
        <f t="shared" si="4"/>
        <v>13771375.57572858</v>
      </c>
      <c r="V15" s="132">
        <f t="shared" si="4"/>
        <v>14046803.087243153</v>
      </c>
      <c r="W15" s="132">
        <f t="shared" si="4"/>
        <v>14327739.148988016</v>
      </c>
      <c r="X15" s="132">
        <f t="shared" si="4"/>
        <v>14614293.931967776</v>
      </c>
      <c r="Y15" s="132">
        <f t="shared" si="4"/>
        <v>14906579.810607132</v>
      </c>
      <c r="Z15" s="132">
        <f t="shared" si="4"/>
        <v>15204711.406819273</v>
      </c>
      <c r="AA15" s="132">
        <f t="shared" si="4"/>
        <v>15508805.634955658</v>
      </c>
      <c r="AB15" s="132">
        <f t="shared" si="4"/>
        <v>15818981.74765477</v>
      </c>
      <c r="AC15" s="132">
        <f t="shared" si="4"/>
        <v>16135361.382607866</v>
      </c>
      <c r="AD15" s="132">
        <f t="shared" si="4"/>
        <v>16458068.610260023</v>
      </c>
      <c r="AE15" s="132">
        <f t="shared" si="4"/>
        <v>16787229.982465222</v>
      </c>
      <c r="AF15" s="132">
        <f t="shared" si="4"/>
        <v>17122974.582114529</v>
      </c>
      <c r="AG15" s="227" t="s">
        <v>146</v>
      </c>
      <c r="AH15" s="238"/>
      <c r="AI15" s="152"/>
    </row>
    <row r="16" spans="1:36" x14ac:dyDescent="0.25">
      <c r="A16" t="s">
        <v>203</v>
      </c>
      <c r="C16" s="82">
        <f>SUM(C13:C15)</f>
        <v>3864456.6869300911</v>
      </c>
      <c r="D16" s="173">
        <f>D13+D14+D15</f>
        <v>49271645.82066869</v>
      </c>
      <c r="E16" s="303">
        <f t="shared" ref="E16:AF16" si="5">E13+E14+E15</f>
        <v>104917078.73708206</v>
      </c>
      <c r="F16" s="207">
        <f t="shared" si="5"/>
        <v>138995420.3118237</v>
      </c>
      <c r="G16" s="82">
        <f t="shared" si="5"/>
        <v>173755328.71806017</v>
      </c>
      <c r="H16" s="82">
        <f t="shared" si="5"/>
        <v>209210435.29242137</v>
      </c>
      <c r="I16" s="82">
        <f t="shared" si="5"/>
        <v>334474643.9982698</v>
      </c>
      <c r="J16" s="82">
        <f t="shared" si="5"/>
        <v>405124136.87823522</v>
      </c>
      <c r="K16" s="82">
        <f t="shared" si="5"/>
        <v>477186619.6157999</v>
      </c>
      <c r="L16" s="82">
        <f t="shared" si="5"/>
        <v>545360352.00811589</v>
      </c>
      <c r="M16" s="82">
        <f t="shared" si="5"/>
        <v>599440559.04827821</v>
      </c>
      <c r="N16" s="82">
        <f t="shared" si="5"/>
        <v>611429370.22924376</v>
      </c>
      <c r="O16" s="82">
        <f t="shared" si="5"/>
        <v>623657957.63382864</v>
      </c>
      <c r="P16" s="82">
        <f t="shared" si="5"/>
        <v>636131116.78650522</v>
      </c>
      <c r="Q16" s="82">
        <f t="shared" si="5"/>
        <v>648853739.1222353</v>
      </c>
      <c r="R16" s="82">
        <f t="shared" si="5"/>
        <v>661830813.90468001</v>
      </c>
      <c r="S16" s="82">
        <f t="shared" si="5"/>
        <v>675067430.18277359</v>
      </c>
      <c r="T16" s="82">
        <f t="shared" si="5"/>
        <v>688568778.78642905</v>
      </c>
      <c r="U16" s="82">
        <f t="shared" si="5"/>
        <v>702340154.36215758</v>
      </c>
      <c r="V16" s="82">
        <f t="shared" si="5"/>
        <v>716386957.44940078</v>
      </c>
      <c r="W16" s="82">
        <f t="shared" si="5"/>
        <v>730714696.59838879</v>
      </c>
      <c r="X16" s="82">
        <f t="shared" si="5"/>
        <v>745328990.53035653</v>
      </c>
      <c r="Y16" s="82">
        <f t="shared" si="5"/>
        <v>760235570.3409636</v>
      </c>
      <c r="Z16" s="82">
        <f t="shared" si="5"/>
        <v>775440281.74778283</v>
      </c>
      <c r="AA16" s="82">
        <f t="shared" si="5"/>
        <v>790949087.38273847</v>
      </c>
      <c r="AB16" s="82">
        <f t="shared" si="5"/>
        <v>806768069.13039327</v>
      </c>
      <c r="AC16" s="82">
        <f t="shared" si="5"/>
        <v>822903430.51300108</v>
      </c>
      <c r="AD16" s="82">
        <f t="shared" si="5"/>
        <v>839361499.12326109</v>
      </c>
      <c r="AE16" s="82">
        <f t="shared" si="5"/>
        <v>856148729.10572636</v>
      </c>
      <c r="AF16" s="82">
        <f t="shared" si="5"/>
        <v>873271703.68784094</v>
      </c>
      <c r="AG16" s="335" t="s">
        <v>176</v>
      </c>
      <c r="AH16" s="240" t="s">
        <v>190</v>
      </c>
      <c r="AI16" s="152"/>
    </row>
    <row r="17" spans="1:49" x14ac:dyDescent="0.25">
      <c r="A17" t="s">
        <v>12</v>
      </c>
      <c r="C17" s="146">
        <f t="shared" ref="C17:AF17" si="6">-$B$6</f>
        <v>0</v>
      </c>
      <c r="D17" s="146">
        <f t="shared" si="6"/>
        <v>0</v>
      </c>
      <c r="E17" s="69">
        <f t="shared" si="6"/>
        <v>0</v>
      </c>
      <c r="F17" s="294">
        <f t="shared" si="6"/>
        <v>0</v>
      </c>
      <c r="G17" s="56">
        <f t="shared" si="6"/>
        <v>0</v>
      </c>
      <c r="H17" s="56">
        <f t="shared" si="6"/>
        <v>0</v>
      </c>
      <c r="I17" s="56">
        <f t="shared" si="6"/>
        <v>0</v>
      </c>
      <c r="J17" s="56">
        <f t="shared" si="6"/>
        <v>0</v>
      </c>
      <c r="K17" s="56">
        <f t="shared" si="6"/>
        <v>0</v>
      </c>
      <c r="L17" s="56">
        <f t="shared" si="6"/>
        <v>0</v>
      </c>
      <c r="M17" s="56">
        <f t="shared" si="6"/>
        <v>0</v>
      </c>
      <c r="N17" s="56">
        <f t="shared" si="6"/>
        <v>0</v>
      </c>
      <c r="O17" s="56">
        <f t="shared" si="6"/>
        <v>0</v>
      </c>
      <c r="P17" s="56">
        <f t="shared" si="6"/>
        <v>0</v>
      </c>
      <c r="Q17" s="56">
        <f t="shared" si="6"/>
        <v>0</v>
      </c>
      <c r="R17" s="56">
        <f t="shared" si="6"/>
        <v>0</v>
      </c>
      <c r="S17" s="56">
        <f t="shared" si="6"/>
        <v>0</v>
      </c>
      <c r="T17" s="56">
        <f t="shared" si="6"/>
        <v>0</v>
      </c>
      <c r="U17" s="56">
        <f t="shared" si="6"/>
        <v>0</v>
      </c>
      <c r="V17" s="56">
        <f t="shared" si="6"/>
        <v>0</v>
      </c>
      <c r="W17" s="56">
        <f t="shared" si="6"/>
        <v>0</v>
      </c>
      <c r="X17" s="56">
        <f t="shared" si="6"/>
        <v>0</v>
      </c>
      <c r="Y17" s="56">
        <f t="shared" si="6"/>
        <v>0</v>
      </c>
      <c r="Z17" s="56">
        <f t="shared" si="6"/>
        <v>0</v>
      </c>
      <c r="AA17" s="56">
        <f t="shared" si="6"/>
        <v>0</v>
      </c>
      <c r="AB17" s="56">
        <f t="shared" si="6"/>
        <v>0</v>
      </c>
      <c r="AC17" s="56">
        <f t="shared" si="6"/>
        <v>0</v>
      </c>
      <c r="AD17" s="56">
        <f t="shared" si="6"/>
        <v>0</v>
      </c>
      <c r="AE17" s="56">
        <f t="shared" si="6"/>
        <v>0</v>
      </c>
      <c r="AF17" s="56">
        <f t="shared" si="6"/>
        <v>0</v>
      </c>
      <c r="AG17" s="227" t="s">
        <v>144</v>
      </c>
      <c r="AH17" s="238" t="s">
        <v>144</v>
      </c>
      <c r="AI17" s="152"/>
    </row>
    <row r="18" spans="1:49" x14ac:dyDescent="0.25">
      <c r="A18" s="1" t="s">
        <v>51</v>
      </c>
      <c r="C18" s="96">
        <f>C20/B20</f>
        <v>3864456.6869300911</v>
      </c>
      <c r="D18" s="299">
        <f t="shared" ref="D18:AF18" si="7">SUM(D16:D17)</f>
        <v>49271645.82066869</v>
      </c>
      <c r="E18" s="353">
        <f t="shared" si="7"/>
        <v>104917078.73708206</v>
      </c>
      <c r="F18" s="295">
        <f t="shared" si="7"/>
        <v>138995420.3118237</v>
      </c>
      <c r="G18" s="70">
        <f t="shared" si="7"/>
        <v>173755328.71806017</v>
      </c>
      <c r="H18" s="70">
        <f t="shared" si="7"/>
        <v>209210435.29242137</v>
      </c>
      <c r="I18" s="70">
        <f t="shared" si="7"/>
        <v>334474643.9982698</v>
      </c>
      <c r="J18" s="70">
        <f t="shared" si="7"/>
        <v>405124136.87823522</v>
      </c>
      <c r="K18" s="70">
        <f t="shared" si="7"/>
        <v>477186619.6157999</v>
      </c>
      <c r="L18" s="70">
        <f t="shared" si="7"/>
        <v>545360352.00811589</v>
      </c>
      <c r="M18" s="70">
        <f t="shared" si="7"/>
        <v>599440559.04827821</v>
      </c>
      <c r="N18" s="70">
        <f t="shared" si="7"/>
        <v>611429370.22924376</v>
      </c>
      <c r="O18" s="70">
        <f t="shared" si="7"/>
        <v>623657957.63382864</v>
      </c>
      <c r="P18" s="70">
        <f t="shared" si="7"/>
        <v>636131116.78650522</v>
      </c>
      <c r="Q18" s="70">
        <f t="shared" si="7"/>
        <v>648853739.1222353</v>
      </c>
      <c r="R18" s="70">
        <f t="shared" si="7"/>
        <v>661830813.90468001</v>
      </c>
      <c r="S18" s="70">
        <f t="shared" si="7"/>
        <v>675067430.18277359</v>
      </c>
      <c r="T18" s="70">
        <f t="shared" si="7"/>
        <v>688568778.78642905</v>
      </c>
      <c r="U18" s="70">
        <f t="shared" si="7"/>
        <v>702340154.36215758</v>
      </c>
      <c r="V18" s="70">
        <f t="shared" si="7"/>
        <v>716386957.44940078</v>
      </c>
      <c r="W18" s="70">
        <f t="shared" si="7"/>
        <v>730714696.59838879</v>
      </c>
      <c r="X18" s="70">
        <f t="shared" si="7"/>
        <v>745328990.53035653</v>
      </c>
      <c r="Y18" s="70">
        <f t="shared" si="7"/>
        <v>760235570.3409636</v>
      </c>
      <c r="Z18" s="70">
        <f t="shared" si="7"/>
        <v>775440281.74778283</v>
      </c>
      <c r="AA18" s="70">
        <f t="shared" si="7"/>
        <v>790949087.38273847</v>
      </c>
      <c r="AB18" s="70">
        <f t="shared" si="7"/>
        <v>806768069.13039327</v>
      </c>
      <c r="AC18" s="70">
        <f t="shared" si="7"/>
        <v>822903430.51300108</v>
      </c>
      <c r="AD18" s="70">
        <f t="shared" si="7"/>
        <v>839361499.12326109</v>
      </c>
      <c r="AE18" s="70">
        <f t="shared" si="7"/>
        <v>856148729.10572636</v>
      </c>
      <c r="AF18" s="70">
        <f t="shared" si="7"/>
        <v>873271703.68784094</v>
      </c>
      <c r="AG18" s="227" t="s">
        <v>177</v>
      </c>
      <c r="AH18" s="238" t="s">
        <v>191</v>
      </c>
      <c r="AI18" s="152"/>
    </row>
    <row r="19" spans="1:49" ht="8.1" customHeight="1" x14ac:dyDescent="0.25">
      <c r="C19" s="82"/>
      <c r="D19" s="173"/>
      <c r="E19" s="69"/>
      <c r="F19" s="296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227"/>
      <c r="AH19" s="238"/>
      <c r="AI19" s="152"/>
    </row>
    <row r="20" spans="1:49" x14ac:dyDescent="0.25">
      <c r="A20" t="s">
        <v>42</v>
      </c>
      <c r="B20" s="253">
        <v>0.01</v>
      </c>
      <c r="C20" s="82">
        <f>B20*C16</f>
        <v>38644.566869300914</v>
      </c>
      <c r="D20" s="173">
        <f>D18*B20</f>
        <v>492716.45820668689</v>
      </c>
      <c r="E20" s="69">
        <f>$B$20*E18</f>
        <v>1049170.7873708208</v>
      </c>
      <c r="F20" s="296">
        <f t="shared" ref="F20:AF20" si="8">$B$20*F18</f>
        <v>1389954.203118237</v>
      </c>
      <c r="G20" s="68">
        <f t="shared" si="8"/>
        <v>1737553.2871806016</v>
      </c>
      <c r="H20" s="68">
        <f t="shared" si="8"/>
        <v>2092104.3529242137</v>
      </c>
      <c r="I20" s="68">
        <f t="shared" si="8"/>
        <v>3344746.4399826978</v>
      </c>
      <c r="J20" s="68">
        <f t="shared" si="8"/>
        <v>4051241.3687823522</v>
      </c>
      <c r="K20" s="68">
        <f t="shared" si="8"/>
        <v>4771866.1961579993</v>
      </c>
      <c r="L20" s="68">
        <f t="shared" si="8"/>
        <v>5453603.5200811587</v>
      </c>
      <c r="M20" s="68">
        <f t="shared" si="8"/>
        <v>5994405.5904827826</v>
      </c>
      <c r="N20" s="68">
        <f t="shared" si="8"/>
        <v>6114293.7022924377</v>
      </c>
      <c r="O20" s="68">
        <f t="shared" si="8"/>
        <v>6236579.5763382865</v>
      </c>
      <c r="P20" s="68">
        <f t="shared" si="8"/>
        <v>6361311.1678650528</v>
      </c>
      <c r="Q20" s="68">
        <f t="shared" si="8"/>
        <v>6488537.3912223531</v>
      </c>
      <c r="R20" s="68">
        <f t="shared" si="8"/>
        <v>6618308.1390468003</v>
      </c>
      <c r="S20" s="68">
        <f t="shared" si="8"/>
        <v>6750674.3018277362</v>
      </c>
      <c r="T20" s="68">
        <f t="shared" si="8"/>
        <v>6885687.7878642902</v>
      </c>
      <c r="U20" s="68">
        <f t="shared" si="8"/>
        <v>7023401.5436215764</v>
      </c>
      <c r="V20" s="68">
        <f t="shared" si="8"/>
        <v>7163869.574494008</v>
      </c>
      <c r="W20" s="68">
        <f t="shared" si="8"/>
        <v>7307146.9659838881</v>
      </c>
      <c r="X20" s="68">
        <f t="shared" si="8"/>
        <v>7453289.9053035658</v>
      </c>
      <c r="Y20" s="68">
        <f t="shared" si="8"/>
        <v>7602355.7034096364</v>
      </c>
      <c r="Z20" s="68">
        <f t="shared" si="8"/>
        <v>7754402.8174778288</v>
      </c>
      <c r="AA20" s="68">
        <f t="shared" si="8"/>
        <v>7909490.8738273848</v>
      </c>
      <c r="AB20" s="68">
        <f t="shared" si="8"/>
        <v>8067680.691303933</v>
      </c>
      <c r="AC20" s="68">
        <f t="shared" si="8"/>
        <v>8229034.3051300114</v>
      </c>
      <c r="AD20" s="68">
        <f t="shared" si="8"/>
        <v>8393614.9912326112</v>
      </c>
      <c r="AE20" s="68">
        <f t="shared" si="8"/>
        <v>8561487.2910572644</v>
      </c>
      <c r="AF20" s="68">
        <f t="shared" si="8"/>
        <v>8732717.0368784089</v>
      </c>
      <c r="AG20" s="227" t="s">
        <v>178</v>
      </c>
      <c r="AH20" s="240" t="s">
        <v>192</v>
      </c>
      <c r="AI20" s="152"/>
    </row>
    <row r="21" spans="1:49" x14ac:dyDescent="0.25">
      <c r="A21" t="s">
        <v>41</v>
      </c>
      <c r="B21" s="176">
        <v>0.2</v>
      </c>
      <c r="C21" s="173">
        <f t="shared" ref="C21:L21" si="9">-$B21*C20</f>
        <v>-7728.9133738601831</v>
      </c>
      <c r="D21" s="173">
        <f t="shared" si="9"/>
        <v>-98543.29164133739</v>
      </c>
      <c r="E21" s="69">
        <f t="shared" si="9"/>
        <v>-209834.15747416415</v>
      </c>
      <c r="F21" s="296">
        <f t="shared" si="9"/>
        <v>-277990.84062364738</v>
      </c>
      <c r="G21" s="69">
        <f t="shared" si="9"/>
        <v>-347510.65743612032</v>
      </c>
      <c r="H21" s="69">
        <f t="shared" si="9"/>
        <v>-418420.87058484275</v>
      </c>
      <c r="I21" s="69">
        <f t="shared" si="9"/>
        <v>-668949.28799653961</v>
      </c>
      <c r="J21" s="69">
        <f t="shared" si="9"/>
        <v>-810248.27375647053</v>
      </c>
      <c r="K21" s="69">
        <f t="shared" si="9"/>
        <v>-954373.23923159996</v>
      </c>
      <c r="L21" s="69">
        <f t="shared" si="9"/>
        <v>-1090720.7040162317</v>
      </c>
      <c r="M21" s="69">
        <f>-$B21*M20</f>
        <v>-1198881.1180965565</v>
      </c>
      <c r="N21" s="69">
        <f t="shared" ref="N21:AF21" si="10">-$B21*N20</f>
        <v>-1222858.7404584875</v>
      </c>
      <c r="O21" s="69">
        <f t="shared" si="10"/>
        <v>-1247315.9152676573</v>
      </c>
      <c r="P21" s="69">
        <f t="shared" si="10"/>
        <v>-1272262.2335730107</v>
      </c>
      <c r="Q21" s="69">
        <f t="shared" si="10"/>
        <v>-1297707.4782444707</v>
      </c>
      <c r="R21" s="69">
        <f t="shared" si="10"/>
        <v>-1323661.6278093602</v>
      </c>
      <c r="S21" s="69">
        <f t="shared" si="10"/>
        <v>-1350134.8603655472</v>
      </c>
      <c r="T21" s="69">
        <f t="shared" si="10"/>
        <v>-1377137.5575728582</v>
      </c>
      <c r="U21" s="69">
        <f t="shared" si="10"/>
        <v>-1404680.3087243154</v>
      </c>
      <c r="V21" s="69">
        <f t="shared" si="10"/>
        <v>-1432773.9148988016</v>
      </c>
      <c r="W21" s="69">
        <f t="shared" si="10"/>
        <v>-1461429.3931967777</v>
      </c>
      <c r="X21" s="69">
        <f t="shared" si="10"/>
        <v>-1490657.9810607133</v>
      </c>
      <c r="Y21" s="69">
        <f t="shared" si="10"/>
        <v>-1520471.1406819273</v>
      </c>
      <c r="Z21" s="69">
        <f t="shared" si="10"/>
        <v>-1550880.5634955659</v>
      </c>
      <c r="AA21" s="69">
        <f t="shared" si="10"/>
        <v>-1581898.174765477</v>
      </c>
      <c r="AB21" s="69">
        <f t="shared" si="10"/>
        <v>-1613536.1382607867</v>
      </c>
      <c r="AC21" s="69">
        <f t="shared" si="10"/>
        <v>-1645806.8610260023</v>
      </c>
      <c r="AD21" s="69">
        <f t="shared" si="10"/>
        <v>-1678722.9982465224</v>
      </c>
      <c r="AE21" s="69">
        <f t="shared" si="10"/>
        <v>-1712297.4582114529</v>
      </c>
      <c r="AF21" s="69">
        <f t="shared" si="10"/>
        <v>-1746543.4073756819</v>
      </c>
      <c r="AG21" s="231" t="s">
        <v>179</v>
      </c>
      <c r="AH21" s="241" t="s">
        <v>193</v>
      </c>
      <c r="AI21" s="152"/>
    </row>
    <row r="22" spans="1:49" x14ac:dyDescent="0.25">
      <c r="A22" s="1" t="s">
        <v>69</v>
      </c>
      <c r="B22" s="254"/>
      <c r="C22" s="204">
        <f>SUM(C20:C21)</f>
        <v>30915.653495440733</v>
      </c>
      <c r="D22" s="112">
        <f t="shared" ref="D22:AF22" si="11">SUM(D20:D21)</f>
        <v>394173.1665653495</v>
      </c>
      <c r="E22" s="71">
        <f t="shared" si="11"/>
        <v>839336.62989665661</v>
      </c>
      <c r="F22" s="297">
        <f t="shared" si="11"/>
        <v>1111963.3624945895</v>
      </c>
      <c r="G22" s="71">
        <f t="shared" si="11"/>
        <v>1390042.6297444813</v>
      </c>
      <c r="H22" s="71">
        <f t="shared" si="11"/>
        <v>1673683.482339371</v>
      </c>
      <c r="I22" s="71">
        <f t="shared" si="11"/>
        <v>2675797.1519861585</v>
      </c>
      <c r="J22" s="71">
        <f t="shared" si="11"/>
        <v>3240993.0950258817</v>
      </c>
      <c r="K22" s="71">
        <f t="shared" si="11"/>
        <v>3817492.9569263994</v>
      </c>
      <c r="L22" s="71">
        <f t="shared" si="11"/>
        <v>4362882.8160649268</v>
      </c>
      <c r="M22" s="71">
        <f t="shared" si="11"/>
        <v>4795524.4723862261</v>
      </c>
      <c r="N22" s="71">
        <f t="shared" si="11"/>
        <v>4891434.9618339501</v>
      </c>
      <c r="O22" s="71">
        <f t="shared" si="11"/>
        <v>4989263.661070629</v>
      </c>
      <c r="P22" s="71">
        <f t="shared" si="11"/>
        <v>5089048.9342920426</v>
      </c>
      <c r="Q22" s="71">
        <f t="shared" si="11"/>
        <v>5190829.9129778827</v>
      </c>
      <c r="R22" s="71">
        <f t="shared" si="11"/>
        <v>5294646.5112374406</v>
      </c>
      <c r="S22" s="71">
        <f t="shared" si="11"/>
        <v>5400539.441462189</v>
      </c>
      <c r="T22" s="71">
        <f t="shared" si="11"/>
        <v>5508550.2302914318</v>
      </c>
      <c r="U22" s="71">
        <f t="shared" si="11"/>
        <v>5618721.2348972615</v>
      </c>
      <c r="V22" s="71">
        <f t="shared" si="11"/>
        <v>5731095.6595952064</v>
      </c>
      <c r="W22" s="71">
        <f t="shared" si="11"/>
        <v>5845717.5727871107</v>
      </c>
      <c r="X22" s="71">
        <f t="shared" si="11"/>
        <v>5962631.9242428523</v>
      </c>
      <c r="Y22" s="71">
        <f t="shared" si="11"/>
        <v>6081884.5627277093</v>
      </c>
      <c r="Z22" s="71">
        <f t="shared" si="11"/>
        <v>6203522.2539822627</v>
      </c>
      <c r="AA22" s="71">
        <f t="shared" si="11"/>
        <v>6327592.6990619078</v>
      </c>
      <c r="AB22" s="71">
        <f t="shared" si="11"/>
        <v>6454144.5530431466</v>
      </c>
      <c r="AC22" s="71">
        <f t="shared" si="11"/>
        <v>6583227.4441040093</v>
      </c>
      <c r="AD22" s="71">
        <f>SUM(AD20:AD21)</f>
        <v>6714891.9929860886</v>
      </c>
      <c r="AE22" s="71">
        <f t="shared" si="11"/>
        <v>6849189.8328458117</v>
      </c>
      <c r="AF22" s="71">
        <f t="shared" si="11"/>
        <v>6986173.6295027267</v>
      </c>
      <c r="AG22" s="227" t="s">
        <v>180</v>
      </c>
      <c r="AH22" s="238" t="s">
        <v>150</v>
      </c>
      <c r="AI22" s="152"/>
    </row>
    <row r="23" spans="1:49" ht="8.1" customHeight="1" x14ac:dyDescent="0.25">
      <c r="A23" s="1"/>
      <c r="B23" s="254"/>
      <c r="C23" s="82"/>
      <c r="D23" s="173"/>
      <c r="E23" s="69"/>
      <c r="F23" s="296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227"/>
      <c r="AH23" s="238"/>
      <c r="AI23" s="152"/>
    </row>
    <row r="24" spans="1:49" ht="15" customHeight="1" x14ac:dyDescent="0.25">
      <c r="A24" s="1" t="s">
        <v>222</v>
      </c>
      <c r="B24" s="254"/>
      <c r="C24" s="82"/>
      <c r="D24" s="173"/>
      <c r="E24" s="69"/>
      <c r="F24" s="296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227"/>
      <c r="AH24" s="238"/>
      <c r="AI24" s="238"/>
      <c r="AJ24" s="124"/>
      <c r="AK24" s="326"/>
      <c r="AL24" s="326"/>
      <c r="AM24" s="445"/>
    </row>
    <row r="25" spans="1:49" ht="15" customHeight="1" x14ac:dyDescent="0.25">
      <c r="A25" s="19" t="s">
        <v>220</v>
      </c>
      <c r="B25" s="255">
        <f>25%*54%</f>
        <v>0.13500000000000001</v>
      </c>
      <c r="C25" s="82">
        <v>0</v>
      </c>
      <c r="D25" s="173">
        <f>-$B$25*D22</f>
        <v>-53213.377486322184</v>
      </c>
      <c r="E25" s="69">
        <f>-$B$25*E22</f>
        <v>-113310.44503604865</v>
      </c>
      <c r="F25" s="296">
        <f t="shared" ref="F25:AF25" si="12">-$B$25*F22</f>
        <v>-150115.0539367696</v>
      </c>
      <c r="G25" s="68">
        <f t="shared" si="12"/>
        <v>-187655.75501550498</v>
      </c>
      <c r="H25" s="68">
        <f t="shared" si="12"/>
        <v>-225947.2701158151</v>
      </c>
      <c r="I25" s="68">
        <f t="shared" si="12"/>
        <v>-361232.61551813141</v>
      </c>
      <c r="J25" s="68">
        <f t="shared" si="12"/>
        <v>-437534.06782849407</v>
      </c>
      <c r="K25" s="68">
        <f t="shared" si="12"/>
        <v>-515361.54918506392</v>
      </c>
      <c r="L25" s="68">
        <f t="shared" si="12"/>
        <v>-588989.18016876513</v>
      </c>
      <c r="M25" s="68">
        <f t="shared" si="12"/>
        <v>-647395.80377214053</v>
      </c>
      <c r="N25" s="68">
        <f t="shared" si="12"/>
        <v>-660343.71984758333</v>
      </c>
      <c r="O25" s="68">
        <f t="shared" si="12"/>
        <v>-673550.59424453496</v>
      </c>
      <c r="P25" s="68">
        <f t="shared" si="12"/>
        <v>-687021.60612942581</v>
      </c>
      <c r="Q25" s="68">
        <f t="shared" si="12"/>
        <v>-700762.0382520142</v>
      </c>
      <c r="R25" s="68">
        <f t="shared" si="12"/>
        <v>-714777.27901705448</v>
      </c>
      <c r="S25" s="68">
        <f t="shared" si="12"/>
        <v>-729072.82459739561</v>
      </c>
      <c r="T25" s="68">
        <f t="shared" si="12"/>
        <v>-743654.28108934336</v>
      </c>
      <c r="U25" s="68">
        <f t="shared" si="12"/>
        <v>-758527.36671113037</v>
      </c>
      <c r="V25" s="68">
        <f t="shared" si="12"/>
        <v>-773697.91404535295</v>
      </c>
      <c r="W25" s="68">
        <f t="shared" si="12"/>
        <v>-789171.87232625997</v>
      </c>
      <c r="X25" s="68">
        <f t="shared" si="12"/>
        <v>-804955.30977278505</v>
      </c>
      <c r="Y25" s="68">
        <f t="shared" si="12"/>
        <v>-821054.41596824082</v>
      </c>
      <c r="Z25" s="68">
        <f t="shared" si="12"/>
        <v>-837475.50428760552</v>
      </c>
      <c r="AA25" s="68">
        <f t="shared" si="12"/>
        <v>-854225.01437335764</v>
      </c>
      <c r="AB25" s="68">
        <f t="shared" si="12"/>
        <v>-871309.51466082491</v>
      </c>
      <c r="AC25" s="68">
        <f t="shared" si="12"/>
        <v>-888735.70495404128</v>
      </c>
      <c r="AD25" s="68">
        <f t="shared" si="12"/>
        <v>-906510.41905312205</v>
      </c>
      <c r="AE25" s="68">
        <f t="shared" si="12"/>
        <v>-924640.62743418466</v>
      </c>
      <c r="AF25" s="68">
        <f t="shared" si="12"/>
        <v>-943133.43998286815</v>
      </c>
      <c r="AG25" s="227" t="s">
        <v>224</v>
      </c>
      <c r="AH25" s="238"/>
      <c r="AI25" s="238"/>
      <c r="AJ25" s="124"/>
      <c r="AM25" s="445"/>
    </row>
    <row r="26" spans="1:49" x14ac:dyDescent="0.25">
      <c r="A26" s="317" t="s">
        <v>221</v>
      </c>
      <c r="B26" s="255">
        <f>54%*21%</f>
        <v>0.1134</v>
      </c>
      <c r="C26" s="82">
        <v>0</v>
      </c>
      <c r="D26" s="173">
        <f>-$B$26*D22</f>
        <v>-44699.237088510636</v>
      </c>
      <c r="E26" s="173">
        <f>-$B$26*E22</f>
        <v>-95180.773830280858</v>
      </c>
      <c r="F26" s="207">
        <f t="shared" ref="F26:AF26" si="13">-$B$26*F22</f>
        <v>-126096.64530688645</v>
      </c>
      <c r="G26" s="82">
        <f t="shared" si="13"/>
        <v>-157630.83421302418</v>
      </c>
      <c r="H26" s="82">
        <f t="shared" si="13"/>
        <v>-189795.70689728466</v>
      </c>
      <c r="I26" s="82">
        <f t="shared" si="13"/>
        <v>-303435.39703523036</v>
      </c>
      <c r="J26" s="82">
        <f t="shared" si="13"/>
        <v>-367528.616975935</v>
      </c>
      <c r="K26" s="82">
        <f t="shared" si="13"/>
        <v>-432903.70131545368</v>
      </c>
      <c r="L26" s="82">
        <f t="shared" si="13"/>
        <v>-494750.91134176269</v>
      </c>
      <c r="M26" s="82">
        <f t="shared" si="13"/>
        <v>-543812.475168598</v>
      </c>
      <c r="N26" s="82">
        <f t="shared" si="13"/>
        <v>-554688.72467197001</v>
      </c>
      <c r="O26" s="82">
        <f t="shared" si="13"/>
        <v>-565782.49916540936</v>
      </c>
      <c r="P26" s="82">
        <f t="shared" si="13"/>
        <v>-577098.14914871764</v>
      </c>
      <c r="Q26" s="82">
        <f t="shared" si="13"/>
        <v>-588640.11213169189</v>
      </c>
      <c r="R26" s="82">
        <f t="shared" si="13"/>
        <v>-600412.91437432577</v>
      </c>
      <c r="S26" s="82">
        <f t="shared" si="13"/>
        <v>-612421.17266181228</v>
      </c>
      <c r="T26" s="82">
        <f t="shared" si="13"/>
        <v>-624669.59611504839</v>
      </c>
      <c r="U26" s="82">
        <f t="shared" si="13"/>
        <v>-637162.98803734942</v>
      </c>
      <c r="V26" s="82">
        <f t="shared" si="13"/>
        <v>-649906.24779809639</v>
      </c>
      <c r="W26" s="82">
        <f t="shared" si="13"/>
        <v>-662904.37275405833</v>
      </c>
      <c r="X26" s="82">
        <f t="shared" si="13"/>
        <v>-676162.46020913951</v>
      </c>
      <c r="Y26" s="82">
        <f t="shared" si="13"/>
        <v>-689685.70941332227</v>
      </c>
      <c r="Z26" s="82">
        <f t="shared" si="13"/>
        <v>-703479.42360158858</v>
      </c>
      <c r="AA26" s="82">
        <f t="shared" si="13"/>
        <v>-717549.01207362034</v>
      </c>
      <c r="AB26" s="82">
        <f t="shared" si="13"/>
        <v>-731899.99231509282</v>
      </c>
      <c r="AC26" s="82">
        <f t="shared" si="13"/>
        <v>-746537.99216139468</v>
      </c>
      <c r="AD26" s="82">
        <f t="shared" si="13"/>
        <v>-761468.75200462248</v>
      </c>
      <c r="AE26" s="82">
        <f t="shared" si="13"/>
        <v>-776698.1270447151</v>
      </c>
      <c r="AF26" s="82">
        <f t="shared" si="13"/>
        <v>-792232.08958560927</v>
      </c>
      <c r="AG26" s="227" t="s">
        <v>225</v>
      </c>
      <c r="AH26" s="240"/>
      <c r="AI26" s="240"/>
      <c r="AJ26" s="124"/>
      <c r="AK26" s="348"/>
      <c r="AL26" s="348"/>
      <c r="AM26" s="288"/>
      <c r="AN26" s="288"/>
      <c r="AO26" s="3"/>
      <c r="AP26" s="3"/>
      <c r="AQ26" s="3"/>
      <c r="AR26" s="3"/>
      <c r="AS26" s="3"/>
      <c r="AT26" s="3"/>
      <c r="AU26" s="3"/>
      <c r="AV26" s="3"/>
      <c r="AW26" s="288"/>
    </row>
    <row r="27" spans="1:49" x14ac:dyDescent="0.25">
      <c r="A27" s="322" t="s">
        <v>310</v>
      </c>
      <c r="B27" s="323"/>
      <c r="C27" s="82">
        <v>0</v>
      </c>
      <c r="D27" s="173">
        <v>0</v>
      </c>
      <c r="E27" s="173">
        <v>0</v>
      </c>
      <c r="F27" s="207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f>M22-$L$22</f>
        <v>432641.65632129926</v>
      </c>
      <c r="N27" s="82">
        <f t="shared" ref="N27:AF27" si="14">N22-$L$22</f>
        <v>528552.14576902334</v>
      </c>
      <c r="O27" s="82">
        <f t="shared" si="14"/>
        <v>626380.84500570223</v>
      </c>
      <c r="P27" s="82">
        <f t="shared" si="14"/>
        <v>726166.11822711583</v>
      </c>
      <c r="Q27" s="82">
        <f t="shared" si="14"/>
        <v>827947.09691295587</v>
      </c>
      <c r="R27" s="82">
        <f t="shared" si="14"/>
        <v>931763.69517251384</v>
      </c>
      <c r="S27" s="82">
        <f t="shared" si="14"/>
        <v>1037656.6253972622</v>
      </c>
      <c r="T27" s="82">
        <f t="shared" si="14"/>
        <v>1145667.414226505</v>
      </c>
      <c r="U27" s="82">
        <f t="shared" si="14"/>
        <v>1255838.4188323347</v>
      </c>
      <c r="V27" s="82">
        <f t="shared" si="14"/>
        <v>1368212.8435302796</v>
      </c>
      <c r="W27" s="82">
        <f t="shared" si="14"/>
        <v>1482834.7567221839</v>
      </c>
      <c r="X27" s="82">
        <f t="shared" si="14"/>
        <v>1599749.1081779255</v>
      </c>
      <c r="Y27" s="82">
        <f t="shared" si="14"/>
        <v>1719001.7466627825</v>
      </c>
      <c r="Z27" s="82">
        <f t="shared" si="14"/>
        <v>1840639.4379173359</v>
      </c>
      <c r="AA27" s="82">
        <f t="shared" si="14"/>
        <v>1964709.882996981</v>
      </c>
      <c r="AB27" s="82">
        <f t="shared" si="14"/>
        <v>2091261.7369782198</v>
      </c>
      <c r="AC27" s="82">
        <f t="shared" si="14"/>
        <v>2220344.6280390825</v>
      </c>
      <c r="AD27" s="82">
        <f t="shared" si="14"/>
        <v>2352009.1769211618</v>
      </c>
      <c r="AE27" s="82">
        <f t="shared" si="14"/>
        <v>2486307.0167808849</v>
      </c>
      <c r="AF27" s="82">
        <f t="shared" si="14"/>
        <v>2623290.8134377999</v>
      </c>
      <c r="AG27" s="227"/>
      <c r="AH27" s="246"/>
      <c r="AI27" s="246"/>
      <c r="AJ27" s="124"/>
      <c r="AK27" s="348"/>
      <c r="AL27" s="348"/>
      <c r="AM27" s="288"/>
      <c r="AN27" s="288"/>
      <c r="AO27" s="3"/>
      <c r="AP27" s="3"/>
      <c r="AQ27" s="3"/>
      <c r="AR27" s="3"/>
      <c r="AS27" s="3"/>
      <c r="AT27" s="3"/>
      <c r="AU27" s="3"/>
      <c r="AV27" s="3"/>
      <c r="AW27" s="288"/>
    </row>
    <row r="28" spans="1:49" x14ac:dyDescent="0.25">
      <c r="A28" s="317" t="s">
        <v>282</v>
      </c>
      <c r="B28" s="256">
        <f>14%*54%</f>
        <v>7.5600000000000014E-2</v>
      </c>
      <c r="C28" s="82">
        <v>0</v>
      </c>
      <c r="D28" s="173">
        <v>0</v>
      </c>
      <c r="E28" s="173">
        <v>0</v>
      </c>
      <c r="F28" s="207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f>-$B$28*M27</f>
        <v>-32707.709217890231</v>
      </c>
      <c r="N28" s="82">
        <f t="shared" ref="N28:AF28" si="15">-$B$28*N27</f>
        <v>-39958.542220138173</v>
      </c>
      <c r="O28" s="82">
        <f t="shared" si="15"/>
        <v>-47354.391882431097</v>
      </c>
      <c r="P28" s="82">
        <f t="shared" si="15"/>
        <v>-54898.158537969968</v>
      </c>
      <c r="Q28" s="82">
        <f t="shared" si="15"/>
        <v>-62592.800526619474</v>
      </c>
      <c r="R28" s="82">
        <f t="shared" si="15"/>
        <v>-70441.335355042058</v>
      </c>
      <c r="S28" s="82">
        <f t="shared" si="15"/>
        <v>-78446.840880033036</v>
      </c>
      <c r="T28" s="82">
        <f t="shared" si="15"/>
        <v>-86612.456515523794</v>
      </c>
      <c r="U28" s="82">
        <f t="shared" si="15"/>
        <v>-94941.38446372452</v>
      </c>
      <c r="V28" s="82">
        <f t="shared" si="15"/>
        <v>-103436.89097088916</v>
      </c>
      <c r="W28" s="82">
        <f t="shared" si="15"/>
        <v>-112102.30760819712</v>
      </c>
      <c r="X28" s="82">
        <f t="shared" si="15"/>
        <v>-120941.03257825119</v>
      </c>
      <c r="Y28" s="82">
        <f t="shared" si="15"/>
        <v>-129956.53204770638</v>
      </c>
      <c r="Z28" s="82">
        <f t="shared" si="15"/>
        <v>-139152.34150655061</v>
      </c>
      <c r="AA28" s="82">
        <f t="shared" si="15"/>
        <v>-148532.06715457179</v>
      </c>
      <c r="AB28" s="82">
        <f t="shared" si="15"/>
        <v>-158099.38731555344</v>
      </c>
      <c r="AC28" s="82">
        <f t="shared" si="15"/>
        <v>-167858.05387975468</v>
      </c>
      <c r="AD28" s="82">
        <f t="shared" si="15"/>
        <v>-177811.89377523988</v>
      </c>
      <c r="AE28" s="82">
        <f t="shared" si="15"/>
        <v>-187964.81046863494</v>
      </c>
      <c r="AF28" s="82">
        <f t="shared" si="15"/>
        <v>-198320.78549589773</v>
      </c>
      <c r="AG28" s="227" t="s">
        <v>225</v>
      </c>
      <c r="AH28" s="240"/>
      <c r="AI28" s="240"/>
      <c r="AJ28" s="124"/>
      <c r="AK28" s="348"/>
      <c r="AL28" s="348"/>
      <c r="AM28" s="288"/>
      <c r="AN28" s="288"/>
      <c r="AO28" s="3"/>
      <c r="AP28" s="3"/>
      <c r="AQ28" s="3"/>
      <c r="AR28" s="3"/>
      <c r="AS28" s="3"/>
      <c r="AT28" s="3"/>
      <c r="AU28" s="3"/>
      <c r="AV28" s="3"/>
      <c r="AW28" s="288"/>
    </row>
    <row r="29" spans="1:49" x14ac:dyDescent="0.25">
      <c r="A29" s="1" t="s">
        <v>223</v>
      </c>
      <c r="B29" s="152"/>
      <c r="C29" s="112">
        <f>C22+SUM(C25:C26)+C28</f>
        <v>30915.653495440733</v>
      </c>
      <c r="D29" s="112">
        <f>D22+SUM(D25:D26)+D28</f>
        <v>296260.55199051672</v>
      </c>
      <c r="E29" s="71">
        <f>E22+SUM(E25:E26)+E28</f>
        <v>630845.41103032709</v>
      </c>
      <c r="F29" s="297">
        <f t="shared" ref="F29:AF29" si="16">F22+SUM(F25:F26)+F28</f>
        <v>835751.6632509334</v>
      </c>
      <c r="G29" s="71">
        <f>G22+SUM(G25:G26)+G28</f>
        <v>1044756.0405159522</v>
      </c>
      <c r="H29" s="71">
        <f t="shared" si="16"/>
        <v>1257940.5053262713</v>
      </c>
      <c r="I29" s="71">
        <f t="shared" si="16"/>
        <v>2011129.1394327967</v>
      </c>
      <c r="J29" s="71">
        <f t="shared" si="16"/>
        <v>2435930.4102214528</v>
      </c>
      <c r="K29" s="71">
        <f t="shared" si="16"/>
        <v>2869227.7064258819</v>
      </c>
      <c r="L29" s="71">
        <f t="shared" si="16"/>
        <v>3279142.724554399</v>
      </c>
      <c r="M29" s="71">
        <f>M22+SUM(M25:M26)+M28</f>
        <v>3571608.4842275972</v>
      </c>
      <c r="N29" s="71">
        <f t="shared" si="16"/>
        <v>3636443.9750942588</v>
      </c>
      <c r="O29" s="71">
        <f t="shared" si="16"/>
        <v>3702576.1757782535</v>
      </c>
      <c r="P29" s="71">
        <f t="shared" si="16"/>
        <v>3770031.0204759291</v>
      </c>
      <c r="Q29" s="71">
        <f t="shared" si="16"/>
        <v>3838834.962067557</v>
      </c>
      <c r="R29" s="71">
        <f t="shared" si="16"/>
        <v>3909014.9824910183</v>
      </c>
      <c r="S29" s="71">
        <f t="shared" si="16"/>
        <v>3980598.6033229479</v>
      </c>
      <c r="T29" s="71">
        <f t="shared" si="16"/>
        <v>4053613.8965715165</v>
      </c>
      <c r="U29" s="71">
        <f t="shared" si="16"/>
        <v>4128089.4956850568</v>
      </c>
      <c r="V29" s="71">
        <f t="shared" si="16"/>
        <v>4204054.606780868</v>
      </c>
      <c r="W29" s="71">
        <f t="shared" si="16"/>
        <v>4281539.0200985949</v>
      </c>
      <c r="X29" s="71">
        <f t="shared" si="16"/>
        <v>4360573.1216826765</v>
      </c>
      <c r="Y29" s="71">
        <f t="shared" si="16"/>
        <v>4441187.9052984398</v>
      </c>
      <c r="Z29" s="71">
        <f t="shared" si="16"/>
        <v>4523414.9845865173</v>
      </c>
      <c r="AA29" s="71">
        <f t="shared" si="16"/>
        <v>4607286.6054603588</v>
      </c>
      <c r="AB29" s="71">
        <f t="shared" si="16"/>
        <v>4692835.6587516749</v>
      </c>
      <c r="AC29" s="71">
        <f t="shared" si="16"/>
        <v>4780095.6931088185</v>
      </c>
      <c r="AD29" s="71">
        <f t="shared" si="16"/>
        <v>4869100.9281531051</v>
      </c>
      <c r="AE29" s="71">
        <f t="shared" si="16"/>
        <v>4959886.2678982774</v>
      </c>
      <c r="AF29" s="71">
        <f t="shared" si="16"/>
        <v>5052487.3144383514</v>
      </c>
      <c r="AG29" s="227" t="s">
        <v>182</v>
      </c>
      <c r="AH29" s="240" t="s">
        <v>311</v>
      </c>
      <c r="AI29" s="240"/>
      <c r="AJ29" s="124"/>
      <c r="AK29" s="348"/>
      <c r="AL29" s="348"/>
      <c r="AM29" s="288"/>
      <c r="AN29" s="288"/>
      <c r="AO29" s="3"/>
      <c r="AP29" s="3"/>
      <c r="AQ29" s="3"/>
      <c r="AR29" s="3"/>
      <c r="AS29" s="3"/>
      <c r="AT29" s="3"/>
      <c r="AU29" s="3"/>
      <c r="AV29" s="3"/>
      <c r="AW29" s="288"/>
    </row>
    <row r="30" spans="1:49" ht="8.1" customHeight="1" x14ac:dyDescent="0.25">
      <c r="A30" s="1"/>
      <c r="B30" s="152"/>
      <c r="C30" s="114"/>
      <c r="D30" s="145"/>
      <c r="E30" s="134"/>
      <c r="F30" s="298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227"/>
      <c r="AH30" s="238"/>
      <c r="AI30" s="152"/>
    </row>
    <row r="31" spans="1:49" x14ac:dyDescent="0.25">
      <c r="A31" s="193" t="s">
        <v>167</v>
      </c>
      <c r="B31" s="194"/>
      <c r="C31" s="195"/>
      <c r="D31" s="300"/>
      <c r="E31" s="300"/>
      <c r="F31" s="212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227"/>
      <c r="AH31" s="238"/>
      <c r="AI31" s="152"/>
    </row>
    <row r="32" spans="1:49" ht="15" customHeight="1" x14ac:dyDescent="0.25">
      <c r="A32" s="179" t="s">
        <v>157</v>
      </c>
      <c r="B32" s="180">
        <v>0.25</v>
      </c>
      <c r="C32" s="181">
        <f t="shared" ref="C32:M32" si="17">$B$32*C$29</f>
        <v>7728.9133738601831</v>
      </c>
      <c r="D32" s="181">
        <f t="shared" si="17"/>
        <v>74065.137997629179</v>
      </c>
      <c r="E32" s="181">
        <f t="shared" si="17"/>
        <v>157711.35275758177</v>
      </c>
      <c r="F32" s="213">
        <f t="shared" si="17"/>
        <v>208937.91581273335</v>
      </c>
      <c r="G32" s="181">
        <f t="shared" si="17"/>
        <v>261189.01012898804</v>
      </c>
      <c r="H32" s="181">
        <f t="shared" si="17"/>
        <v>314485.12633156782</v>
      </c>
      <c r="I32" s="181">
        <f t="shared" si="17"/>
        <v>502782.28485819919</v>
      </c>
      <c r="J32" s="181">
        <f t="shared" si="17"/>
        <v>608982.60255536321</v>
      </c>
      <c r="K32" s="181">
        <f t="shared" si="17"/>
        <v>717306.92660647049</v>
      </c>
      <c r="L32" s="181">
        <f t="shared" si="17"/>
        <v>819785.68113859976</v>
      </c>
      <c r="M32" s="181">
        <f t="shared" si="17"/>
        <v>892902.12105689931</v>
      </c>
      <c r="N32" s="181">
        <f t="shared" ref="N32:AF32" si="18">$B$32*N$29</f>
        <v>909110.9937735647</v>
      </c>
      <c r="O32" s="181">
        <f t="shared" si="18"/>
        <v>925644.04394456337</v>
      </c>
      <c r="P32" s="181">
        <f t="shared" si="18"/>
        <v>942507.75511898228</v>
      </c>
      <c r="Q32" s="181">
        <f t="shared" si="18"/>
        <v>959708.74051688926</v>
      </c>
      <c r="R32" s="181">
        <f t="shared" si="18"/>
        <v>977253.74562275456</v>
      </c>
      <c r="S32" s="181">
        <f t="shared" si="18"/>
        <v>995149.65083073697</v>
      </c>
      <c r="T32" s="181">
        <f t="shared" si="18"/>
        <v>1013403.4741428791</v>
      </c>
      <c r="U32" s="181">
        <f t="shared" si="18"/>
        <v>1032022.3739212642</v>
      </c>
      <c r="V32" s="181">
        <f t="shared" si="18"/>
        <v>1051013.651695217</v>
      </c>
      <c r="W32" s="181">
        <f t="shared" si="18"/>
        <v>1070384.7550246487</v>
      </c>
      <c r="X32" s="181">
        <f t="shared" si="18"/>
        <v>1090143.2804206691</v>
      </c>
      <c r="Y32" s="181">
        <f t="shared" si="18"/>
        <v>1110296.9763246099</v>
      </c>
      <c r="Z32" s="181">
        <f t="shared" si="18"/>
        <v>1130853.7461466293</v>
      </c>
      <c r="AA32" s="181">
        <f t="shared" si="18"/>
        <v>1151821.6513650897</v>
      </c>
      <c r="AB32" s="181">
        <f t="shared" si="18"/>
        <v>1173208.9146879187</v>
      </c>
      <c r="AC32" s="181">
        <f t="shared" si="18"/>
        <v>1195023.9232772046</v>
      </c>
      <c r="AD32" s="181">
        <f t="shared" si="18"/>
        <v>1217275.2320382763</v>
      </c>
      <c r="AE32" s="181">
        <f t="shared" si="18"/>
        <v>1239971.5669745693</v>
      </c>
      <c r="AF32" s="181">
        <f t="shared" si="18"/>
        <v>1263121.8286095879</v>
      </c>
      <c r="AG32" s="232"/>
      <c r="AH32" s="242" t="s">
        <v>169</v>
      </c>
      <c r="AI32" s="124"/>
    </row>
    <row r="33" spans="1:35" ht="15" customHeight="1" x14ac:dyDescent="0.25">
      <c r="A33" s="179" t="s">
        <v>156</v>
      </c>
      <c r="B33" s="182">
        <v>0.05</v>
      </c>
      <c r="C33" s="181">
        <f>B33*C$29</f>
        <v>1545.7826747720367</v>
      </c>
      <c r="D33" s="181">
        <f>B33*D$29</f>
        <v>14813.027599525836</v>
      </c>
      <c r="E33" s="181">
        <f t="shared" ref="E33:M33" si="19">$B$33*E29</f>
        <v>31542.270551516354</v>
      </c>
      <c r="F33" s="213">
        <f t="shared" si="19"/>
        <v>41787.583162546674</v>
      </c>
      <c r="G33" s="181">
        <f t="shared" si="19"/>
        <v>52237.80202579761</v>
      </c>
      <c r="H33" s="181">
        <f t="shared" si="19"/>
        <v>62897.025266313569</v>
      </c>
      <c r="I33" s="181">
        <f t="shared" si="19"/>
        <v>100556.45697163984</v>
      </c>
      <c r="J33" s="181">
        <f t="shared" si="19"/>
        <v>121796.52051107265</v>
      </c>
      <c r="K33" s="181">
        <f t="shared" si="19"/>
        <v>143461.3853212941</v>
      </c>
      <c r="L33" s="181">
        <f t="shared" si="19"/>
        <v>163957.13622771995</v>
      </c>
      <c r="M33" s="181">
        <f t="shared" si="19"/>
        <v>178580.42421137987</v>
      </c>
      <c r="N33" s="181">
        <f t="shared" ref="N33:AF33" si="20">$B$33*N29</f>
        <v>181822.19875471294</v>
      </c>
      <c r="O33" s="181">
        <f t="shared" si="20"/>
        <v>185128.80878891269</v>
      </c>
      <c r="P33" s="181">
        <f t="shared" si="20"/>
        <v>188501.55102379646</v>
      </c>
      <c r="Q33" s="181">
        <f t="shared" si="20"/>
        <v>191941.74810337787</v>
      </c>
      <c r="R33" s="181">
        <f t="shared" si="20"/>
        <v>195450.74912455093</v>
      </c>
      <c r="S33" s="181">
        <f t="shared" si="20"/>
        <v>199029.93016614742</v>
      </c>
      <c r="T33" s="181">
        <f t="shared" si="20"/>
        <v>202680.69482857583</v>
      </c>
      <c r="U33" s="181">
        <f t="shared" si="20"/>
        <v>206404.47478425284</v>
      </c>
      <c r="V33" s="181">
        <f t="shared" si="20"/>
        <v>210202.73033904342</v>
      </c>
      <c r="W33" s="181">
        <f t="shared" si="20"/>
        <v>214076.95100492975</v>
      </c>
      <c r="X33" s="181">
        <f t="shared" si="20"/>
        <v>218028.65608413384</v>
      </c>
      <c r="Y33" s="181">
        <f t="shared" si="20"/>
        <v>222059.395264922</v>
      </c>
      <c r="Z33" s="181">
        <f t="shared" si="20"/>
        <v>226170.74922932588</v>
      </c>
      <c r="AA33" s="181">
        <f t="shared" si="20"/>
        <v>230364.33027301796</v>
      </c>
      <c r="AB33" s="181">
        <f t="shared" si="20"/>
        <v>234641.78293758375</v>
      </c>
      <c r="AC33" s="181">
        <f t="shared" si="20"/>
        <v>239004.78465544095</v>
      </c>
      <c r="AD33" s="181">
        <f t="shared" si="20"/>
        <v>243455.04640765526</v>
      </c>
      <c r="AE33" s="181">
        <f t="shared" si="20"/>
        <v>247994.31339491389</v>
      </c>
      <c r="AF33" s="181">
        <f t="shared" si="20"/>
        <v>252624.36572191759</v>
      </c>
      <c r="AG33" s="233"/>
      <c r="AH33" s="243" t="s">
        <v>170</v>
      </c>
      <c r="AI33" s="152"/>
    </row>
    <row r="34" spans="1:35" ht="15" customHeight="1" x14ac:dyDescent="0.25">
      <c r="A34" s="179" t="s">
        <v>58</v>
      </c>
      <c r="B34" s="182">
        <v>0.35</v>
      </c>
      <c r="C34" s="181">
        <f>B34*C$29</f>
        <v>10820.478723404256</v>
      </c>
      <c r="D34" s="181">
        <f>B34*(D$29)</f>
        <v>103691.19319668085</v>
      </c>
      <c r="E34" s="181">
        <f t="shared" ref="E34:M34" si="21">$B$34*(E29)</f>
        <v>220795.89386061448</v>
      </c>
      <c r="F34" s="213">
        <f t="shared" si="21"/>
        <v>292513.08213782666</v>
      </c>
      <c r="G34" s="181">
        <f t="shared" si="21"/>
        <v>365664.61418058322</v>
      </c>
      <c r="H34" s="181">
        <f t="shared" si="21"/>
        <v>440279.17686419492</v>
      </c>
      <c r="I34" s="181">
        <f t="shared" si="21"/>
        <v>703895.19880147884</v>
      </c>
      <c r="J34" s="181">
        <f t="shared" si="21"/>
        <v>852575.6435775084</v>
      </c>
      <c r="K34" s="181">
        <f t="shared" si="21"/>
        <v>1004229.6972490586</v>
      </c>
      <c r="L34" s="181">
        <f t="shared" si="21"/>
        <v>1147699.9535940397</v>
      </c>
      <c r="M34" s="181">
        <f t="shared" si="21"/>
        <v>1250062.9694796589</v>
      </c>
      <c r="N34" s="181">
        <f t="shared" ref="N34:AF34" si="22">$B$34*(N29)</f>
        <v>1272755.3912829906</v>
      </c>
      <c r="O34" s="181">
        <f t="shared" si="22"/>
        <v>1295901.6615223887</v>
      </c>
      <c r="P34" s="181">
        <f t="shared" si="22"/>
        <v>1319510.857166575</v>
      </c>
      <c r="Q34" s="181">
        <f t="shared" si="22"/>
        <v>1343592.2367236449</v>
      </c>
      <c r="R34" s="181">
        <f t="shared" si="22"/>
        <v>1368155.2438718562</v>
      </c>
      <c r="S34" s="181">
        <f t="shared" si="22"/>
        <v>1393209.5111630317</v>
      </c>
      <c r="T34" s="181">
        <f t="shared" si="22"/>
        <v>1418764.8638000307</v>
      </c>
      <c r="U34" s="181">
        <f t="shared" si="22"/>
        <v>1444831.3234897698</v>
      </c>
      <c r="V34" s="181">
        <f t="shared" si="22"/>
        <v>1471419.1123733036</v>
      </c>
      <c r="W34" s="181">
        <f t="shared" si="22"/>
        <v>1498538.6570345082</v>
      </c>
      <c r="X34" s="181">
        <f t="shared" si="22"/>
        <v>1526200.5925889367</v>
      </c>
      <c r="Y34" s="181">
        <f t="shared" si="22"/>
        <v>1554415.7668544538</v>
      </c>
      <c r="Z34" s="181">
        <f t="shared" si="22"/>
        <v>1583195.2446052809</v>
      </c>
      <c r="AA34" s="181">
        <f t="shared" si="22"/>
        <v>1612550.3119111254</v>
      </c>
      <c r="AB34" s="181">
        <f t="shared" si="22"/>
        <v>1642492.4805630862</v>
      </c>
      <c r="AC34" s="181">
        <f t="shared" si="22"/>
        <v>1673033.4925880863</v>
      </c>
      <c r="AD34" s="181">
        <f t="shared" si="22"/>
        <v>1704185.3248535867</v>
      </c>
      <c r="AE34" s="181">
        <f t="shared" si="22"/>
        <v>1735960.1937643969</v>
      </c>
      <c r="AF34" s="181">
        <f t="shared" si="22"/>
        <v>1768370.5600534228</v>
      </c>
      <c r="AG34" s="335"/>
      <c r="AH34" s="240" t="s">
        <v>171</v>
      </c>
      <c r="AI34" s="152"/>
    </row>
    <row r="35" spans="1:35" x14ac:dyDescent="0.25">
      <c r="A35" s="179" t="s">
        <v>165</v>
      </c>
      <c r="B35" s="183">
        <v>0.35</v>
      </c>
      <c r="C35" s="181">
        <f>B35*C29</f>
        <v>10820.478723404256</v>
      </c>
      <c r="D35" s="181">
        <f>B35*D29</f>
        <v>103691.19319668085</v>
      </c>
      <c r="E35" s="181">
        <f t="shared" ref="E35:M35" si="23">$B$35*E29</f>
        <v>220795.89386061448</v>
      </c>
      <c r="F35" s="213">
        <f t="shared" si="23"/>
        <v>292513.08213782666</v>
      </c>
      <c r="G35" s="181">
        <f t="shared" si="23"/>
        <v>365664.61418058322</v>
      </c>
      <c r="H35" s="181">
        <f t="shared" si="23"/>
        <v>440279.17686419492</v>
      </c>
      <c r="I35" s="181">
        <f t="shared" si="23"/>
        <v>703895.19880147884</v>
      </c>
      <c r="J35" s="181">
        <f t="shared" si="23"/>
        <v>852575.6435775084</v>
      </c>
      <c r="K35" s="181">
        <f t="shared" si="23"/>
        <v>1004229.6972490586</v>
      </c>
      <c r="L35" s="181">
        <f t="shared" si="23"/>
        <v>1147699.9535940397</v>
      </c>
      <c r="M35" s="181">
        <f t="shared" si="23"/>
        <v>1250062.9694796589</v>
      </c>
      <c r="N35" s="181">
        <f t="shared" ref="N35:AF35" si="24">$B$35*N29</f>
        <v>1272755.3912829906</v>
      </c>
      <c r="O35" s="181">
        <f t="shared" si="24"/>
        <v>1295901.6615223887</v>
      </c>
      <c r="P35" s="181">
        <f t="shared" si="24"/>
        <v>1319510.857166575</v>
      </c>
      <c r="Q35" s="181">
        <f t="shared" si="24"/>
        <v>1343592.2367236449</v>
      </c>
      <c r="R35" s="181">
        <f t="shared" si="24"/>
        <v>1368155.2438718562</v>
      </c>
      <c r="S35" s="181">
        <f t="shared" si="24"/>
        <v>1393209.5111630317</v>
      </c>
      <c r="T35" s="181">
        <f t="shared" si="24"/>
        <v>1418764.8638000307</v>
      </c>
      <c r="U35" s="181">
        <f t="shared" si="24"/>
        <v>1444831.3234897698</v>
      </c>
      <c r="V35" s="181">
        <f t="shared" si="24"/>
        <v>1471419.1123733036</v>
      </c>
      <c r="W35" s="181">
        <f t="shared" si="24"/>
        <v>1498538.6570345082</v>
      </c>
      <c r="X35" s="181">
        <f t="shared" si="24"/>
        <v>1526200.5925889367</v>
      </c>
      <c r="Y35" s="181">
        <f t="shared" si="24"/>
        <v>1554415.7668544538</v>
      </c>
      <c r="Z35" s="181">
        <f t="shared" si="24"/>
        <v>1583195.2446052809</v>
      </c>
      <c r="AA35" s="181">
        <f t="shared" si="24"/>
        <v>1612550.3119111254</v>
      </c>
      <c r="AB35" s="181">
        <f t="shared" si="24"/>
        <v>1642492.4805630862</v>
      </c>
      <c r="AC35" s="181">
        <f t="shared" si="24"/>
        <v>1673033.4925880863</v>
      </c>
      <c r="AD35" s="181">
        <f t="shared" si="24"/>
        <v>1704185.3248535867</v>
      </c>
      <c r="AE35" s="181">
        <f t="shared" si="24"/>
        <v>1735960.1937643969</v>
      </c>
      <c r="AF35" s="181">
        <f t="shared" si="24"/>
        <v>1768370.5600534228</v>
      </c>
      <c r="AG35" s="335" t="s">
        <v>164</v>
      </c>
      <c r="AH35" s="240" t="s">
        <v>194</v>
      </c>
      <c r="AI35" s="152"/>
    </row>
    <row r="36" spans="1:35" x14ac:dyDescent="0.25">
      <c r="A36" s="197" t="s">
        <v>158</v>
      </c>
      <c r="B36" s="196">
        <f>SUM(B32:B35)</f>
        <v>0.99999999999999989</v>
      </c>
      <c r="C36" s="191">
        <f>SUM(C32:C35)</f>
        <v>30915.653495440733</v>
      </c>
      <c r="D36" s="191">
        <f t="shared" ref="D36:AF36" si="25">SUM(D32:D35)</f>
        <v>296260.55199051672</v>
      </c>
      <c r="E36" s="191">
        <f t="shared" si="25"/>
        <v>630845.41103032709</v>
      </c>
      <c r="F36" s="214">
        <f t="shared" si="25"/>
        <v>835751.6632509334</v>
      </c>
      <c r="G36" s="191">
        <f t="shared" si="25"/>
        <v>1044756.040515952</v>
      </c>
      <c r="H36" s="191">
        <f t="shared" si="25"/>
        <v>1257940.5053262713</v>
      </c>
      <c r="I36" s="191">
        <f t="shared" si="25"/>
        <v>2011129.1394327967</v>
      </c>
      <c r="J36" s="191">
        <f t="shared" si="25"/>
        <v>2435930.4102214528</v>
      </c>
      <c r="K36" s="191">
        <f t="shared" si="25"/>
        <v>2869227.7064258819</v>
      </c>
      <c r="L36" s="191">
        <f t="shared" si="25"/>
        <v>3279142.724554399</v>
      </c>
      <c r="M36" s="191">
        <f t="shared" si="25"/>
        <v>3571608.4842275968</v>
      </c>
      <c r="N36" s="191">
        <f t="shared" si="25"/>
        <v>3636443.9750942588</v>
      </c>
      <c r="O36" s="191">
        <f t="shared" si="25"/>
        <v>3702576.175778253</v>
      </c>
      <c r="P36" s="191">
        <f t="shared" si="25"/>
        <v>3770031.0204759287</v>
      </c>
      <c r="Q36" s="191">
        <f t="shared" si="25"/>
        <v>3838834.9620675566</v>
      </c>
      <c r="R36" s="191">
        <f t="shared" si="25"/>
        <v>3909014.9824910183</v>
      </c>
      <c r="S36" s="191">
        <f t="shared" si="25"/>
        <v>3980598.6033229479</v>
      </c>
      <c r="T36" s="191">
        <f t="shared" si="25"/>
        <v>4053613.8965715165</v>
      </c>
      <c r="U36" s="191">
        <f t="shared" si="25"/>
        <v>4128089.4956850568</v>
      </c>
      <c r="V36" s="191">
        <f t="shared" si="25"/>
        <v>4204054.606780868</v>
      </c>
      <c r="W36" s="191">
        <f t="shared" si="25"/>
        <v>4281539.0200985949</v>
      </c>
      <c r="X36" s="191">
        <f t="shared" si="25"/>
        <v>4360573.1216826765</v>
      </c>
      <c r="Y36" s="191">
        <f t="shared" si="25"/>
        <v>4441187.9052984398</v>
      </c>
      <c r="Z36" s="191">
        <f t="shared" si="25"/>
        <v>4523414.9845865164</v>
      </c>
      <c r="AA36" s="191">
        <f t="shared" si="25"/>
        <v>4607286.6054603588</v>
      </c>
      <c r="AB36" s="191">
        <f t="shared" si="25"/>
        <v>4692835.6587516749</v>
      </c>
      <c r="AC36" s="191">
        <f t="shared" si="25"/>
        <v>4780095.6931088176</v>
      </c>
      <c r="AD36" s="191">
        <f t="shared" si="25"/>
        <v>4869100.9281531051</v>
      </c>
      <c r="AE36" s="191">
        <f t="shared" si="25"/>
        <v>4959886.2678982774</v>
      </c>
      <c r="AF36" s="191">
        <f t="shared" si="25"/>
        <v>5052487.3144383514</v>
      </c>
      <c r="AG36" s="227"/>
      <c r="AH36" s="238"/>
      <c r="AI36" s="152"/>
    </row>
    <row r="37" spans="1:35" ht="8.1" customHeight="1" x14ac:dyDescent="0.25">
      <c r="A37" s="141"/>
      <c r="B37" s="174"/>
      <c r="C37" s="136"/>
      <c r="D37" s="136"/>
      <c r="E37" s="136"/>
      <c r="F37" s="205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227"/>
      <c r="AH37" s="238"/>
      <c r="AI37" s="152"/>
    </row>
    <row r="38" spans="1:35" x14ac:dyDescent="0.25">
      <c r="A38" s="184" t="s">
        <v>159</v>
      </c>
      <c r="B38" s="439" t="s">
        <v>200</v>
      </c>
      <c r="C38" s="185"/>
      <c r="D38" s="185"/>
      <c r="E38" s="185"/>
      <c r="F38" s="21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227"/>
      <c r="AH38" s="238"/>
      <c r="AI38" s="152"/>
    </row>
    <row r="39" spans="1:35" x14ac:dyDescent="0.25">
      <c r="A39" s="186" t="s">
        <v>165</v>
      </c>
      <c r="B39" s="439"/>
      <c r="C39" s="185">
        <f>C35</f>
        <v>10820.478723404256</v>
      </c>
      <c r="D39" s="185">
        <f t="shared" ref="D39:L39" si="26">D35</f>
        <v>103691.19319668085</v>
      </c>
      <c r="E39" s="185">
        <f t="shared" si="26"/>
        <v>220795.89386061448</v>
      </c>
      <c r="F39" s="215">
        <f t="shared" si="26"/>
        <v>292513.08213782666</v>
      </c>
      <c r="G39" s="185">
        <f t="shared" si="26"/>
        <v>365664.61418058322</v>
      </c>
      <c r="H39" s="185">
        <f t="shared" si="26"/>
        <v>440279.17686419492</v>
      </c>
      <c r="I39" s="185">
        <f t="shared" si="26"/>
        <v>703895.19880147884</v>
      </c>
      <c r="J39" s="185">
        <f t="shared" si="26"/>
        <v>852575.6435775084</v>
      </c>
      <c r="K39" s="185">
        <f t="shared" si="26"/>
        <v>1004229.6972490586</v>
      </c>
      <c r="L39" s="185">
        <f t="shared" si="26"/>
        <v>1147699.9535940397</v>
      </c>
      <c r="M39" s="185">
        <f>M35</f>
        <v>1250062.9694796589</v>
      </c>
      <c r="N39" s="185">
        <f t="shared" ref="N39:AF39" si="27">N35</f>
        <v>1272755.3912829906</v>
      </c>
      <c r="O39" s="185">
        <f t="shared" si="27"/>
        <v>1295901.6615223887</v>
      </c>
      <c r="P39" s="185">
        <f t="shared" si="27"/>
        <v>1319510.857166575</v>
      </c>
      <c r="Q39" s="185">
        <f t="shared" si="27"/>
        <v>1343592.2367236449</v>
      </c>
      <c r="R39" s="185">
        <f t="shared" si="27"/>
        <v>1368155.2438718562</v>
      </c>
      <c r="S39" s="185">
        <f t="shared" si="27"/>
        <v>1393209.5111630317</v>
      </c>
      <c r="T39" s="185">
        <f t="shared" si="27"/>
        <v>1418764.8638000307</v>
      </c>
      <c r="U39" s="185">
        <f t="shared" si="27"/>
        <v>1444831.3234897698</v>
      </c>
      <c r="V39" s="185">
        <f t="shared" si="27"/>
        <v>1471419.1123733036</v>
      </c>
      <c r="W39" s="185">
        <f t="shared" si="27"/>
        <v>1498538.6570345082</v>
      </c>
      <c r="X39" s="185">
        <f t="shared" si="27"/>
        <v>1526200.5925889367</v>
      </c>
      <c r="Y39" s="185">
        <f t="shared" si="27"/>
        <v>1554415.7668544538</v>
      </c>
      <c r="Z39" s="185">
        <f t="shared" si="27"/>
        <v>1583195.2446052809</v>
      </c>
      <c r="AA39" s="185">
        <f t="shared" si="27"/>
        <v>1612550.3119111254</v>
      </c>
      <c r="AB39" s="185">
        <f t="shared" si="27"/>
        <v>1642492.4805630862</v>
      </c>
      <c r="AC39" s="185">
        <f t="shared" si="27"/>
        <v>1673033.4925880863</v>
      </c>
      <c r="AD39" s="185">
        <f t="shared" si="27"/>
        <v>1704185.3248535867</v>
      </c>
      <c r="AE39" s="185">
        <f t="shared" si="27"/>
        <v>1735960.1937643969</v>
      </c>
      <c r="AF39" s="185">
        <f t="shared" si="27"/>
        <v>1768370.5600534228</v>
      </c>
      <c r="AG39" s="227" t="s">
        <v>164</v>
      </c>
      <c r="AH39" s="238" t="s">
        <v>164</v>
      </c>
      <c r="AI39" s="152"/>
    </row>
    <row r="40" spans="1:35" x14ac:dyDescent="0.25">
      <c r="A40" s="186" t="str">
        <f>CONCATENATE("Less: 10% of Incremental FORA Share after 7/1/2012 (goes to ",A4,")")</f>
        <v>Less: 10% of Incremental FORA Share after 7/1/2012 (goes to Del Rey Oaks)</v>
      </c>
      <c r="B40" s="263">
        <v>0</v>
      </c>
      <c r="C40" s="185">
        <f t="shared" ref="C40:L40" si="28">IF(C39&gt;0,-(0.1*(C39-$B$40)),0)</f>
        <v>-1082.0478723404256</v>
      </c>
      <c r="D40" s="185">
        <f t="shared" si="28"/>
        <v>-10369.119319668085</v>
      </c>
      <c r="E40" s="185">
        <f t="shared" si="28"/>
        <v>-22079.589386061449</v>
      </c>
      <c r="F40" s="215">
        <f t="shared" si="28"/>
        <v>-29251.308213782668</v>
      </c>
      <c r="G40" s="185">
        <f t="shared" si="28"/>
        <v>-36566.461418058323</v>
      </c>
      <c r="H40" s="185">
        <f t="shared" si="28"/>
        <v>-44027.917686419496</v>
      </c>
      <c r="I40" s="185">
        <f t="shared" si="28"/>
        <v>-70389.519880147884</v>
      </c>
      <c r="J40" s="185">
        <f t="shared" si="28"/>
        <v>-85257.564357750845</v>
      </c>
      <c r="K40" s="185">
        <f t="shared" si="28"/>
        <v>-100422.96972490587</v>
      </c>
      <c r="L40" s="185">
        <f t="shared" si="28"/>
        <v>-114769.99535940397</v>
      </c>
      <c r="M40" s="185">
        <f>IF(M39&gt;0,-(0.1*(M39-$B$40)),0)</f>
        <v>-125006.29694796589</v>
      </c>
      <c r="N40" s="185">
        <f t="shared" ref="N40:AF40" si="29">IF(N39&gt;0,-(0.1*(N39-$B$40)),0)</f>
        <v>-127275.53912829906</v>
      </c>
      <c r="O40" s="185">
        <f t="shared" si="29"/>
        <v>-129590.16615223887</v>
      </c>
      <c r="P40" s="185">
        <f t="shared" si="29"/>
        <v>-131951.08571665752</v>
      </c>
      <c r="Q40" s="185">
        <f t="shared" si="29"/>
        <v>-134359.22367236449</v>
      </c>
      <c r="R40" s="185">
        <f t="shared" si="29"/>
        <v>-136815.52438718564</v>
      </c>
      <c r="S40" s="185">
        <f t="shared" si="29"/>
        <v>-139320.95111630319</v>
      </c>
      <c r="T40" s="185">
        <f t="shared" si="29"/>
        <v>-141876.48638000307</v>
      </c>
      <c r="U40" s="185">
        <f t="shared" si="29"/>
        <v>-144483.132348977</v>
      </c>
      <c r="V40" s="185">
        <f t="shared" si="29"/>
        <v>-147141.91123733038</v>
      </c>
      <c r="W40" s="185">
        <f t="shared" si="29"/>
        <v>-149853.86570345084</v>
      </c>
      <c r="X40" s="185">
        <f t="shared" si="29"/>
        <v>-152620.05925889369</v>
      </c>
      <c r="Y40" s="185">
        <f t="shared" si="29"/>
        <v>-155441.57668544538</v>
      </c>
      <c r="Z40" s="185">
        <f t="shared" si="29"/>
        <v>-158319.5244605281</v>
      </c>
      <c r="AA40" s="185">
        <f t="shared" si="29"/>
        <v>-161255.03119111256</v>
      </c>
      <c r="AB40" s="185">
        <f t="shared" si="29"/>
        <v>-164249.24805630863</v>
      </c>
      <c r="AC40" s="185">
        <f t="shared" si="29"/>
        <v>-167303.34925880865</v>
      </c>
      <c r="AD40" s="185">
        <f t="shared" si="29"/>
        <v>-170418.53248535868</v>
      </c>
      <c r="AE40" s="185">
        <f t="shared" si="29"/>
        <v>-173596.01937643971</v>
      </c>
      <c r="AF40" s="185">
        <f t="shared" si="29"/>
        <v>-176837.05600534228</v>
      </c>
      <c r="AG40" s="227" t="s">
        <v>148</v>
      </c>
      <c r="AH40" s="238"/>
      <c r="AI40" s="152"/>
    </row>
    <row r="41" spans="1:35" ht="15" customHeight="1" x14ac:dyDescent="0.25">
      <c r="A41" s="186" t="s">
        <v>80</v>
      </c>
      <c r="B41" s="188"/>
      <c r="C41" s="189">
        <f t="shared" ref="C41:AF41" si="30">C35+C40</f>
        <v>9738.4308510638311</v>
      </c>
      <c r="D41" s="189">
        <f t="shared" si="30"/>
        <v>93322.073877012765</v>
      </c>
      <c r="E41" s="189">
        <f t="shared" si="30"/>
        <v>198716.30447455304</v>
      </c>
      <c r="F41" s="216">
        <f t="shared" si="30"/>
        <v>263261.77392404398</v>
      </c>
      <c r="G41" s="189">
        <f t="shared" si="30"/>
        <v>329098.1527625249</v>
      </c>
      <c r="H41" s="189">
        <f t="shared" si="30"/>
        <v>396251.25917777541</v>
      </c>
      <c r="I41" s="189">
        <f t="shared" si="30"/>
        <v>633505.67892133095</v>
      </c>
      <c r="J41" s="189">
        <f t="shared" si="30"/>
        <v>767318.07921975758</v>
      </c>
      <c r="K41" s="189">
        <f t="shared" si="30"/>
        <v>903806.72752415272</v>
      </c>
      <c r="L41" s="189">
        <f t="shared" si="30"/>
        <v>1032929.9582346356</v>
      </c>
      <c r="M41" s="189">
        <f t="shared" si="30"/>
        <v>1125056.672531693</v>
      </c>
      <c r="N41" s="189">
        <f t="shared" si="30"/>
        <v>1145479.8521546915</v>
      </c>
      <c r="O41" s="189">
        <f t="shared" si="30"/>
        <v>1166311.4953701498</v>
      </c>
      <c r="P41" s="189">
        <f t="shared" si="30"/>
        <v>1187559.7714499175</v>
      </c>
      <c r="Q41" s="189">
        <f t="shared" si="30"/>
        <v>1209233.0130512803</v>
      </c>
      <c r="R41" s="189">
        <f t="shared" si="30"/>
        <v>1231339.7194846706</v>
      </c>
      <c r="S41" s="189">
        <f t="shared" si="30"/>
        <v>1253888.5600467285</v>
      </c>
      <c r="T41" s="189">
        <f t="shared" si="30"/>
        <v>1276888.3774200275</v>
      </c>
      <c r="U41" s="189">
        <f t="shared" si="30"/>
        <v>1300348.1911407928</v>
      </c>
      <c r="V41" s="189">
        <f t="shared" si="30"/>
        <v>1324277.2011359732</v>
      </c>
      <c r="W41" s="189">
        <f t="shared" si="30"/>
        <v>1348684.7913310574</v>
      </c>
      <c r="X41" s="189">
        <f t="shared" si="30"/>
        <v>1373580.5333300431</v>
      </c>
      <c r="Y41" s="189">
        <f t="shared" si="30"/>
        <v>1398974.1901690084</v>
      </c>
      <c r="Z41" s="189">
        <f t="shared" si="30"/>
        <v>1424875.7201447529</v>
      </c>
      <c r="AA41" s="189">
        <f t="shared" si="30"/>
        <v>1451295.280720013</v>
      </c>
      <c r="AB41" s="189">
        <f t="shared" si="30"/>
        <v>1478243.2325067776</v>
      </c>
      <c r="AC41" s="189">
        <f t="shared" si="30"/>
        <v>1505730.1433292776</v>
      </c>
      <c r="AD41" s="189">
        <f t="shared" si="30"/>
        <v>1533766.7923682281</v>
      </c>
      <c r="AE41" s="189">
        <f t="shared" si="30"/>
        <v>1562364.1743879572</v>
      </c>
      <c r="AF41" s="189">
        <f t="shared" si="30"/>
        <v>1591533.5040480806</v>
      </c>
      <c r="AG41" s="227" t="s">
        <v>183</v>
      </c>
      <c r="AH41" s="240" t="s">
        <v>195</v>
      </c>
      <c r="AI41" s="152"/>
    </row>
    <row r="42" spans="1:35" ht="15" customHeight="1" x14ac:dyDescent="0.25">
      <c r="A42" s="186" t="str">
        <f>CONCATENATE("Less: ",$A$4," Portion of FORA Remediation Bonds Debt Service")</f>
        <v>Less: Del Rey Oaks Portion of FORA Remediation Bonds Debt Service</v>
      </c>
      <c r="B42" s="186"/>
      <c r="C42" s="185">
        <v>0</v>
      </c>
      <c r="D42" s="185">
        <v>0</v>
      </c>
      <c r="E42" s="185">
        <v>0</v>
      </c>
      <c r="F42" s="215">
        <v>0</v>
      </c>
      <c r="G42" s="185">
        <v>0</v>
      </c>
      <c r="H42" s="185">
        <v>0</v>
      </c>
      <c r="I42" s="185">
        <v>0</v>
      </c>
      <c r="J42" s="185">
        <v>0</v>
      </c>
      <c r="K42" s="185">
        <v>0</v>
      </c>
      <c r="L42" s="185">
        <v>0</v>
      </c>
      <c r="M42" s="185">
        <v>0</v>
      </c>
      <c r="N42" s="185">
        <v>0</v>
      </c>
      <c r="O42" s="185">
        <v>0</v>
      </c>
      <c r="P42" s="185">
        <v>0</v>
      </c>
      <c r="Q42" s="185">
        <v>0</v>
      </c>
      <c r="R42" s="185">
        <v>0</v>
      </c>
      <c r="S42" s="185">
        <v>0</v>
      </c>
      <c r="T42" s="185">
        <v>0</v>
      </c>
      <c r="U42" s="185">
        <v>0</v>
      </c>
      <c r="V42" s="185">
        <v>0</v>
      </c>
      <c r="W42" s="185">
        <v>0</v>
      </c>
      <c r="X42" s="185">
        <v>0</v>
      </c>
      <c r="Y42" s="185">
        <v>0</v>
      </c>
      <c r="Z42" s="185">
        <v>0</v>
      </c>
      <c r="AA42" s="185">
        <v>0</v>
      </c>
      <c r="AB42" s="185">
        <v>0</v>
      </c>
      <c r="AC42" s="185">
        <v>0</v>
      </c>
      <c r="AD42" s="185">
        <v>0</v>
      </c>
      <c r="AE42" s="185">
        <v>0</v>
      </c>
      <c r="AF42" s="185">
        <v>0</v>
      </c>
      <c r="AG42" s="227" t="s">
        <v>147</v>
      </c>
      <c r="AH42" s="238" t="s">
        <v>147</v>
      </c>
      <c r="AI42" s="152"/>
    </row>
    <row r="43" spans="1:35" ht="15" customHeight="1" x14ac:dyDescent="0.25">
      <c r="A43" s="192" t="s">
        <v>166</v>
      </c>
      <c r="B43" s="187"/>
      <c r="C43" s="190">
        <f>SUM(C41:C42)</f>
        <v>9738.4308510638311</v>
      </c>
      <c r="D43" s="190">
        <f t="shared" ref="D43:AF43" si="31">SUM(D41:D42)</f>
        <v>93322.073877012765</v>
      </c>
      <c r="E43" s="190">
        <f t="shared" si="31"/>
        <v>198716.30447455304</v>
      </c>
      <c r="F43" s="217">
        <f t="shared" si="31"/>
        <v>263261.77392404398</v>
      </c>
      <c r="G43" s="190">
        <f t="shared" si="31"/>
        <v>329098.1527625249</v>
      </c>
      <c r="H43" s="190">
        <f t="shared" si="31"/>
        <v>396251.25917777541</v>
      </c>
      <c r="I43" s="190">
        <f t="shared" si="31"/>
        <v>633505.67892133095</v>
      </c>
      <c r="J43" s="190">
        <f t="shared" si="31"/>
        <v>767318.07921975758</v>
      </c>
      <c r="K43" s="190">
        <f t="shared" si="31"/>
        <v>903806.72752415272</v>
      </c>
      <c r="L43" s="190">
        <f t="shared" si="31"/>
        <v>1032929.9582346356</v>
      </c>
      <c r="M43" s="190">
        <f t="shared" si="31"/>
        <v>1125056.672531693</v>
      </c>
      <c r="N43" s="190">
        <f t="shared" si="31"/>
        <v>1145479.8521546915</v>
      </c>
      <c r="O43" s="190">
        <f t="shared" si="31"/>
        <v>1166311.4953701498</v>
      </c>
      <c r="P43" s="190">
        <f t="shared" si="31"/>
        <v>1187559.7714499175</v>
      </c>
      <c r="Q43" s="190">
        <f t="shared" si="31"/>
        <v>1209233.0130512803</v>
      </c>
      <c r="R43" s="190">
        <f t="shared" si="31"/>
        <v>1231339.7194846706</v>
      </c>
      <c r="S43" s="190">
        <f t="shared" si="31"/>
        <v>1253888.5600467285</v>
      </c>
      <c r="T43" s="190">
        <f t="shared" si="31"/>
        <v>1276888.3774200275</v>
      </c>
      <c r="U43" s="190">
        <f t="shared" si="31"/>
        <v>1300348.1911407928</v>
      </c>
      <c r="V43" s="190">
        <f t="shared" si="31"/>
        <v>1324277.2011359732</v>
      </c>
      <c r="W43" s="190">
        <f t="shared" si="31"/>
        <v>1348684.7913310574</v>
      </c>
      <c r="X43" s="190">
        <f t="shared" si="31"/>
        <v>1373580.5333300431</v>
      </c>
      <c r="Y43" s="190">
        <f t="shared" si="31"/>
        <v>1398974.1901690084</v>
      </c>
      <c r="Z43" s="190">
        <f t="shared" si="31"/>
        <v>1424875.7201447529</v>
      </c>
      <c r="AA43" s="190">
        <f t="shared" si="31"/>
        <v>1451295.280720013</v>
      </c>
      <c r="AB43" s="190">
        <f t="shared" si="31"/>
        <v>1478243.2325067776</v>
      </c>
      <c r="AC43" s="190">
        <f t="shared" si="31"/>
        <v>1505730.1433292776</v>
      </c>
      <c r="AD43" s="190">
        <f t="shared" si="31"/>
        <v>1533766.7923682281</v>
      </c>
      <c r="AE43" s="190">
        <f t="shared" si="31"/>
        <v>1562364.1743879572</v>
      </c>
      <c r="AF43" s="190">
        <f t="shared" si="31"/>
        <v>1591533.5040480806</v>
      </c>
      <c r="AG43" s="227" t="s">
        <v>184</v>
      </c>
      <c r="AH43" s="240" t="s">
        <v>196</v>
      </c>
      <c r="AI43" s="152"/>
    </row>
    <row r="44" spans="1:35" ht="8.1" customHeight="1" x14ac:dyDescent="0.25">
      <c r="A44" s="171"/>
      <c r="B44" s="172"/>
      <c r="C44" s="136"/>
      <c r="D44" s="136"/>
      <c r="E44" s="136"/>
      <c r="F44" s="205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227"/>
      <c r="AH44" s="238"/>
      <c r="AI44" s="152"/>
    </row>
    <row r="45" spans="1:35" ht="15" customHeight="1" x14ac:dyDescent="0.25">
      <c r="A45" s="198" t="s">
        <v>168</v>
      </c>
      <c r="B45" s="199"/>
      <c r="C45" s="135"/>
      <c r="D45" s="135"/>
      <c r="E45" s="135"/>
      <c r="F45" s="218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227"/>
      <c r="AH45" s="238"/>
      <c r="AI45" s="152"/>
    </row>
    <row r="46" spans="1:35" ht="15" customHeight="1" x14ac:dyDescent="0.25">
      <c r="A46" s="200" t="s">
        <v>161</v>
      </c>
      <c r="B46" s="201">
        <v>0.38</v>
      </c>
      <c r="C46" s="135">
        <v>0</v>
      </c>
      <c r="D46" s="135">
        <v>0</v>
      </c>
      <c r="E46" s="135">
        <v>0</v>
      </c>
      <c r="F46" s="218">
        <v>0</v>
      </c>
      <c r="G46" s="135">
        <f t="shared" ref="G46:AF46" si="32">G43*$B$46</f>
        <v>125057.29804975947</v>
      </c>
      <c r="H46" s="135">
        <f t="shared" si="32"/>
        <v>150575.47848755465</v>
      </c>
      <c r="I46" s="135">
        <f t="shared" si="32"/>
        <v>240732.15799010577</v>
      </c>
      <c r="J46" s="135">
        <f t="shared" si="32"/>
        <v>291580.87010350788</v>
      </c>
      <c r="K46" s="135">
        <f t="shared" si="32"/>
        <v>343446.55645917804</v>
      </c>
      <c r="L46" s="135">
        <f t="shared" si="32"/>
        <v>392513.38412916154</v>
      </c>
      <c r="M46" s="135">
        <f t="shared" si="32"/>
        <v>427521.53556204337</v>
      </c>
      <c r="N46" s="135">
        <f t="shared" si="32"/>
        <v>435282.34381878277</v>
      </c>
      <c r="O46" s="135">
        <f t="shared" si="32"/>
        <v>443198.36824065697</v>
      </c>
      <c r="P46" s="135">
        <f t="shared" si="32"/>
        <v>451272.71315096866</v>
      </c>
      <c r="Q46" s="135">
        <f t="shared" si="32"/>
        <v>459508.54495948652</v>
      </c>
      <c r="R46" s="135">
        <f t="shared" si="32"/>
        <v>467909.09340417484</v>
      </c>
      <c r="S46" s="135">
        <f t="shared" si="32"/>
        <v>476477.65281775681</v>
      </c>
      <c r="T46" s="135">
        <f t="shared" si="32"/>
        <v>485217.58341961046</v>
      </c>
      <c r="U46" s="135">
        <f t="shared" si="32"/>
        <v>494132.31263350125</v>
      </c>
      <c r="V46" s="135">
        <f t="shared" si="32"/>
        <v>503225.33643166983</v>
      </c>
      <c r="W46" s="135">
        <f t="shared" si="32"/>
        <v>512500.22070580185</v>
      </c>
      <c r="X46" s="135">
        <f t="shared" si="32"/>
        <v>521960.60266541637</v>
      </c>
      <c r="Y46" s="135">
        <f t="shared" si="32"/>
        <v>531610.19226422324</v>
      </c>
      <c r="Z46" s="135">
        <f t="shared" si="32"/>
        <v>541452.77365500608</v>
      </c>
      <c r="AA46" s="135">
        <f t="shared" si="32"/>
        <v>551492.2066736049</v>
      </c>
      <c r="AB46" s="135">
        <f t="shared" si="32"/>
        <v>561732.42835257552</v>
      </c>
      <c r="AC46" s="135">
        <f t="shared" si="32"/>
        <v>572177.45446512545</v>
      </c>
      <c r="AD46" s="135">
        <f t="shared" si="32"/>
        <v>582831.38109992666</v>
      </c>
      <c r="AE46" s="135">
        <f t="shared" si="32"/>
        <v>593698.38626742375</v>
      </c>
      <c r="AF46" s="135">
        <f t="shared" si="32"/>
        <v>604782.7315382706</v>
      </c>
      <c r="AG46" s="234"/>
      <c r="AH46" s="244" t="s">
        <v>172</v>
      </c>
      <c r="AI46" s="124"/>
    </row>
    <row r="47" spans="1:35" ht="15" customHeight="1" x14ac:dyDescent="0.25">
      <c r="A47" s="200" t="s">
        <v>162</v>
      </c>
      <c r="B47" s="202">
        <v>0.08</v>
      </c>
      <c r="C47" s="135">
        <v>0</v>
      </c>
      <c r="D47" s="135">
        <v>0</v>
      </c>
      <c r="E47" s="135">
        <v>0</v>
      </c>
      <c r="F47" s="218">
        <v>0</v>
      </c>
      <c r="G47" s="135">
        <f t="shared" ref="G47:AF47" si="33">G43*$B$47</f>
        <v>26327.852221001991</v>
      </c>
      <c r="H47" s="135">
        <f t="shared" si="33"/>
        <v>31700.100734222033</v>
      </c>
      <c r="I47" s="135">
        <f t="shared" si="33"/>
        <v>50680.454313706476</v>
      </c>
      <c r="J47" s="135">
        <f t="shared" si="33"/>
        <v>61385.446337580608</v>
      </c>
      <c r="K47" s="135">
        <f t="shared" si="33"/>
        <v>72304.538201932213</v>
      </c>
      <c r="L47" s="135">
        <f t="shared" si="33"/>
        <v>82634.396658770856</v>
      </c>
      <c r="M47" s="135">
        <f t="shared" si="33"/>
        <v>90004.533802535443</v>
      </c>
      <c r="N47" s="135">
        <f t="shared" si="33"/>
        <v>91638.388172375315</v>
      </c>
      <c r="O47" s="135">
        <f t="shared" si="33"/>
        <v>93304.919629611992</v>
      </c>
      <c r="P47" s="135">
        <f t="shared" si="33"/>
        <v>95004.781715993406</v>
      </c>
      <c r="Q47" s="135">
        <f t="shared" si="33"/>
        <v>96738.64104410242</v>
      </c>
      <c r="R47" s="135">
        <f t="shared" si="33"/>
        <v>98507.177558773648</v>
      </c>
      <c r="S47" s="135">
        <f t="shared" si="33"/>
        <v>100311.08480373828</v>
      </c>
      <c r="T47" s="135">
        <f t="shared" si="33"/>
        <v>102151.07019360221</v>
      </c>
      <c r="U47" s="135">
        <f t="shared" si="33"/>
        <v>104027.85529126343</v>
      </c>
      <c r="V47" s="135">
        <f t="shared" si="33"/>
        <v>105942.17609087785</v>
      </c>
      <c r="W47" s="135">
        <f t="shared" si="33"/>
        <v>107894.78330648459</v>
      </c>
      <c r="X47" s="135">
        <f t="shared" si="33"/>
        <v>109886.44266640345</v>
      </c>
      <c r="Y47" s="135">
        <f t="shared" si="33"/>
        <v>111917.93521352067</v>
      </c>
      <c r="Z47" s="135">
        <f t="shared" si="33"/>
        <v>113990.05761158024</v>
      </c>
      <c r="AA47" s="135">
        <f t="shared" si="33"/>
        <v>116103.62245760104</v>
      </c>
      <c r="AB47" s="135">
        <f t="shared" si="33"/>
        <v>118259.45860054222</v>
      </c>
      <c r="AC47" s="135">
        <f t="shared" si="33"/>
        <v>120458.41146634221</v>
      </c>
      <c r="AD47" s="135">
        <f t="shared" si="33"/>
        <v>122701.34338945826</v>
      </c>
      <c r="AE47" s="135">
        <f t="shared" si="33"/>
        <v>124989.13395103658</v>
      </c>
      <c r="AF47" s="135">
        <f t="shared" si="33"/>
        <v>127322.68032384645</v>
      </c>
      <c r="AG47" s="233"/>
      <c r="AH47" s="243" t="s">
        <v>173</v>
      </c>
      <c r="AI47" s="152"/>
    </row>
    <row r="48" spans="1:35" ht="15" customHeight="1" x14ac:dyDescent="0.25">
      <c r="A48" s="200" t="s">
        <v>163</v>
      </c>
      <c r="B48" s="203">
        <v>0.54</v>
      </c>
      <c r="C48" s="135">
        <v>0</v>
      </c>
      <c r="D48" s="135">
        <v>0</v>
      </c>
      <c r="E48" s="135">
        <v>0</v>
      </c>
      <c r="F48" s="218">
        <v>0</v>
      </c>
      <c r="G48" s="135">
        <f t="shared" ref="G48:AF48" si="34">$B$48*G43</f>
        <v>177713.00249176344</v>
      </c>
      <c r="H48" s="135">
        <f t="shared" si="34"/>
        <v>213975.67995599873</v>
      </c>
      <c r="I48" s="135">
        <f t="shared" si="34"/>
        <v>342093.06661751872</v>
      </c>
      <c r="J48" s="135">
        <f t="shared" si="34"/>
        <v>414351.76277866913</v>
      </c>
      <c r="K48" s="135">
        <f t="shared" si="34"/>
        <v>488055.63286304253</v>
      </c>
      <c r="L48" s="135">
        <f t="shared" si="34"/>
        <v>557782.17744670331</v>
      </c>
      <c r="M48" s="135">
        <f t="shared" si="34"/>
        <v>607530.60316711431</v>
      </c>
      <c r="N48" s="135">
        <f t="shared" si="34"/>
        <v>618559.12016353349</v>
      </c>
      <c r="O48" s="135">
        <f t="shared" si="34"/>
        <v>629808.20749988093</v>
      </c>
      <c r="P48" s="135">
        <f t="shared" si="34"/>
        <v>641282.2765829555</v>
      </c>
      <c r="Q48" s="135">
        <f t="shared" si="34"/>
        <v>652985.82704769145</v>
      </c>
      <c r="R48" s="135">
        <f t="shared" si="34"/>
        <v>664923.44852172211</v>
      </c>
      <c r="S48" s="135">
        <f t="shared" si="34"/>
        <v>677099.82242523343</v>
      </c>
      <c r="T48" s="135">
        <f t="shared" si="34"/>
        <v>689519.72380681487</v>
      </c>
      <c r="U48" s="135">
        <f t="shared" si="34"/>
        <v>702188.02321602812</v>
      </c>
      <c r="V48" s="135">
        <f t="shared" si="34"/>
        <v>715109.68861342559</v>
      </c>
      <c r="W48" s="135">
        <f t="shared" si="34"/>
        <v>728289.78731877101</v>
      </c>
      <c r="X48" s="135">
        <f t="shared" si="34"/>
        <v>741733.48799822328</v>
      </c>
      <c r="Y48" s="135">
        <f t="shared" si="34"/>
        <v>755446.06269126467</v>
      </c>
      <c r="Z48" s="135">
        <f t="shared" si="34"/>
        <v>769432.88887816656</v>
      </c>
      <c r="AA48" s="135">
        <f t="shared" si="34"/>
        <v>783699.45158880705</v>
      </c>
      <c r="AB48" s="135">
        <f t="shared" si="34"/>
        <v>798251.34555365995</v>
      </c>
      <c r="AC48" s="135">
        <f t="shared" si="34"/>
        <v>813094.27739781002</v>
      </c>
      <c r="AD48" s="135">
        <f t="shared" si="34"/>
        <v>828234.06787884317</v>
      </c>
      <c r="AE48" s="135">
        <f t="shared" si="34"/>
        <v>843676.65416949696</v>
      </c>
      <c r="AF48" s="135">
        <f t="shared" si="34"/>
        <v>859428.09218596364</v>
      </c>
      <c r="AG48" s="227" t="s">
        <v>185</v>
      </c>
      <c r="AH48" s="240" t="s">
        <v>188</v>
      </c>
      <c r="AI48" s="152"/>
    </row>
    <row r="49" spans="1:35" ht="15" customHeight="1" x14ac:dyDescent="0.25">
      <c r="A49" s="220" t="s">
        <v>160</v>
      </c>
      <c r="B49" s="221">
        <f>SUM(B46:B48)</f>
        <v>1</v>
      </c>
      <c r="C49" s="222">
        <f>SUM(C46:C48)</f>
        <v>0</v>
      </c>
      <c r="D49" s="222">
        <f t="shared" ref="D49:AF49" si="35">SUM(D46:D48)</f>
        <v>0</v>
      </c>
      <c r="E49" s="222">
        <f t="shared" si="35"/>
        <v>0</v>
      </c>
      <c r="F49" s="223">
        <f t="shared" si="35"/>
        <v>0</v>
      </c>
      <c r="G49" s="222">
        <f t="shared" si="35"/>
        <v>329098.1527625249</v>
      </c>
      <c r="H49" s="222">
        <f t="shared" si="35"/>
        <v>396251.25917777541</v>
      </c>
      <c r="I49" s="222">
        <f t="shared" si="35"/>
        <v>633505.67892133095</v>
      </c>
      <c r="J49" s="222">
        <f t="shared" si="35"/>
        <v>767318.07921975758</v>
      </c>
      <c r="K49" s="222">
        <f t="shared" si="35"/>
        <v>903806.72752415272</v>
      </c>
      <c r="L49" s="222">
        <f t="shared" si="35"/>
        <v>1032929.9582346356</v>
      </c>
      <c r="M49" s="222">
        <f t="shared" si="35"/>
        <v>1125056.6725316932</v>
      </c>
      <c r="N49" s="222">
        <f t="shared" si="35"/>
        <v>1145479.8521546917</v>
      </c>
      <c r="O49" s="222">
        <f t="shared" si="35"/>
        <v>1166311.4953701498</v>
      </c>
      <c r="P49" s="222">
        <f t="shared" si="35"/>
        <v>1187559.7714499175</v>
      </c>
      <c r="Q49" s="222">
        <f t="shared" si="35"/>
        <v>1209233.0130512803</v>
      </c>
      <c r="R49" s="222">
        <f t="shared" si="35"/>
        <v>1231339.7194846706</v>
      </c>
      <c r="S49" s="222">
        <f t="shared" si="35"/>
        <v>1253888.5600467285</v>
      </c>
      <c r="T49" s="222">
        <f t="shared" si="35"/>
        <v>1276888.3774200275</v>
      </c>
      <c r="U49" s="222">
        <f t="shared" si="35"/>
        <v>1300348.1911407928</v>
      </c>
      <c r="V49" s="222">
        <f t="shared" si="35"/>
        <v>1324277.2011359734</v>
      </c>
      <c r="W49" s="222">
        <f t="shared" si="35"/>
        <v>1348684.7913310574</v>
      </c>
      <c r="X49" s="222">
        <f t="shared" si="35"/>
        <v>1373580.5333300431</v>
      </c>
      <c r="Y49" s="222">
        <f t="shared" si="35"/>
        <v>1398974.1901690084</v>
      </c>
      <c r="Z49" s="222">
        <f t="shared" si="35"/>
        <v>1424875.7201447529</v>
      </c>
      <c r="AA49" s="222">
        <f t="shared" si="35"/>
        <v>1451295.280720013</v>
      </c>
      <c r="AB49" s="222">
        <f t="shared" si="35"/>
        <v>1478243.2325067776</v>
      </c>
      <c r="AC49" s="222">
        <f t="shared" si="35"/>
        <v>1505730.1433292776</v>
      </c>
      <c r="AD49" s="222">
        <f t="shared" si="35"/>
        <v>1533766.7923682281</v>
      </c>
      <c r="AE49" s="222">
        <f t="shared" si="35"/>
        <v>1562364.1743879574</v>
      </c>
      <c r="AF49" s="222">
        <f t="shared" si="35"/>
        <v>1591533.5040480806</v>
      </c>
      <c r="AG49" s="227"/>
      <c r="AH49" s="238"/>
      <c r="AI49" s="152"/>
    </row>
    <row r="50" spans="1:35" ht="8.1" customHeight="1" x14ac:dyDescent="0.25">
      <c r="A50" s="140"/>
      <c r="B50" s="101"/>
      <c r="C50" s="136"/>
      <c r="D50" s="136"/>
      <c r="E50" s="136"/>
      <c r="F50" s="205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227"/>
      <c r="AH50" s="238"/>
      <c r="AI50" s="152"/>
    </row>
    <row r="51" spans="1:35" ht="15" customHeight="1" x14ac:dyDescent="0.25">
      <c r="A51" s="150" t="str">
        <f>CONCATENATE("Increase in ",A4," General Fund Revenues")</f>
        <v>Increase in Del Rey Oaks General Fund Revenues</v>
      </c>
      <c r="B51" s="251" t="s">
        <v>198</v>
      </c>
      <c r="C51" s="136"/>
      <c r="D51" s="136"/>
      <c r="E51" s="136"/>
      <c r="F51" s="205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227"/>
      <c r="AH51" s="238"/>
      <c r="AI51" s="152"/>
    </row>
    <row r="52" spans="1:35" ht="30" customHeight="1" x14ac:dyDescent="0.25">
      <c r="A52" s="178" t="s">
        <v>199</v>
      </c>
      <c r="B52" s="252">
        <f>Scenarios!D7</f>
        <v>0.2</v>
      </c>
      <c r="C52" s="177">
        <v>0</v>
      </c>
      <c r="D52" s="177">
        <v>0</v>
      </c>
      <c r="E52" s="177">
        <f t="shared" ref="E52:AF52" si="36">E48*$B$52</f>
        <v>0</v>
      </c>
      <c r="F52" s="224">
        <f t="shared" si="36"/>
        <v>0</v>
      </c>
      <c r="G52" s="177">
        <f t="shared" si="36"/>
        <v>35542.600498352687</v>
      </c>
      <c r="H52" s="177">
        <f t="shared" si="36"/>
        <v>42795.13599119975</v>
      </c>
      <c r="I52" s="177">
        <f t="shared" si="36"/>
        <v>68418.613323503741</v>
      </c>
      <c r="J52" s="177">
        <f t="shared" si="36"/>
        <v>82870.352555733829</v>
      </c>
      <c r="K52" s="177">
        <f t="shared" si="36"/>
        <v>97611.126572608511</v>
      </c>
      <c r="L52" s="177">
        <f t="shared" si="36"/>
        <v>111556.43548934067</v>
      </c>
      <c r="M52" s="177">
        <f t="shared" si="36"/>
        <v>121506.12063342286</v>
      </c>
      <c r="N52" s="177">
        <f t="shared" si="36"/>
        <v>123711.8240327067</v>
      </c>
      <c r="O52" s="177">
        <f t="shared" si="36"/>
        <v>125961.64149997619</v>
      </c>
      <c r="P52" s="177">
        <f t="shared" si="36"/>
        <v>128256.45531659111</v>
      </c>
      <c r="Q52" s="177">
        <f t="shared" si="36"/>
        <v>130597.1654095383</v>
      </c>
      <c r="R52" s="177">
        <f t="shared" si="36"/>
        <v>132984.68970434443</v>
      </c>
      <c r="S52" s="177">
        <f t="shared" si="36"/>
        <v>135419.96448504669</v>
      </c>
      <c r="T52" s="177">
        <f t="shared" si="36"/>
        <v>137903.94476136297</v>
      </c>
      <c r="U52" s="177">
        <f t="shared" si="36"/>
        <v>140437.60464320562</v>
      </c>
      <c r="V52" s="177">
        <f t="shared" si="36"/>
        <v>143021.93772268514</v>
      </c>
      <c r="W52" s="177">
        <f t="shared" si="36"/>
        <v>145657.9574637542</v>
      </c>
      <c r="X52" s="177">
        <f t="shared" si="36"/>
        <v>148346.69759964466</v>
      </c>
      <c r="Y52" s="177">
        <f t="shared" si="36"/>
        <v>151089.21253825293</v>
      </c>
      <c r="Z52" s="177">
        <f t="shared" si="36"/>
        <v>153886.57777563331</v>
      </c>
      <c r="AA52" s="177">
        <f t="shared" si="36"/>
        <v>156739.89031776143</v>
      </c>
      <c r="AB52" s="177">
        <f t="shared" si="36"/>
        <v>159650.26911073201</v>
      </c>
      <c r="AC52" s="177">
        <f t="shared" si="36"/>
        <v>162618.85547956201</v>
      </c>
      <c r="AD52" s="177">
        <f t="shared" si="36"/>
        <v>165646.81357576864</v>
      </c>
      <c r="AE52" s="177">
        <f t="shared" si="36"/>
        <v>168735.33083389941</v>
      </c>
      <c r="AF52" s="177">
        <f t="shared" si="36"/>
        <v>171885.61843719275</v>
      </c>
      <c r="AG52" s="235" t="s">
        <v>186</v>
      </c>
      <c r="AH52" s="245" t="s">
        <v>187</v>
      </c>
      <c r="AI52" s="152"/>
    </row>
    <row r="53" spans="1:35" ht="15" hidden="1" customHeight="1" x14ac:dyDescent="0.25">
      <c r="A53" s="151" t="str">
        <f>CONCATENATE("Add Back In: 10% of Incremental FORA Share sent to ",A4)</f>
        <v>Add Back In: 10% of Incremental FORA Share sent to Del Rey Oaks</v>
      </c>
      <c r="B53" s="142"/>
      <c r="C53" s="145">
        <f t="shared" ref="C53:M53" si="37">-C40</f>
        <v>1082.0478723404256</v>
      </c>
      <c r="D53" s="145">
        <f t="shared" si="37"/>
        <v>10369.119319668085</v>
      </c>
      <c r="E53" s="145">
        <f t="shared" si="37"/>
        <v>22079.589386061449</v>
      </c>
      <c r="F53" s="211">
        <f t="shared" si="37"/>
        <v>29251.308213782668</v>
      </c>
      <c r="G53" s="145">
        <f t="shared" si="37"/>
        <v>36566.461418058323</v>
      </c>
      <c r="H53" s="145">
        <f t="shared" si="37"/>
        <v>44027.917686419496</v>
      </c>
      <c r="I53" s="145">
        <f t="shared" si="37"/>
        <v>70389.519880147884</v>
      </c>
      <c r="J53" s="145">
        <f t="shared" si="37"/>
        <v>85257.564357750845</v>
      </c>
      <c r="K53" s="145">
        <f t="shared" si="37"/>
        <v>100422.96972490587</v>
      </c>
      <c r="L53" s="145">
        <f t="shared" si="37"/>
        <v>114769.99535940397</v>
      </c>
      <c r="M53" s="145">
        <f t="shared" si="37"/>
        <v>125006.29694796589</v>
      </c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227" t="s">
        <v>148</v>
      </c>
      <c r="AH53" s="238"/>
      <c r="AI53" s="26"/>
    </row>
    <row r="54" spans="1:35" x14ac:dyDescent="0.25">
      <c r="A54" s="40" t="str">
        <f>CONCATENATE("Increase in Net Property Taxes Received by ",A4," General Fund")</f>
        <v>Increase in Net Property Taxes Received by Del Rey Oaks General Fund</v>
      </c>
      <c r="B54" s="40"/>
      <c r="C54" s="374">
        <f>C52</f>
        <v>0</v>
      </c>
      <c r="D54" s="375">
        <f t="shared" ref="D54:L54" si="38">D52</f>
        <v>0</v>
      </c>
      <c r="E54" s="375">
        <f t="shared" si="38"/>
        <v>0</v>
      </c>
      <c r="F54" s="380">
        <f t="shared" si="38"/>
        <v>0</v>
      </c>
      <c r="G54" s="374">
        <f t="shared" si="38"/>
        <v>35542.600498352687</v>
      </c>
      <c r="H54" s="374">
        <f t="shared" si="38"/>
        <v>42795.13599119975</v>
      </c>
      <c r="I54" s="374">
        <f t="shared" si="38"/>
        <v>68418.613323503741</v>
      </c>
      <c r="J54" s="374">
        <f t="shared" si="38"/>
        <v>82870.352555733829</v>
      </c>
      <c r="K54" s="374">
        <f t="shared" si="38"/>
        <v>97611.126572608511</v>
      </c>
      <c r="L54" s="374">
        <f t="shared" si="38"/>
        <v>111556.43548934067</v>
      </c>
      <c r="M54" s="374">
        <f>M52</f>
        <v>121506.12063342286</v>
      </c>
      <c r="N54" s="374">
        <f t="shared" ref="N54:AF54" si="39">N52</f>
        <v>123711.8240327067</v>
      </c>
      <c r="O54" s="374">
        <f t="shared" si="39"/>
        <v>125961.64149997619</v>
      </c>
      <c r="P54" s="374">
        <f t="shared" si="39"/>
        <v>128256.45531659111</v>
      </c>
      <c r="Q54" s="374">
        <f t="shared" si="39"/>
        <v>130597.1654095383</v>
      </c>
      <c r="R54" s="374">
        <f t="shared" si="39"/>
        <v>132984.68970434443</v>
      </c>
      <c r="S54" s="374">
        <f t="shared" si="39"/>
        <v>135419.96448504669</v>
      </c>
      <c r="T54" s="374">
        <f t="shared" si="39"/>
        <v>137903.94476136297</v>
      </c>
      <c r="U54" s="374">
        <f t="shared" si="39"/>
        <v>140437.60464320562</v>
      </c>
      <c r="V54" s="374">
        <f t="shared" si="39"/>
        <v>143021.93772268514</v>
      </c>
      <c r="W54" s="374">
        <f t="shared" si="39"/>
        <v>145657.9574637542</v>
      </c>
      <c r="X54" s="374">
        <f t="shared" si="39"/>
        <v>148346.69759964466</v>
      </c>
      <c r="Y54" s="374">
        <f t="shared" si="39"/>
        <v>151089.21253825293</v>
      </c>
      <c r="Z54" s="374">
        <f t="shared" si="39"/>
        <v>153886.57777563331</v>
      </c>
      <c r="AA54" s="374">
        <f t="shared" si="39"/>
        <v>156739.89031776143</v>
      </c>
      <c r="AB54" s="374">
        <f t="shared" si="39"/>
        <v>159650.26911073201</v>
      </c>
      <c r="AC54" s="374">
        <f t="shared" si="39"/>
        <v>162618.85547956201</v>
      </c>
      <c r="AD54" s="374">
        <f t="shared" si="39"/>
        <v>165646.81357576864</v>
      </c>
      <c r="AE54" s="374">
        <f t="shared" si="39"/>
        <v>168735.33083389941</v>
      </c>
      <c r="AF54" s="374">
        <f t="shared" si="39"/>
        <v>171885.61843719275</v>
      </c>
      <c r="AG54" s="335"/>
      <c r="AH54" s="240" t="s">
        <v>216</v>
      </c>
    </row>
    <row r="55" spans="1:35" x14ac:dyDescent="0.25">
      <c r="A55" s="1" t="s">
        <v>103</v>
      </c>
      <c r="C55" s="109">
        <f>NPV(Assumptions!D4,'4 - DRO'!D54:AF54)+'4 - DRO'!C54</f>
        <v>1571163.4347278657</v>
      </c>
      <c r="E55" s="80"/>
      <c r="AG55" s="227"/>
      <c r="AH55" s="238"/>
    </row>
    <row r="56" spans="1:35" x14ac:dyDescent="0.25">
      <c r="D56" s="80"/>
      <c r="AG56" s="227"/>
      <c r="AH56" s="238"/>
    </row>
    <row r="57" spans="1:35" x14ac:dyDescent="0.25">
      <c r="A57" s="19" t="s">
        <v>204</v>
      </c>
      <c r="D57" s="80"/>
      <c r="AG57" s="227"/>
      <c r="AH57" s="238"/>
    </row>
    <row r="58" spans="1:35" x14ac:dyDescent="0.25">
      <c r="A58" s="19" t="s">
        <v>201</v>
      </c>
      <c r="E58" s="80"/>
      <c r="AG58" s="227"/>
      <c r="AH58" s="238"/>
    </row>
    <row r="59" spans="1:35" x14ac:dyDescent="0.25">
      <c r="A59" s="19"/>
      <c r="AG59" s="227"/>
      <c r="AH59" s="238"/>
    </row>
    <row r="60" spans="1:35" ht="15.75" x14ac:dyDescent="0.25">
      <c r="A60" s="65"/>
      <c r="AG60" s="227"/>
      <c r="AH60" s="238"/>
    </row>
    <row r="61" spans="1:35" x14ac:dyDescent="0.25">
      <c r="AG61" s="227"/>
      <c r="AH61" s="238"/>
    </row>
    <row r="62" spans="1:35" x14ac:dyDescent="0.25">
      <c r="AG62" s="236"/>
      <c r="AH62" s="246"/>
    </row>
  </sheetData>
  <mergeCells count="5">
    <mergeCell ref="C6:D6"/>
    <mergeCell ref="E6:M6"/>
    <mergeCell ref="AH10:AH12"/>
    <mergeCell ref="AM24:AM25"/>
    <mergeCell ref="B38:B39"/>
  </mergeCells>
  <pageMargins left="0.25" right="0.25" top="0.75" bottom="0.75" header="0.3" footer="0.3"/>
  <pageSetup scale="55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zoomScaleNormal="100" workbookViewId="0">
      <selection activeCell="D5" sqref="D5"/>
    </sheetView>
  </sheetViews>
  <sheetFormatPr defaultColWidth="11.28515625" defaultRowHeight="15" x14ac:dyDescent="0.25"/>
  <cols>
    <col min="1" max="1" width="4.28515625" customWidth="1"/>
    <col min="2" max="2" width="5" customWidth="1"/>
    <col min="3" max="3" width="19" customWidth="1"/>
    <col min="4" max="4" width="49.28515625" customWidth="1"/>
    <col min="12" max="12" width="23" customWidth="1"/>
    <col min="14" max="14" width="17" customWidth="1"/>
  </cols>
  <sheetData>
    <row r="1" spans="1:16" ht="15.75" x14ac:dyDescent="0.25">
      <c r="A1" s="29" t="s">
        <v>98</v>
      </c>
      <c r="B1" s="29"/>
    </row>
    <row r="2" spans="1:16" ht="15.75" x14ac:dyDescent="0.25">
      <c r="A2" s="29" t="s">
        <v>109</v>
      </c>
      <c r="B2" s="29"/>
    </row>
    <row r="4" spans="1:16" x14ac:dyDescent="0.25">
      <c r="A4" s="159" t="s">
        <v>120</v>
      </c>
      <c r="B4" s="1" t="s">
        <v>111</v>
      </c>
      <c r="D4" s="155">
        <v>4.4499999999999998E-2</v>
      </c>
      <c r="E4" t="s">
        <v>110</v>
      </c>
    </row>
    <row r="5" spans="1:16" x14ac:dyDescent="0.25">
      <c r="A5" s="159" t="s">
        <v>121</v>
      </c>
      <c r="B5" s="1" t="s">
        <v>23</v>
      </c>
    </row>
    <row r="6" spans="1:16" x14ac:dyDescent="0.25">
      <c r="A6" s="159"/>
      <c r="C6" t="s">
        <v>112</v>
      </c>
      <c r="E6" t="s">
        <v>113</v>
      </c>
    </row>
    <row r="7" spans="1:16" x14ac:dyDescent="0.25">
      <c r="A7" s="159"/>
      <c r="C7" t="s">
        <v>343</v>
      </c>
      <c r="D7" t="s">
        <v>345</v>
      </c>
    </row>
    <row r="8" spans="1:16" x14ac:dyDescent="0.25">
      <c r="A8" s="159"/>
      <c r="C8" t="s">
        <v>344</v>
      </c>
      <c r="D8" t="str">
        <f>'DS (Base Case)'!N46</f>
        <v>Allocation Option 1: Based on FY 2018-19 ROPS</v>
      </c>
    </row>
    <row r="9" spans="1:16" x14ac:dyDescent="0.25">
      <c r="A9" s="159" t="s">
        <v>122</v>
      </c>
      <c r="B9" s="1" t="s">
        <v>114</v>
      </c>
      <c r="L9" s="133"/>
      <c r="M9" s="133"/>
      <c r="N9" s="133"/>
      <c r="O9" s="133"/>
      <c r="P9" s="133"/>
    </row>
    <row r="10" spans="1:16" x14ac:dyDescent="0.25">
      <c r="A10" s="159"/>
      <c r="C10" t="s">
        <v>102</v>
      </c>
      <c r="L10" s="133"/>
      <c r="M10" s="133"/>
      <c r="N10" s="133"/>
      <c r="O10" s="133"/>
      <c r="P10" s="133"/>
    </row>
    <row r="11" spans="1:16" x14ac:dyDescent="0.25">
      <c r="A11" s="159"/>
      <c r="C11" t="s">
        <v>214</v>
      </c>
      <c r="L11" s="133"/>
      <c r="M11" s="133"/>
      <c r="N11" s="133"/>
      <c r="O11" s="133"/>
      <c r="P11" s="133"/>
    </row>
    <row r="12" spans="1:16" x14ac:dyDescent="0.25">
      <c r="A12" s="159" t="s">
        <v>123</v>
      </c>
      <c r="B12" s="1" t="s">
        <v>115</v>
      </c>
      <c r="L12" s="133"/>
      <c r="M12" s="133"/>
      <c r="N12" s="133"/>
      <c r="O12" s="133"/>
      <c r="P12" s="133"/>
    </row>
    <row r="13" spans="1:16" x14ac:dyDescent="0.25">
      <c r="A13" s="159"/>
      <c r="C13" t="s">
        <v>83</v>
      </c>
      <c r="K13" s="24"/>
      <c r="L13" s="156"/>
      <c r="M13" s="156"/>
      <c r="N13" s="156"/>
      <c r="O13" s="156"/>
      <c r="P13" s="133"/>
    </row>
    <row r="14" spans="1:16" x14ac:dyDescent="0.25">
      <c r="A14" s="159"/>
      <c r="C14" t="s">
        <v>84</v>
      </c>
      <c r="K14" s="24"/>
      <c r="L14" s="24"/>
      <c r="M14" s="24"/>
      <c r="N14" s="24"/>
      <c r="O14" s="24"/>
    </row>
    <row r="15" spans="1:16" x14ac:dyDescent="0.25">
      <c r="A15" s="159"/>
      <c r="C15" t="s">
        <v>130</v>
      </c>
      <c r="K15" s="24"/>
      <c r="L15" s="24"/>
      <c r="M15" s="24"/>
      <c r="N15" s="24"/>
      <c r="O15" s="24"/>
    </row>
    <row r="16" spans="1:16" x14ac:dyDescent="0.25">
      <c r="A16" s="159"/>
      <c r="C16" s="163" t="s">
        <v>129</v>
      </c>
      <c r="D16" s="157"/>
      <c r="J16" s="24"/>
      <c r="K16" s="24"/>
      <c r="L16" s="24"/>
      <c r="M16" s="24"/>
      <c r="N16" s="24"/>
      <c r="O16" s="24"/>
    </row>
    <row r="17" spans="1:15" x14ac:dyDescent="0.25">
      <c r="A17" s="159"/>
      <c r="C17" t="s">
        <v>89</v>
      </c>
      <c r="K17" s="24"/>
      <c r="L17" s="24"/>
      <c r="M17" s="24"/>
      <c r="N17" s="24"/>
      <c r="O17" s="24"/>
    </row>
    <row r="18" spans="1:15" x14ac:dyDescent="0.25">
      <c r="A18" s="159"/>
      <c r="C18" t="s">
        <v>151</v>
      </c>
      <c r="K18" s="24"/>
      <c r="L18" s="24"/>
      <c r="M18" s="24"/>
      <c r="N18" s="24"/>
      <c r="O18" s="24"/>
    </row>
    <row r="19" spans="1:15" x14ac:dyDescent="0.25">
      <c r="A19" s="159"/>
      <c r="C19" t="s">
        <v>215</v>
      </c>
      <c r="K19" s="24"/>
      <c r="L19" s="24"/>
      <c r="M19" s="24"/>
      <c r="N19" s="24"/>
      <c r="O19" s="24"/>
    </row>
    <row r="20" spans="1:15" x14ac:dyDescent="0.25">
      <c r="A20" s="159" t="s">
        <v>152</v>
      </c>
      <c r="B20" s="1" t="s">
        <v>153</v>
      </c>
    </row>
    <row r="21" spans="1:15" x14ac:dyDescent="0.25">
      <c r="A21" s="159"/>
      <c r="B21" s="1"/>
      <c r="C21" t="s">
        <v>154</v>
      </c>
    </row>
    <row r="22" spans="1:15" x14ac:dyDescent="0.25">
      <c r="A22" s="159" t="s">
        <v>124</v>
      </c>
      <c r="B22" s="1" t="s">
        <v>116</v>
      </c>
    </row>
    <row r="23" spans="1:15" x14ac:dyDescent="0.25">
      <c r="A23" s="159"/>
      <c r="C23" s="19" t="s">
        <v>117</v>
      </c>
    </row>
    <row r="24" spans="1:15" x14ac:dyDescent="0.25">
      <c r="A24" s="159"/>
      <c r="D24" t="s">
        <v>86</v>
      </c>
    </row>
    <row r="25" spans="1:15" x14ac:dyDescent="0.25">
      <c r="A25" s="159"/>
      <c r="D25" t="s">
        <v>87</v>
      </c>
    </row>
    <row r="26" spans="1:15" x14ac:dyDescent="0.25">
      <c r="A26" s="159"/>
      <c r="B26" s="24"/>
      <c r="C26" s="24"/>
      <c r="D26" s="24" t="s">
        <v>88</v>
      </c>
      <c r="E26" s="24"/>
      <c r="F26" s="24"/>
    </row>
    <row r="27" spans="1:15" ht="15" customHeight="1" x14ac:dyDescent="0.25">
      <c r="A27" s="159"/>
      <c r="B27" s="24"/>
      <c r="C27" s="156"/>
      <c r="D27" s="156" t="s">
        <v>118</v>
      </c>
      <c r="E27" s="156"/>
      <c r="F27" s="24"/>
    </row>
    <row r="28" spans="1:15" x14ac:dyDescent="0.25">
      <c r="A28" s="159"/>
      <c r="B28" s="156"/>
      <c r="C28" s="158" t="s">
        <v>119</v>
      </c>
      <c r="D28" s="156"/>
      <c r="E28" s="156"/>
      <c r="F28" s="24"/>
    </row>
    <row r="29" spans="1:15" x14ac:dyDescent="0.25">
      <c r="A29" s="159"/>
      <c r="D29" s="24" t="s">
        <v>86</v>
      </c>
    </row>
    <row r="30" spans="1:15" x14ac:dyDescent="0.25">
      <c r="A30" s="159"/>
      <c r="B30" s="24"/>
      <c r="C30" s="24"/>
      <c r="D30" s="24" t="s">
        <v>88</v>
      </c>
      <c r="E30" s="24"/>
      <c r="F30" s="24"/>
    </row>
    <row r="31" spans="1:15" x14ac:dyDescent="0.25">
      <c r="A31" s="159"/>
      <c r="D31" s="24" t="s">
        <v>118</v>
      </c>
    </row>
    <row r="32" spans="1:15" x14ac:dyDescent="0.25">
      <c r="A32" s="159"/>
      <c r="C32" s="19" t="s">
        <v>213</v>
      </c>
    </row>
    <row r="33" spans="1:7" x14ac:dyDescent="0.25">
      <c r="A33" s="159" t="s">
        <v>125</v>
      </c>
      <c r="B33" s="1" t="s">
        <v>272</v>
      </c>
      <c r="C33" s="24"/>
      <c r="D33" s="24"/>
      <c r="E33" s="24"/>
      <c r="F33" s="24"/>
    </row>
    <row r="34" spans="1:7" x14ac:dyDescent="0.25">
      <c r="A34" s="159" t="s">
        <v>155</v>
      </c>
      <c r="B34" s="1" t="s">
        <v>126</v>
      </c>
    </row>
    <row r="35" spans="1:7" x14ac:dyDescent="0.25">
      <c r="C35" t="s">
        <v>82</v>
      </c>
    </row>
    <row r="36" spans="1:7" x14ac:dyDescent="0.25">
      <c r="C36" t="s">
        <v>127</v>
      </c>
    </row>
    <row r="37" spans="1:7" x14ac:dyDescent="0.25">
      <c r="A37" s="159" t="s">
        <v>262</v>
      </c>
      <c r="B37" s="1" t="s">
        <v>263</v>
      </c>
    </row>
    <row r="38" spans="1:7" x14ac:dyDescent="0.25">
      <c r="A38" s="159"/>
      <c r="B38" t="s">
        <v>274</v>
      </c>
    </row>
    <row r="39" spans="1:7" x14ac:dyDescent="0.25">
      <c r="A39" s="159"/>
      <c r="B39" t="s">
        <v>273</v>
      </c>
    </row>
    <row r="40" spans="1:7" x14ac:dyDescent="0.25">
      <c r="B40" t="s">
        <v>264</v>
      </c>
    </row>
    <row r="41" spans="1:7" x14ac:dyDescent="0.25">
      <c r="B41" t="s">
        <v>265</v>
      </c>
    </row>
    <row r="42" spans="1:7" ht="15" customHeight="1" x14ac:dyDescent="0.25">
      <c r="B42" s="437" t="s">
        <v>266</v>
      </c>
      <c r="C42" s="437"/>
      <c r="D42" s="437"/>
      <c r="E42" s="437"/>
      <c r="F42" s="437"/>
      <c r="G42" s="437"/>
    </row>
    <row r="43" spans="1:7" x14ac:dyDescent="0.25">
      <c r="B43" s="437"/>
      <c r="C43" s="437"/>
      <c r="D43" s="437"/>
      <c r="E43" s="437"/>
      <c r="F43" s="437"/>
      <c r="G43" s="437"/>
    </row>
    <row r="44" spans="1:7" x14ac:dyDescent="0.25">
      <c r="B44" s="330" t="s">
        <v>267</v>
      </c>
    </row>
    <row r="45" spans="1:7" x14ac:dyDescent="0.25">
      <c r="A45" s="159" t="s">
        <v>268</v>
      </c>
      <c r="B45" s="1" t="s">
        <v>269</v>
      </c>
    </row>
    <row r="46" spans="1:7" x14ac:dyDescent="0.25">
      <c r="B46" t="s">
        <v>270</v>
      </c>
    </row>
    <row r="47" spans="1:7" x14ac:dyDescent="0.25">
      <c r="B47" t="s">
        <v>271</v>
      </c>
    </row>
  </sheetData>
  <mergeCells count="1">
    <mergeCell ref="B42:G43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J81"/>
  <sheetViews>
    <sheetView showGridLines="0" topLeftCell="A31" zoomScale="80" zoomScaleNormal="80" workbookViewId="0">
      <selection activeCell="E20" sqref="E20"/>
    </sheetView>
  </sheetViews>
  <sheetFormatPr defaultColWidth="8.85546875" defaultRowHeight="15" x14ac:dyDescent="0.25"/>
  <cols>
    <col min="1" max="1" width="68.7109375" customWidth="1"/>
    <col min="2" max="2" width="15.28515625" customWidth="1"/>
    <col min="3" max="32" width="13.28515625" customWidth="1"/>
    <col min="33" max="33" width="8.28515625" style="226" bestFit="1" customWidth="1"/>
    <col min="34" max="34" width="17.7109375" style="237" customWidth="1"/>
    <col min="35" max="35" width="13.85546875" customWidth="1"/>
    <col min="36" max="36" width="11.28515625" bestFit="1" customWidth="1"/>
  </cols>
  <sheetData>
    <row r="1" spans="1:36" ht="18.75" x14ac:dyDescent="0.3">
      <c r="A1" s="53" t="s">
        <v>56</v>
      </c>
    </row>
    <row r="2" spans="1:36" ht="18.75" x14ac:dyDescent="0.3">
      <c r="A2" s="54" t="s">
        <v>313</v>
      </c>
    </row>
    <row r="3" spans="1:36" ht="18.75" x14ac:dyDescent="0.3">
      <c r="A3" s="54"/>
    </row>
    <row r="4" spans="1:36" ht="18.75" x14ac:dyDescent="0.3">
      <c r="A4" s="376" t="s">
        <v>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</row>
    <row r="5" spans="1:36" ht="15.75" x14ac:dyDescent="0.25">
      <c r="A5" s="391" t="s">
        <v>319</v>
      </c>
      <c r="B5" s="390">
        <v>0</v>
      </c>
      <c r="AI5" s="264"/>
    </row>
    <row r="6" spans="1:36" x14ac:dyDescent="0.25">
      <c r="A6" s="52"/>
      <c r="B6" s="257"/>
      <c r="C6" s="442" t="s">
        <v>59</v>
      </c>
      <c r="D6" s="442"/>
      <c r="E6" s="442"/>
      <c r="F6" s="442"/>
      <c r="G6" s="350" t="s">
        <v>60</v>
      </c>
      <c r="H6" s="350"/>
      <c r="I6" s="350"/>
      <c r="J6" s="350"/>
      <c r="K6" s="350"/>
      <c r="L6" s="350"/>
      <c r="M6" s="350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I6" s="265"/>
    </row>
    <row r="7" spans="1:36" x14ac:dyDescent="0.25">
      <c r="A7" s="258" t="s">
        <v>92</v>
      </c>
      <c r="B7" s="259" t="s">
        <v>9</v>
      </c>
      <c r="C7" s="339">
        <v>201819</v>
      </c>
      <c r="D7" s="339">
        <f t="shared" ref="D7:AF7" si="0">C7+101</f>
        <v>201920</v>
      </c>
      <c r="E7" s="339">
        <f t="shared" si="0"/>
        <v>202021</v>
      </c>
      <c r="F7" s="339">
        <f t="shared" si="0"/>
        <v>202122</v>
      </c>
      <c r="G7" s="337">
        <f t="shared" si="0"/>
        <v>202223</v>
      </c>
      <c r="H7" s="337">
        <f t="shared" si="0"/>
        <v>202324</v>
      </c>
      <c r="I7" s="337">
        <f t="shared" si="0"/>
        <v>202425</v>
      </c>
      <c r="J7" s="337">
        <f t="shared" si="0"/>
        <v>202526</v>
      </c>
      <c r="K7" s="337">
        <f>J7+101</f>
        <v>202627</v>
      </c>
      <c r="L7" s="337">
        <f t="shared" si="0"/>
        <v>202728</v>
      </c>
      <c r="M7" s="337">
        <f t="shared" si="0"/>
        <v>202829</v>
      </c>
      <c r="N7" s="337">
        <f t="shared" si="0"/>
        <v>202930</v>
      </c>
      <c r="O7" s="337">
        <f t="shared" si="0"/>
        <v>203031</v>
      </c>
      <c r="P7" s="337">
        <f t="shared" si="0"/>
        <v>203132</v>
      </c>
      <c r="Q7" s="337">
        <f t="shared" si="0"/>
        <v>203233</v>
      </c>
      <c r="R7" s="337">
        <f t="shared" si="0"/>
        <v>203334</v>
      </c>
      <c r="S7" s="337">
        <f t="shared" si="0"/>
        <v>203435</v>
      </c>
      <c r="T7" s="337">
        <f t="shared" si="0"/>
        <v>203536</v>
      </c>
      <c r="U7" s="337">
        <f t="shared" si="0"/>
        <v>203637</v>
      </c>
      <c r="V7" s="337">
        <f t="shared" si="0"/>
        <v>203738</v>
      </c>
      <c r="W7" s="337">
        <f t="shared" si="0"/>
        <v>203839</v>
      </c>
      <c r="X7" s="337">
        <f t="shared" si="0"/>
        <v>203940</v>
      </c>
      <c r="Y7" s="337">
        <f t="shared" si="0"/>
        <v>204041</v>
      </c>
      <c r="Z7" s="337">
        <f t="shared" si="0"/>
        <v>204142</v>
      </c>
      <c r="AA7" s="337">
        <f t="shared" si="0"/>
        <v>204243</v>
      </c>
      <c r="AB7" s="337">
        <f t="shared" si="0"/>
        <v>204344</v>
      </c>
      <c r="AC7" s="337">
        <f t="shared" si="0"/>
        <v>204445</v>
      </c>
      <c r="AD7" s="337">
        <f t="shared" si="0"/>
        <v>204546</v>
      </c>
      <c r="AE7" s="337">
        <f t="shared" si="0"/>
        <v>204647</v>
      </c>
      <c r="AF7" s="337">
        <f t="shared" si="0"/>
        <v>204748</v>
      </c>
      <c r="AG7" s="227"/>
      <c r="AH7" s="238"/>
      <c r="AI7" s="265"/>
    </row>
    <row r="8" spans="1:36" x14ac:dyDescent="0.25">
      <c r="A8" s="139" t="s">
        <v>43</v>
      </c>
      <c r="B8" s="260">
        <v>533000</v>
      </c>
      <c r="C8" s="247">
        <v>192</v>
      </c>
      <c r="D8" s="247">
        <v>235</v>
      </c>
      <c r="E8" s="137">
        <v>120</v>
      </c>
      <c r="F8" s="137">
        <v>120</v>
      </c>
      <c r="G8" s="381">
        <v>120</v>
      </c>
      <c r="H8" s="137">
        <v>120</v>
      </c>
      <c r="I8" s="137">
        <v>82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60">
        <v>0</v>
      </c>
      <c r="AD8" s="60">
        <v>0</v>
      </c>
      <c r="AE8" s="60">
        <v>0</v>
      </c>
      <c r="AF8" s="60">
        <v>0</v>
      </c>
      <c r="AG8" s="227"/>
      <c r="AH8" s="238"/>
      <c r="AI8" s="265"/>
    </row>
    <row r="9" spans="1:36" x14ac:dyDescent="0.25">
      <c r="A9" s="139" t="s">
        <v>44</v>
      </c>
      <c r="B9" s="261">
        <v>220</v>
      </c>
      <c r="C9" s="247">
        <v>0</v>
      </c>
      <c r="D9" s="247">
        <v>23000</v>
      </c>
      <c r="E9" s="137">
        <v>24000</v>
      </c>
      <c r="F9" s="137">
        <v>24000</v>
      </c>
      <c r="G9" s="381">
        <v>0</v>
      </c>
      <c r="H9" s="137">
        <v>0</v>
      </c>
      <c r="I9" s="137">
        <v>0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60">
        <v>0</v>
      </c>
      <c r="AD9" s="60">
        <v>0</v>
      </c>
      <c r="AE9" s="60">
        <v>0</v>
      </c>
      <c r="AF9" s="60">
        <v>0</v>
      </c>
      <c r="AG9" s="227"/>
      <c r="AH9" s="238"/>
      <c r="AI9" s="265"/>
    </row>
    <row r="10" spans="1:36" x14ac:dyDescent="0.25">
      <c r="A10" s="139" t="s">
        <v>45</v>
      </c>
      <c r="B10" s="261">
        <v>90</v>
      </c>
      <c r="C10" s="247">
        <v>0</v>
      </c>
      <c r="D10" s="247">
        <v>0</v>
      </c>
      <c r="E10" s="137">
        <v>0</v>
      </c>
      <c r="F10" s="137">
        <v>0</v>
      </c>
      <c r="G10" s="381">
        <v>0</v>
      </c>
      <c r="H10" s="137">
        <v>0</v>
      </c>
      <c r="I10" s="137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C10" s="60">
        <v>0</v>
      </c>
      <c r="AD10" s="60">
        <v>0</v>
      </c>
      <c r="AE10" s="60">
        <v>0</v>
      </c>
      <c r="AF10" s="60">
        <v>0</v>
      </c>
      <c r="AG10" s="334"/>
      <c r="AH10" s="444" t="s">
        <v>197</v>
      </c>
      <c r="AI10" s="265"/>
    </row>
    <row r="11" spans="1:36" ht="15" customHeight="1" x14ac:dyDescent="0.25">
      <c r="A11" s="139" t="s">
        <v>46</v>
      </c>
      <c r="B11" s="261">
        <v>265</v>
      </c>
      <c r="C11" s="247">
        <v>0</v>
      </c>
      <c r="D11" s="247">
        <v>20000</v>
      </c>
      <c r="E11" s="137">
        <v>12000</v>
      </c>
      <c r="F11" s="137">
        <v>10000</v>
      </c>
      <c r="G11" s="381">
        <v>0</v>
      </c>
      <c r="H11" s="137">
        <v>0</v>
      </c>
      <c r="I11" s="137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60">
        <v>0</v>
      </c>
      <c r="AD11" s="60">
        <v>0</v>
      </c>
      <c r="AE11" s="60">
        <v>0</v>
      </c>
      <c r="AF11" s="60">
        <v>0</v>
      </c>
      <c r="AG11" s="334"/>
      <c r="AH11" s="444"/>
      <c r="AI11" s="143"/>
      <c r="AJ11" s="80"/>
    </row>
    <row r="12" spans="1:36" x14ac:dyDescent="0.25">
      <c r="A12" s="139" t="s">
        <v>47</v>
      </c>
      <c r="B12" s="262">
        <v>162000</v>
      </c>
      <c r="C12" s="249">
        <v>0</v>
      </c>
      <c r="D12" s="249">
        <v>0</v>
      </c>
      <c r="E12" s="137">
        <v>0</v>
      </c>
      <c r="F12" s="138">
        <v>0</v>
      </c>
      <c r="G12" s="382">
        <v>0</v>
      </c>
      <c r="H12" s="138">
        <v>0</v>
      </c>
      <c r="I12" s="138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334" t="s">
        <v>189</v>
      </c>
      <c r="AH12" s="444"/>
      <c r="AI12" s="152"/>
    </row>
    <row r="13" spans="1:36" x14ac:dyDescent="0.25">
      <c r="A13" s="37" t="s">
        <v>49</v>
      </c>
      <c r="B13" s="24"/>
      <c r="C13" s="318">
        <v>55181490</v>
      </c>
      <c r="D13" s="136">
        <v>64724916</v>
      </c>
      <c r="E13" s="302">
        <f>SUMPRODUCT($B$8:$B$12,E8:E12)*(1-$B$5)</f>
        <v>72420000</v>
      </c>
      <c r="F13" s="302">
        <f t="shared" ref="F13:AF13" si="1">SUMPRODUCT($B$8:$B$12,F8:F12)*(1-$B$5)</f>
        <v>71890000</v>
      </c>
      <c r="G13" s="302">
        <f t="shared" si="1"/>
        <v>63960000</v>
      </c>
      <c r="H13" s="302">
        <f t="shared" si="1"/>
        <v>63960000</v>
      </c>
      <c r="I13" s="302">
        <f t="shared" si="1"/>
        <v>43706000</v>
      </c>
      <c r="J13" s="302">
        <f t="shared" si="1"/>
        <v>0</v>
      </c>
      <c r="K13" s="302">
        <f t="shared" si="1"/>
        <v>0</v>
      </c>
      <c r="L13" s="302">
        <f t="shared" si="1"/>
        <v>0</v>
      </c>
      <c r="M13" s="302">
        <f t="shared" si="1"/>
        <v>0</v>
      </c>
      <c r="N13" s="302">
        <f t="shared" si="1"/>
        <v>0</v>
      </c>
      <c r="O13" s="302">
        <f t="shared" si="1"/>
        <v>0</v>
      </c>
      <c r="P13" s="302">
        <f t="shared" si="1"/>
        <v>0</v>
      </c>
      <c r="Q13" s="302">
        <f t="shared" si="1"/>
        <v>0</v>
      </c>
      <c r="R13" s="302">
        <f t="shared" si="1"/>
        <v>0</v>
      </c>
      <c r="S13" s="302">
        <f t="shared" si="1"/>
        <v>0</v>
      </c>
      <c r="T13" s="302">
        <f t="shared" si="1"/>
        <v>0</v>
      </c>
      <c r="U13" s="302">
        <f t="shared" si="1"/>
        <v>0</v>
      </c>
      <c r="V13" s="302">
        <f t="shared" si="1"/>
        <v>0</v>
      </c>
      <c r="W13" s="302">
        <f t="shared" si="1"/>
        <v>0</v>
      </c>
      <c r="X13" s="302">
        <f t="shared" si="1"/>
        <v>0</v>
      </c>
      <c r="Y13" s="302">
        <f t="shared" si="1"/>
        <v>0</v>
      </c>
      <c r="Z13" s="302">
        <f t="shared" si="1"/>
        <v>0</v>
      </c>
      <c r="AA13" s="302">
        <f t="shared" si="1"/>
        <v>0</v>
      </c>
      <c r="AB13" s="302">
        <f t="shared" si="1"/>
        <v>0</v>
      </c>
      <c r="AC13" s="302">
        <f t="shared" si="1"/>
        <v>0</v>
      </c>
      <c r="AD13" s="302">
        <f t="shared" si="1"/>
        <v>0</v>
      </c>
      <c r="AE13" s="302">
        <f t="shared" si="1"/>
        <v>0</v>
      </c>
      <c r="AF13" s="302">
        <f t="shared" si="1"/>
        <v>0</v>
      </c>
      <c r="AG13" s="229" t="s">
        <v>143</v>
      </c>
      <c r="AH13" s="239"/>
      <c r="AI13" s="143"/>
      <c r="AJ13" s="24"/>
    </row>
    <row r="14" spans="1:36" x14ac:dyDescent="0.25">
      <c r="A14" t="s">
        <v>97</v>
      </c>
      <c r="C14" s="319">
        <f>C16-C13-C15</f>
        <v>297505879.83759463</v>
      </c>
      <c r="D14" s="136">
        <f>C16</f>
        <v>358142355</v>
      </c>
      <c r="E14" s="175">
        <f>D16</f>
        <v>430030118.10000002</v>
      </c>
      <c r="F14" s="144">
        <f>E16</f>
        <v>511050720.46200001</v>
      </c>
      <c r="G14" s="354">
        <f t="shared" ref="G14:L14" si="2">F16</f>
        <v>593161734.87124002</v>
      </c>
      <c r="H14" s="144">
        <f t="shared" si="2"/>
        <v>668984969.56866479</v>
      </c>
      <c r="I14" s="144">
        <f t="shared" si="2"/>
        <v>746324668.96003807</v>
      </c>
      <c r="J14" s="144">
        <f t="shared" si="2"/>
        <v>804957162.33923888</v>
      </c>
      <c r="K14" s="144">
        <f t="shared" si="2"/>
        <v>821056305.58602369</v>
      </c>
      <c r="L14" s="144">
        <f t="shared" si="2"/>
        <v>837477431.69774413</v>
      </c>
      <c r="M14" s="144">
        <f>L16</f>
        <v>854226980.33169901</v>
      </c>
      <c r="N14" s="144">
        <f t="shared" ref="N14:AF14" si="3">M16</f>
        <v>871311519.93833303</v>
      </c>
      <c r="O14" s="144">
        <f t="shared" si="3"/>
        <v>888737750.33709967</v>
      </c>
      <c r="P14" s="144">
        <f t="shared" si="3"/>
        <v>906512505.34384167</v>
      </c>
      <c r="Q14" s="144">
        <f t="shared" si="3"/>
        <v>924642755.45071852</v>
      </c>
      <c r="R14" s="144">
        <f t="shared" si="3"/>
        <v>943135610.55973291</v>
      </c>
      <c r="S14" s="144">
        <f t="shared" si="3"/>
        <v>961998322.77092755</v>
      </c>
      <c r="T14" s="144">
        <f t="shared" si="3"/>
        <v>981238289.22634614</v>
      </c>
      <c r="U14" s="144">
        <f t="shared" si="3"/>
        <v>1000863055.0108731</v>
      </c>
      <c r="V14" s="144">
        <f t="shared" si="3"/>
        <v>1020880316.1110905</v>
      </c>
      <c r="W14" s="144">
        <f t="shared" si="3"/>
        <v>1041297922.4333123</v>
      </c>
      <c r="X14" s="144">
        <f t="shared" si="3"/>
        <v>1062123880.8819785</v>
      </c>
      <c r="Y14" s="144">
        <f t="shared" si="3"/>
        <v>1083366358.4996181</v>
      </c>
      <c r="Z14" s="144">
        <f t="shared" si="3"/>
        <v>1105033685.6696105</v>
      </c>
      <c r="AA14" s="144">
        <f t="shared" si="3"/>
        <v>1127134359.3830028</v>
      </c>
      <c r="AB14" s="144">
        <f t="shared" si="3"/>
        <v>1149677046.5706627</v>
      </c>
      <c r="AC14" s="144">
        <f t="shared" si="3"/>
        <v>1172670587.5020759</v>
      </c>
      <c r="AD14" s="144">
        <f t="shared" si="3"/>
        <v>1196123999.2521174</v>
      </c>
      <c r="AE14" s="144">
        <f t="shared" si="3"/>
        <v>1220046479.2371597</v>
      </c>
      <c r="AF14" s="144">
        <f t="shared" si="3"/>
        <v>1244447408.821903</v>
      </c>
      <c r="AG14" s="227" t="s">
        <v>145</v>
      </c>
      <c r="AH14" s="238"/>
      <c r="AI14" s="152"/>
    </row>
    <row r="15" spans="1:36" x14ac:dyDescent="0.25">
      <c r="A15" t="s">
        <v>94</v>
      </c>
      <c r="B15" s="8"/>
      <c r="C15" s="320">
        <v>5454985.1624053884</v>
      </c>
      <c r="D15" s="132">
        <f>D14*0.02</f>
        <v>7162847.1000000006</v>
      </c>
      <c r="E15" s="136">
        <f t="shared" ref="E15:L15" si="4">E14*0.02</f>
        <v>8600602.3619999997</v>
      </c>
      <c r="F15" s="132">
        <f t="shared" si="4"/>
        <v>10221014.40924</v>
      </c>
      <c r="G15" s="355">
        <f t="shared" si="4"/>
        <v>11863234.697424801</v>
      </c>
      <c r="H15" s="132">
        <f t="shared" si="4"/>
        <v>13379699.391373295</v>
      </c>
      <c r="I15" s="132">
        <f t="shared" si="4"/>
        <v>14926493.379200762</v>
      </c>
      <c r="J15" s="132">
        <f t="shared" si="4"/>
        <v>16099143.246784778</v>
      </c>
      <c r="K15" s="132">
        <f t="shared" si="4"/>
        <v>16421126.111720474</v>
      </c>
      <c r="L15" s="132">
        <f t="shared" si="4"/>
        <v>16749548.633954883</v>
      </c>
      <c r="M15" s="132">
        <f>M14*0.02</f>
        <v>17084539.60663398</v>
      </c>
      <c r="N15" s="132">
        <f t="shared" ref="N15:AF15" si="5">N14*0.02</f>
        <v>17426230.398766659</v>
      </c>
      <c r="O15" s="132">
        <f t="shared" si="5"/>
        <v>17774755.006741993</v>
      </c>
      <c r="P15" s="132">
        <f t="shared" si="5"/>
        <v>18130250.106876835</v>
      </c>
      <c r="Q15" s="132">
        <f t="shared" si="5"/>
        <v>18492855.10901437</v>
      </c>
      <c r="R15" s="132">
        <f t="shared" si="5"/>
        <v>18862712.211194661</v>
      </c>
      <c r="S15" s="132">
        <f t="shared" si="5"/>
        <v>19239966.455418553</v>
      </c>
      <c r="T15" s="132">
        <f t="shared" si="5"/>
        <v>19624765.784526922</v>
      </c>
      <c r="U15" s="132">
        <f t="shared" si="5"/>
        <v>20017261.100217462</v>
      </c>
      <c r="V15" s="132">
        <f t="shared" si="5"/>
        <v>20417606.322221812</v>
      </c>
      <c r="W15" s="132">
        <f t="shared" si="5"/>
        <v>20825958.448666245</v>
      </c>
      <c r="X15" s="132">
        <f t="shared" si="5"/>
        <v>21242477.617639571</v>
      </c>
      <c r="Y15" s="132">
        <f t="shared" si="5"/>
        <v>21667327.169992361</v>
      </c>
      <c r="Z15" s="132">
        <f t="shared" si="5"/>
        <v>22100673.713392209</v>
      </c>
      <c r="AA15" s="132">
        <f t="shared" si="5"/>
        <v>22542687.187660057</v>
      </c>
      <c r="AB15" s="132">
        <f t="shared" si="5"/>
        <v>22993540.931413256</v>
      </c>
      <c r="AC15" s="132">
        <f t="shared" si="5"/>
        <v>23453411.750041518</v>
      </c>
      <c r="AD15" s="132">
        <f t="shared" si="5"/>
        <v>23922479.985042349</v>
      </c>
      <c r="AE15" s="132">
        <f t="shared" si="5"/>
        <v>24400929.584743194</v>
      </c>
      <c r="AF15" s="132">
        <f t="shared" si="5"/>
        <v>24888948.17643806</v>
      </c>
      <c r="AG15" s="227" t="s">
        <v>146</v>
      </c>
      <c r="AH15" s="238"/>
      <c r="AI15" s="152"/>
    </row>
    <row r="16" spans="1:36" x14ac:dyDescent="0.25">
      <c r="A16" t="s">
        <v>203</v>
      </c>
      <c r="C16" s="82">
        <f>C20/B20</f>
        <v>358142355</v>
      </c>
      <c r="D16" s="173">
        <f>D13+D14+D15</f>
        <v>430030118.10000002</v>
      </c>
      <c r="E16" s="303">
        <f t="shared" ref="E16:AF16" si="6">E13+E14+E15</f>
        <v>511050720.46200001</v>
      </c>
      <c r="F16" s="82">
        <f t="shared" si="6"/>
        <v>593161734.87124002</v>
      </c>
      <c r="G16" s="346">
        <f t="shared" si="6"/>
        <v>668984969.56866479</v>
      </c>
      <c r="H16" s="82">
        <f t="shared" si="6"/>
        <v>746324668.96003807</v>
      </c>
      <c r="I16" s="82">
        <f t="shared" si="6"/>
        <v>804957162.33923888</v>
      </c>
      <c r="J16" s="82">
        <f t="shared" si="6"/>
        <v>821056305.58602369</v>
      </c>
      <c r="K16" s="82">
        <f t="shared" si="6"/>
        <v>837477431.69774413</v>
      </c>
      <c r="L16" s="82">
        <f t="shared" si="6"/>
        <v>854226980.33169901</v>
      </c>
      <c r="M16" s="82">
        <f t="shared" si="6"/>
        <v>871311519.93833303</v>
      </c>
      <c r="N16" s="82">
        <f t="shared" si="6"/>
        <v>888737750.33709967</v>
      </c>
      <c r="O16" s="82">
        <f t="shared" si="6"/>
        <v>906512505.34384167</v>
      </c>
      <c r="P16" s="82">
        <f t="shared" si="6"/>
        <v>924642755.45071852</v>
      </c>
      <c r="Q16" s="82">
        <f t="shared" si="6"/>
        <v>943135610.55973291</v>
      </c>
      <c r="R16" s="82">
        <f t="shared" si="6"/>
        <v>961998322.77092755</v>
      </c>
      <c r="S16" s="82">
        <f t="shared" si="6"/>
        <v>981238289.22634614</v>
      </c>
      <c r="T16" s="82">
        <f t="shared" si="6"/>
        <v>1000863055.0108731</v>
      </c>
      <c r="U16" s="82">
        <f t="shared" si="6"/>
        <v>1020880316.1110905</v>
      </c>
      <c r="V16" s="82">
        <f t="shared" si="6"/>
        <v>1041297922.4333123</v>
      </c>
      <c r="W16" s="82">
        <f t="shared" si="6"/>
        <v>1062123880.8819785</v>
      </c>
      <c r="X16" s="82">
        <f t="shared" si="6"/>
        <v>1083366358.4996181</v>
      </c>
      <c r="Y16" s="82">
        <f t="shared" si="6"/>
        <v>1105033685.6696105</v>
      </c>
      <c r="Z16" s="82">
        <f t="shared" si="6"/>
        <v>1127134359.3830028</v>
      </c>
      <c r="AA16" s="82">
        <f t="shared" si="6"/>
        <v>1149677046.5706627</v>
      </c>
      <c r="AB16" s="82">
        <f t="shared" si="6"/>
        <v>1172670587.5020759</v>
      </c>
      <c r="AC16" s="82">
        <f t="shared" si="6"/>
        <v>1196123999.2521174</v>
      </c>
      <c r="AD16" s="82">
        <f t="shared" si="6"/>
        <v>1220046479.2371597</v>
      </c>
      <c r="AE16" s="82">
        <f t="shared" si="6"/>
        <v>1244447408.821903</v>
      </c>
      <c r="AF16" s="82">
        <f t="shared" si="6"/>
        <v>1269336356.9983411</v>
      </c>
      <c r="AG16" s="335" t="s">
        <v>176</v>
      </c>
      <c r="AH16" s="240" t="s">
        <v>190</v>
      </c>
      <c r="AI16" s="152"/>
    </row>
    <row r="17" spans="1:35" x14ac:dyDescent="0.25">
      <c r="A17" t="s">
        <v>12</v>
      </c>
      <c r="C17" s="146">
        <f t="shared" ref="C17:AF17" si="7">-$B$6</f>
        <v>0</v>
      </c>
      <c r="D17" s="146">
        <f t="shared" si="7"/>
        <v>0</v>
      </c>
      <c r="E17" s="69">
        <f t="shared" si="7"/>
        <v>0</v>
      </c>
      <c r="F17" s="56">
        <f t="shared" si="7"/>
        <v>0</v>
      </c>
      <c r="G17" s="356">
        <f t="shared" si="7"/>
        <v>0</v>
      </c>
      <c r="H17" s="56">
        <f t="shared" si="7"/>
        <v>0</v>
      </c>
      <c r="I17" s="56">
        <f t="shared" si="7"/>
        <v>0</v>
      </c>
      <c r="J17" s="56">
        <f t="shared" si="7"/>
        <v>0</v>
      </c>
      <c r="K17" s="56">
        <f t="shared" si="7"/>
        <v>0</v>
      </c>
      <c r="L17" s="56">
        <f t="shared" si="7"/>
        <v>0</v>
      </c>
      <c r="M17" s="56">
        <f t="shared" si="7"/>
        <v>0</v>
      </c>
      <c r="N17" s="56">
        <f t="shared" si="7"/>
        <v>0</v>
      </c>
      <c r="O17" s="56">
        <f t="shared" si="7"/>
        <v>0</v>
      </c>
      <c r="P17" s="56">
        <f t="shared" si="7"/>
        <v>0</v>
      </c>
      <c r="Q17" s="56">
        <f t="shared" si="7"/>
        <v>0</v>
      </c>
      <c r="R17" s="56">
        <f t="shared" si="7"/>
        <v>0</v>
      </c>
      <c r="S17" s="56">
        <f t="shared" si="7"/>
        <v>0</v>
      </c>
      <c r="T17" s="56">
        <f t="shared" si="7"/>
        <v>0</v>
      </c>
      <c r="U17" s="56">
        <f t="shared" si="7"/>
        <v>0</v>
      </c>
      <c r="V17" s="56">
        <f t="shared" si="7"/>
        <v>0</v>
      </c>
      <c r="W17" s="56">
        <f t="shared" si="7"/>
        <v>0</v>
      </c>
      <c r="X17" s="56">
        <f t="shared" si="7"/>
        <v>0</v>
      </c>
      <c r="Y17" s="56">
        <f t="shared" si="7"/>
        <v>0</v>
      </c>
      <c r="Z17" s="56">
        <f t="shared" si="7"/>
        <v>0</v>
      </c>
      <c r="AA17" s="56">
        <f t="shared" si="7"/>
        <v>0</v>
      </c>
      <c r="AB17" s="56">
        <f t="shared" si="7"/>
        <v>0</v>
      </c>
      <c r="AC17" s="56">
        <f t="shared" si="7"/>
        <v>0</v>
      </c>
      <c r="AD17" s="56">
        <f t="shared" si="7"/>
        <v>0</v>
      </c>
      <c r="AE17" s="56">
        <f t="shared" si="7"/>
        <v>0</v>
      </c>
      <c r="AF17" s="56">
        <f t="shared" si="7"/>
        <v>0</v>
      </c>
      <c r="AG17" s="227" t="s">
        <v>144</v>
      </c>
      <c r="AH17" s="238" t="s">
        <v>144</v>
      </c>
      <c r="AI17" s="152"/>
    </row>
    <row r="18" spans="1:35" x14ac:dyDescent="0.25">
      <c r="A18" s="1" t="s">
        <v>51</v>
      </c>
      <c r="C18" s="96">
        <f>C20/B20</f>
        <v>358142355</v>
      </c>
      <c r="D18" s="299">
        <f t="shared" ref="D18:AF18" si="8">SUM(D16:D17)</f>
        <v>430030118.10000002</v>
      </c>
      <c r="E18" s="353">
        <f t="shared" si="8"/>
        <v>511050720.46200001</v>
      </c>
      <c r="F18" s="70">
        <f t="shared" si="8"/>
        <v>593161734.87124002</v>
      </c>
      <c r="G18" s="357">
        <f t="shared" si="8"/>
        <v>668984969.56866479</v>
      </c>
      <c r="H18" s="70">
        <f t="shared" si="8"/>
        <v>746324668.96003807</v>
      </c>
      <c r="I18" s="70">
        <f t="shared" si="8"/>
        <v>804957162.33923888</v>
      </c>
      <c r="J18" s="70">
        <f t="shared" si="8"/>
        <v>821056305.58602369</v>
      </c>
      <c r="K18" s="70">
        <f t="shared" si="8"/>
        <v>837477431.69774413</v>
      </c>
      <c r="L18" s="70">
        <f t="shared" si="8"/>
        <v>854226980.33169901</v>
      </c>
      <c r="M18" s="70">
        <f t="shared" si="8"/>
        <v>871311519.93833303</v>
      </c>
      <c r="N18" s="70">
        <f t="shared" si="8"/>
        <v>888737750.33709967</v>
      </c>
      <c r="O18" s="70">
        <f t="shared" si="8"/>
        <v>906512505.34384167</v>
      </c>
      <c r="P18" s="70">
        <f t="shared" si="8"/>
        <v>924642755.45071852</v>
      </c>
      <c r="Q18" s="70">
        <f t="shared" si="8"/>
        <v>943135610.55973291</v>
      </c>
      <c r="R18" s="70">
        <f t="shared" si="8"/>
        <v>961998322.77092755</v>
      </c>
      <c r="S18" s="70">
        <f t="shared" si="8"/>
        <v>981238289.22634614</v>
      </c>
      <c r="T18" s="70">
        <f t="shared" si="8"/>
        <v>1000863055.0108731</v>
      </c>
      <c r="U18" s="70">
        <f t="shared" si="8"/>
        <v>1020880316.1110905</v>
      </c>
      <c r="V18" s="70">
        <f t="shared" si="8"/>
        <v>1041297922.4333123</v>
      </c>
      <c r="W18" s="70">
        <f t="shared" si="8"/>
        <v>1062123880.8819785</v>
      </c>
      <c r="X18" s="70">
        <f t="shared" si="8"/>
        <v>1083366358.4996181</v>
      </c>
      <c r="Y18" s="70">
        <f t="shared" si="8"/>
        <v>1105033685.6696105</v>
      </c>
      <c r="Z18" s="70">
        <f t="shared" si="8"/>
        <v>1127134359.3830028</v>
      </c>
      <c r="AA18" s="70">
        <f t="shared" si="8"/>
        <v>1149677046.5706627</v>
      </c>
      <c r="AB18" s="70">
        <f t="shared" si="8"/>
        <v>1172670587.5020759</v>
      </c>
      <c r="AC18" s="70">
        <f t="shared" si="8"/>
        <v>1196123999.2521174</v>
      </c>
      <c r="AD18" s="70">
        <f t="shared" si="8"/>
        <v>1220046479.2371597</v>
      </c>
      <c r="AE18" s="70">
        <f t="shared" si="8"/>
        <v>1244447408.821903</v>
      </c>
      <c r="AF18" s="70">
        <f t="shared" si="8"/>
        <v>1269336356.9983411</v>
      </c>
      <c r="AG18" s="227" t="s">
        <v>177</v>
      </c>
      <c r="AH18" s="238" t="s">
        <v>191</v>
      </c>
      <c r="AI18" s="152"/>
    </row>
    <row r="19" spans="1:35" ht="8.1" customHeight="1" x14ac:dyDescent="0.25">
      <c r="C19" s="82"/>
      <c r="D19" s="173"/>
      <c r="E19" s="69"/>
      <c r="F19" s="68"/>
      <c r="G19" s="35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227"/>
      <c r="AH19" s="238"/>
      <c r="AI19" s="152"/>
    </row>
    <row r="20" spans="1:35" x14ac:dyDescent="0.25">
      <c r="A20" t="s">
        <v>42</v>
      </c>
      <c r="B20" s="253">
        <v>0.01</v>
      </c>
      <c r="C20" s="82">
        <v>3581423.55</v>
      </c>
      <c r="D20" s="173">
        <f>D18*B20</f>
        <v>4300301.1809999999</v>
      </c>
      <c r="E20" s="69">
        <f t="shared" ref="E20:L20" si="9">1%*E18</f>
        <v>5110507.20462</v>
      </c>
      <c r="F20" s="68">
        <f t="shared" si="9"/>
        <v>5931617.3487124005</v>
      </c>
      <c r="G20" s="358">
        <f t="shared" si="9"/>
        <v>6689849.6956866477</v>
      </c>
      <c r="H20" s="68">
        <f t="shared" si="9"/>
        <v>7463246.6896003811</v>
      </c>
      <c r="I20" s="68">
        <f t="shared" si="9"/>
        <v>8049571.6233923892</v>
      </c>
      <c r="J20" s="68">
        <f t="shared" si="9"/>
        <v>8210563.0558602372</v>
      </c>
      <c r="K20" s="68">
        <f t="shared" si="9"/>
        <v>8374774.3169774413</v>
      </c>
      <c r="L20" s="68">
        <f t="shared" si="9"/>
        <v>8542269.8033169899</v>
      </c>
      <c r="M20" s="68">
        <f>1%*M18</f>
        <v>8713115.1993833296</v>
      </c>
      <c r="N20" s="68">
        <f t="shared" ref="N20:AF20" si="10">1%*N18</f>
        <v>8887377.5033709966</v>
      </c>
      <c r="O20" s="68">
        <f t="shared" si="10"/>
        <v>9065125.0534384176</v>
      </c>
      <c r="P20" s="68">
        <f t="shared" si="10"/>
        <v>9246427.5545071848</v>
      </c>
      <c r="Q20" s="68">
        <f t="shared" si="10"/>
        <v>9431356.1055973303</v>
      </c>
      <c r="R20" s="68">
        <f t="shared" si="10"/>
        <v>9619983.2277092766</v>
      </c>
      <c r="S20" s="68">
        <f t="shared" si="10"/>
        <v>9812382.8922634609</v>
      </c>
      <c r="T20" s="68">
        <f t="shared" si="10"/>
        <v>10008630.550108731</v>
      </c>
      <c r="U20" s="68">
        <f t="shared" si="10"/>
        <v>10208803.161110906</v>
      </c>
      <c r="V20" s="68">
        <f t="shared" si="10"/>
        <v>10412979.224333122</v>
      </c>
      <c r="W20" s="68">
        <f t="shared" si="10"/>
        <v>10621238.808819786</v>
      </c>
      <c r="X20" s="68">
        <f t="shared" si="10"/>
        <v>10833663.584996181</v>
      </c>
      <c r="Y20" s="68">
        <f t="shared" si="10"/>
        <v>11050336.856696105</v>
      </c>
      <c r="Z20" s="68">
        <f t="shared" si="10"/>
        <v>11271343.593830029</v>
      </c>
      <c r="AA20" s="68">
        <f t="shared" si="10"/>
        <v>11496770.465706628</v>
      </c>
      <c r="AB20" s="68">
        <f t="shared" si="10"/>
        <v>11726705.875020759</v>
      </c>
      <c r="AC20" s="68">
        <f t="shared" si="10"/>
        <v>11961239.992521174</v>
      </c>
      <c r="AD20" s="68">
        <f t="shared" si="10"/>
        <v>12200464.792371597</v>
      </c>
      <c r="AE20" s="68">
        <f t="shared" si="10"/>
        <v>12444474.08821903</v>
      </c>
      <c r="AF20" s="68">
        <f t="shared" si="10"/>
        <v>12693363.569983412</v>
      </c>
      <c r="AG20" s="227" t="s">
        <v>178</v>
      </c>
      <c r="AH20" s="240" t="s">
        <v>192</v>
      </c>
      <c r="AI20" s="152"/>
    </row>
    <row r="21" spans="1:35" x14ac:dyDescent="0.25">
      <c r="A21" t="s">
        <v>41</v>
      </c>
      <c r="B21" s="176">
        <v>0.2</v>
      </c>
      <c r="C21" s="173">
        <f t="shared" ref="C21:L21" si="11">-$B21*C20</f>
        <v>-716284.71</v>
      </c>
      <c r="D21" s="173">
        <f t="shared" si="11"/>
        <v>-860060.23620000004</v>
      </c>
      <c r="E21" s="69">
        <f t="shared" si="11"/>
        <v>-1022101.440924</v>
      </c>
      <c r="F21" s="69">
        <f t="shared" si="11"/>
        <v>-1186323.4697424802</v>
      </c>
      <c r="G21" s="358">
        <f t="shared" si="11"/>
        <v>-1337969.9391373296</v>
      </c>
      <c r="H21" s="69">
        <f t="shared" si="11"/>
        <v>-1492649.3379200762</v>
      </c>
      <c r="I21" s="69">
        <f t="shared" si="11"/>
        <v>-1609914.3246784778</v>
      </c>
      <c r="J21" s="69">
        <f t="shared" si="11"/>
        <v>-1642112.6111720474</v>
      </c>
      <c r="K21" s="69">
        <f t="shared" si="11"/>
        <v>-1674954.8633954884</v>
      </c>
      <c r="L21" s="69">
        <f t="shared" si="11"/>
        <v>-1708453.960663398</v>
      </c>
      <c r="M21" s="69">
        <f>-$B21*M20</f>
        <v>-1742623.0398766659</v>
      </c>
      <c r="N21" s="69">
        <f t="shared" ref="N21:AF21" si="12">-$B21*N20</f>
        <v>-1777475.5006741993</v>
      </c>
      <c r="O21" s="69">
        <f t="shared" si="12"/>
        <v>-1813025.0106876837</v>
      </c>
      <c r="P21" s="69">
        <f t="shared" si="12"/>
        <v>-1849285.5109014371</v>
      </c>
      <c r="Q21" s="69">
        <f t="shared" si="12"/>
        <v>-1886271.2211194662</v>
      </c>
      <c r="R21" s="69">
        <f t="shared" si="12"/>
        <v>-1923996.6455418554</v>
      </c>
      <c r="S21" s="69">
        <f t="shared" si="12"/>
        <v>-1962476.5784526924</v>
      </c>
      <c r="T21" s="69">
        <f t="shared" si="12"/>
        <v>-2001726.1100217463</v>
      </c>
      <c r="U21" s="69">
        <f t="shared" si="12"/>
        <v>-2041760.6322221812</v>
      </c>
      <c r="V21" s="69">
        <f t="shared" si="12"/>
        <v>-2082595.8448666246</v>
      </c>
      <c r="W21" s="69">
        <f t="shared" si="12"/>
        <v>-2124247.7617639573</v>
      </c>
      <c r="X21" s="69">
        <f t="shared" si="12"/>
        <v>-2166732.716999236</v>
      </c>
      <c r="Y21" s="69">
        <f t="shared" si="12"/>
        <v>-2210067.371339221</v>
      </c>
      <c r="Z21" s="69">
        <f t="shared" si="12"/>
        <v>-2254268.7187660057</v>
      </c>
      <c r="AA21" s="69">
        <f t="shared" si="12"/>
        <v>-2299354.0931413257</v>
      </c>
      <c r="AB21" s="69">
        <f t="shared" si="12"/>
        <v>-2345341.1750041521</v>
      </c>
      <c r="AC21" s="69">
        <f t="shared" si="12"/>
        <v>-2392247.9985042349</v>
      </c>
      <c r="AD21" s="69">
        <f t="shared" si="12"/>
        <v>-2440092.9584743194</v>
      </c>
      <c r="AE21" s="69">
        <f t="shared" si="12"/>
        <v>-2488894.8176438059</v>
      </c>
      <c r="AF21" s="69">
        <f t="shared" si="12"/>
        <v>-2538672.7139966823</v>
      </c>
      <c r="AG21" s="231" t="s">
        <v>179</v>
      </c>
      <c r="AH21" s="241" t="s">
        <v>193</v>
      </c>
      <c r="AI21" s="152"/>
    </row>
    <row r="22" spans="1:35" x14ac:dyDescent="0.25">
      <c r="A22" s="1" t="s">
        <v>69</v>
      </c>
      <c r="B22" s="254"/>
      <c r="C22" s="204">
        <f>C20+C21</f>
        <v>2865138.84</v>
      </c>
      <c r="D22" s="112">
        <f t="shared" ref="D22:AF22" si="13">SUM(D20:D21)</f>
        <v>3440240.9447999997</v>
      </c>
      <c r="E22" s="71">
        <f t="shared" si="13"/>
        <v>4088405.763696</v>
      </c>
      <c r="F22" s="71">
        <f t="shared" si="13"/>
        <v>4745293.8789699208</v>
      </c>
      <c r="G22" s="359">
        <f t="shared" si="13"/>
        <v>5351879.7565493183</v>
      </c>
      <c r="H22" s="71">
        <f t="shared" si="13"/>
        <v>5970597.3516803049</v>
      </c>
      <c r="I22" s="71">
        <f t="shared" si="13"/>
        <v>6439657.2987139113</v>
      </c>
      <c r="J22" s="71">
        <f t="shared" si="13"/>
        <v>6568450.4446881898</v>
      </c>
      <c r="K22" s="71">
        <f t="shared" si="13"/>
        <v>6699819.4535819534</v>
      </c>
      <c r="L22" s="71">
        <f t="shared" si="13"/>
        <v>6833815.8426535921</v>
      </c>
      <c r="M22" s="71">
        <f t="shared" si="13"/>
        <v>6970492.1595066637</v>
      </c>
      <c r="N22" s="71">
        <f t="shared" si="13"/>
        <v>7109902.0026967973</v>
      </c>
      <c r="O22" s="71">
        <f t="shared" si="13"/>
        <v>7252100.0427507339</v>
      </c>
      <c r="P22" s="71">
        <f t="shared" si="13"/>
        <v>7397142.0436057476</v>
      </c>
      <c r="Q22" s="71">
        <f t="shared" si="13"/>
        <v>7545084.884477864</v>
      </c>
      <c r="R22" s="71">
        <f t="shared" si="13"/>
        <v>7695986.5821674215</v>
      </c>
      <c r="S22" s="71">
        <f t="shared" si="13"/>
        <v>7849906.3138107685</v>
      </c>
      <c r="T22" s="71">
        <f t="shared" si="13"/>
        <v>8006904.440086985</v>
      </c>
      <c r="U22" s="71">
        <f t="shared" si="13"/>
        <v>8167042.5288887247</v>
      </c>
      <c r="V22" s="71">
        <f t="shared" si="13"/>
        <v>8330383.3794664983</v>
      </c>
      <c r="W22" s="71">
        <f t="shared" si="13"/>
        <v>8496991.0470558293</v>
      </c>
      <c r="X22" s="71">
        <f t="shared" si="13"/>
        <v>8666930.8679969441</v>
      </c>
      <c r="Y22" s="71">
        <f t="shared" si="13"/>
        <v>8840269.4853568841</v>
      </c>
      <c r="Z22" s="71">
        <f t="shared" si="13"/>
        <v>9017074.8750640228</v>
      </c>
      <c r="AA22" s="71">
        <f t="shared" si="13"/>
        <v>9197416.372565303</v>
      </c>
      <c r="AB22" s="71">
        <f t="shared" si="13"/>
        <v>9381364.7000166066</v>
      </c>
      <c r="AC22" s="71">
        <f t="shared" si="13"/>
        <v>9568991.9940169398</v>
      </c>
      <c r="AD22" s="71">
        <f t="shared" si="13"/>
        <v>9760371.8338972777</v>
      </c>
      <c r="AE22" s="71">
        <f t="shared" si="13"/>
        <v>9955579.2705752235</v>
      </c>
      <c r="AF22" s="71">
        <f t="shared" si="13"/>
        <v>10154690.855986729</v>
      </c>
      <c r="AG22" s="227" t="s">
        <v>180</v>
      </c>
      <c r="AH22" s="238" t="s">
        <v>150</v>
      </c>
      <c r="AI22" s="152"/>
    </row>
    <row r="23" spans="1:35" ht="7.5" customHeight="1" x14ac:dyDescent="0.25">
      <c r="A23" s="1"/>
      <c r="B23" s="254"/>
      <c r="C23" s="82"/>
      <c r="D23" s="173"/>
      <c r="E23" s="69"/>
      <c r="F23" s="68"/>
      <c r="G23" s="35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227"/>
      <c r="AH23" s="238"/>
      <c r="AI23" s="152"/>
    </row>
    <row r="24" spans="1:35" ht="15" customHeight="1" x14ac:dyDescent="0.25">
      <c r="A24" s="1" t="s">
        <v>222</v>
      </c>
      <c r="B24" s="254"/>
      <c r="C24" s="82"/>
      <c r="D24" s="173"/>
      <c r="E24" s="69"/>
      <c r="F24" s="68"/>
      <c r="G24" s="35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227"/>
      <c r="AH24" s="238"/>
      <c r="AI24" s="152"/>
    </row>
    <row r="25" spans="1:35" x14ac:dyDescent="0.25">
      <c r="A25" s="19" t="s">
        <v>220</v>
      </c>
      <c r="B25" s="321">
        <v>0.25</v>
      </c>
      <c r="D25" s="173"/>
      <c r="E25" s="69"/>
      <c r="F25" s="68"/>
      <c r="G25" s="35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227"/>
      <c r="AH25" s="240"/>
      <c r="AI25" s="152"/>
    </row>
    <row r="26" spans="1:35" x14ac:dyDescent="0.25">
      <c r="A26" t="s">
        <v>218</v>
      </c>
      <c r="B26" s="255">
        <v>0.54453700000000005</v>
      </c>
      <c r="C26" s="82">
        <f>-$B$25*$B$26*C$22</f>
        <v>-390043.52712927002</v>
      </c>
      <c r="D26" s="173">
        <f t="shared" ref="D26:AF26" si="14">-$B$25*$B$26*D$22</f>
        <v>-468334.62083963939</v>
      </c>
      <c r="E26" s="69">
        <f t="shared" si="14"/>
        <v>-556572.05233643227</v>
      </c>
      <c r="F26" s="68">
        <f t="shared" si="14"/>
        <v>-645997.02324316103</v>
      </c>
      <c r="G26" s="358">
        <f t="shared" si="14"/>
        <v>-728574.13674802415</v>
      </c>
      <c r="H26" s="68">
        <f t="shared" si="14"/>
        <v>-812802.79252298456</v>
      </c>
      <c r="I26" s="68">
        <f t="shared" si="14"/>
        <v>-876657.91661744437</v>
      </c>
      <c r="J26" s="68">
        <f t="shared" si="14"/>
        <v>-894191.07494979328</v>
      </c>
      <c r="K26" s="68">
        <f t="shared" si="14"/>
        <v>-912074.89644878916</v>
      </c>
      <c r="L26" s="68">
        <f t="shared" si="14"/>
        <v>-930316.3943777649</v>
      </c>
      <c r="M26" s="68">
        <f t="shared" si="14"/>
        <v>-948922.72226532013</v>
      </c>
      <c r="N26" s="68">
        <f t="shared" si="14"/>
        <v>-967901.17671062658</v>
      </c>
      <c r="O26" s="68">
        <f t="shared" si="14"/>
        <v>-987259.20024483919</v>
      </c>
      <c r="P26" s="68">
        <f t="shared" si="14"/>
        <v>-1007004.3842497359</v>
      </c>
      <c r="Q26" s="68">
        <f t="shared" si="14"/>
        <v>-1027144.4719347308</v>
      </c>
      <c r="R26" s="68">
        <f t="shared" si="14"/>
        <v>-1047687.3613734253</v>
      </c>
      <c r="S26" s="68">
        <f t="shared" si="14"/>
        <v>-1068641.1086008938</v>
      </c>
      <c r="T26" s="68">
        <f t="shared" si="14"/>
        <v>-1090013.9307729118</v>
      </c>
      <c r="U26" s="68">
        <f t="shared" si="14"/>
        <v>-1111814.2093883699</v>
      </c>
      <c r="V26" s="68">
        <f t="shared" si="14"/>
        <v>-1134050.4935761373</v>
      </c>
      <c r="W26" s="68">
        <f t="shared" si="14"/>
        <v>-1156731.5034476602</v>
      </c>
      <c r="X26" s="68">
        <f t="shared" si="14"/>
        <v>-1179866.1335166132</v>
      </c>
      <c r="Y26" s="68">
        <f t="shared" si="14"/>
        <v>-1203463.4561869456</v>
      </c>
      <c r="Z26" s="68">
        <f t="shared" si="14"/>
        <v>-1227532.7253106846</v>
      </c>
      <c r="AA26" s="68">
        <f t="shared" si="14"/>
        <v>-1252083.3798168981</v>
      </c>
      <c r="AB26" s="68">
        <f t="shared" si="14"/>
        <v>-1277125.0474132358</v>
      </c>
      <c r="AC26" s="68">
        <f t="shared" si="14"/>
        <v>-1302667.5483615007</v>
      </c>
      <c r="AD26" s="68">
        <f t="shared" si="14"/>
        <v>-1328720.8993287305</v>
      </c>
      <c r="AE26" s="68">
        <f t="shared" si="14"/>
        <v>-1355295.3173153054</v>
      </c>
      <c r="AF26" s="68">
        <f t="shared" si="14"/>
        <v>-1382401.2236616116</v>
      </c>
      <c r="AG26" s="227" t="s">
        <v>224</v>
      </c>
      <c r="AH26" s="240" t="s">
        <v>228</v>
      </c>
      <c r="AI26" s="152"/>
    </row>
    <row r="27" spans="1:35" x14ac:dyDescent="0.25">
      <c r="A27" t="s">
        <v>219</v>
      </c>
      <c r="B27" s="255">
        <v>5.8806999999999998E-2</v>
      </c>
      <c r="C27" s="82">
        <f>-C22*$B$27*$B$25</f>
        <v>-42122.554940969996</v>
      </c>
      <c r="D27" s="173">
        <f t="shared" ref="D27:AF27" si="15">-D22*$B$27*$B$25</f>
        <v>-50577.562310213398</v>
      </c>
      <c r="E27" s="69">
        <f t="shared" si="15"/>
        <v>-60106.719436417668</v>
      </c>
      <c r="F27" s="68">
        <f t="shared" si="15"/>
        <v>-69764.124285146027</v>
      </c>
      <c r="G27" s="358">
        <f t="shared" si="15"/>
        <v>-78681.998210848935</v>
      </c>
      <c r="H27" s="68">
        <f t="shared" si="15"/>
        <v>-87778.229615065924</v>
      </c>
      <c r="I27" s="68">
        <f t="shared" si="15"/>
        <v>-94674.23169136724</v>
      </c>
      <c r="J27" s="68">
        <f t="shared" si="15"/>
        <v>-96567.716325194589</v>
      </c>
      <c r="K27" s="68">
        <f t="shared" si="15"/>
        <v>-98499.070651698479</v>
      </c>
      <c r="L27" s="68">
        <f t="shared" si="15"/>
        <v>-100469.05206473244</v>
      </c>
      <c r="M27" s="68">
        <f t="shared" si="15"/>
        <v>-102478.43310602709</v>
      </c>
      <c r="N27" s="68">
        <f t="shared" si="15"/>
        <v>-104528.00176814763</v>
      </c>
      <c r="O27" s="68">
        <f t="shared" si="15"/>
        <v>-106618.5618035106</v>
      </c>
      <c r="P27" s="68">
        <f t="shared" si="15"/>
        <v>-108750.93303958079</v>
      </c>
      <c r="Q27" s="68">
        <f t="shared" si="15"/>
        <v>-110925.95170037243</v>
      </c>
      <c r="R27" s="68">
        <f t="shared" si="15"/>
        <v>-113144.47073437988</v>
      </c>
      <c r="S27" s="68">
        <f t="shared" si="15"/>
        <v>-115407.36014906746</v>
      </c>
      <c r="T27" s="68">
        <f t="shared" si="15"/>
        <v>-117715.50735204882</v>
      </c>
      <c r="U27" s="68">
        <f t="shared" si="15"/>
        <v>-120069.81749908981</v>
      </c>
      <c r="V27" s="68">
        <f t="shared" si="15"/>
        <v>-122471.21384907159</v>
      </c>
      <c r="W27" s="68">
        <f t="shared" si="15"/>
        <v>-124920.63812605303</v>
      </c>
      <c r="X27" s="68">
        <f t="shared" si="15"/>
        <v>-127419.05088857407</v>
      </c>
      <c r="Y27" s="68">
        <f t="shared" si="15"/>
        <v>-129967.43190634556</v>
      </c>
      <c r="Z27" s="68">
        <f t="shared" si="15"/>
        <v>-132566.78054447248</v>
      </c>
      <c r="AA27" s="68">
        <f t="shared" si="15"/>
        <v>-135218.11615536193</v>
      </c>
      <c r="AB27" s="68">
        <f t="shared" si="15"/>
        <v>-137922.47847846913</v>
      </c>
      <c r="AC27" s="68">
        <f t="shared" si="15"/>
        <v>-140680.92804803854</v>
      </c>
      <c r="AD27" s="68">
        <f t="shared" si="15"/>
        <v>-143494.54660899928</v>
      </c>
      <c r="AE27" s="68">
        <f t="shared" si="15"/>
        <v>-146364.4375411793</v>
      </c>
      <c r="AF27" s="68">
        <f t="shared" si="15"/>
        <v>-149291.72629200289</v>
      </c>
      <c r="AG27" s="227" t="s">
        <v>225</v>
      </c>
      <c r="AH27" s="240" t="s">
        <v>229</v>
      </c>
      <c r="AI27" s="152"/>
    </row>
    <row r="28" spans="1:35" ht="26.25" x14ac:dyDescent="0.25">
      <c r="A28" s="322" t="s">
        <v>232</v>
      </c>
      <c r="B28" s="321"/>
      <c r="C28" s="99" t="s">
        <v>231</v>
      </c>
      <c r="D28" s="136">
        <f>D22-$C$22</f>
        <v>575102.10479999986</v>
      </c>
      <c r="E28" s="175">
        <f t="shared" ref="E28:L28" si="16">E22-$C$22</f>
        <v>1223266.9236960001</v>
      </c>
      <c r="F28" s="144">
        <f t="shared" si="16"/>
        <v>1880155.0389699209</v>
      </c>
      <c r="G28" s="354">
        <f t="shared" si="16"/>
        <v>2486740.9165493185</v>
      </c>
      <c r="H28" s="144">
        <f t="shared" si="16"/>
        <v>3105458.511680305</v>
      </c>
      <c r="I28" s="144">
        <f t="shared" si="16"/>
        <v>3574518.4587139115</v>
      </c>
      <c r="J28" s="144">
        <f t="shared" si="16"/>
        <v>3703311.6046881899</v>
      </c>
      <c r="K28" s="144">
        <f t="shared" si="16"/>
        <v>3834680.6135819536</v>
      </c>
      <c r="L28" s="144">
        <f t="shared" si="16"/>
        <v>3968677.0026535923</v>
      </c>
      <c r="M28" s="144">
        <f>M22-$C$22</f>
        <v>4105353.3195066638</v>
      </c>
      <c r="N28" s="144">
        <f t="shared" ref="N28:AF28" si="17">N22-$C$22</f>
        <v>4244763.1626967974</v>
      </c>
      <c r="O28" s="144">
        <f t="shared" si="17"/>
        <v>4386961.2027507341</v>
      </c>
      <c r="P28" s="144">
        <f t="shared" si="17"/>
        <v>4532003.2036057478</v>
      </c>
      <c r="Q28" s="144">
        <f t="shared" si="17"/>
        <v>4679946.0444778642</v>
      </c>
      <c r="R28" s="144">
        <f t="shared" si="17"/>
        <v>4830847.7421674216</v>
      </c>
      <c r="S28" s="144">
        <f t="shared" si="17"/>
        <v>4984767.4738107687</v>
      </c>
      <c r="T28" s="144">
        <f t="shared" si="17"/>
        <v>5141765.6000869852</v>
      </c>
      <c r="U28" s="144">
        <f>U22-$C$22</f>
        <v>5301903.6888887249</v>
      </c>
      <c r="V28" s="144">
        <f t="shared" si="17"/>
        <v>5465244.5394664984</v>
      </c>
      <c r="W28" s="144">
        <f>W22-$C$22</f>
        <v>5631852.2070558295</v>
      </c>
      <c r="X28" s="144">
        <f t="shared" si="17"/>
        <v>5801792.0279969443</v>
      </c>
      <c r="Y28" s="144">
        <f t="shared" si="17"/>
        <v>5975130.6453568842</v>
      </c>
      <c r="Z28" s="144">
        <f t="shared" si="17"/>
        <v>6151936.035064023</v>
      </c>
      <c r="AA28" s="144">
        <f t="shared" si="17"/>
        <v>6332277.5325653031</v>
      </c>
      <c r="AB28" s="144">
        <f t="shared" si="17"/>
        <v>6516225.8600166067</v>
      </c>
      <c r="AC28" s="144">
        <f t="shared" si="17"/>
        <v>6703853.1540169399</v>
      </c>
      <c r="AD28" s="144">
        <f t="shared" si="17"/>
        <v>6895232.9938972779</v>
      </c>
      <c r="AE28" s="144">
        <f t="shared" si="17"/>
        <v>7090440.4305752236</v>
      </c>
      <c r="AF28" s="144">
        <f t="shared" si="17"/>
        <v>7289552.0159867294</v>
      </c>
      <c r="AG28" s="227" t="s">
        <v>181</v>
      </c>
      <c r="AH28" s="246" t="s">
        <v>233</v>
      </c>
      <c r="AI28" s="152"/>
    </row>
    <row r="29" spans="1:35" x14ac:dyDescent="0.25">
      <c r="A29" s="317" t="s">
        <v>283</v>
      </c>
      <c r="B29" s="321">
        <v>0.21</v>
      </c>
      <c r="C29" s="82"/>
      <c r="D29" s="173"/>
      <c r="E29" s="69"/>
      <c r="F29" s="68"/>
      <c r="G29" s="35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227"/>
      <c r="AH29" s="240"/>
      <c r="AI29" s="152"/>
    </row>
    <row r="30" spans="1:35" x14ac:dyDescent="0.25">
      <c r="A30" s="316" t="s">
        <v>218</v>
      </c>
      <c r="B30" s="255">
        <v>0.54453700000000005</v>
      </c>
      <c r="C30" s="82">
        <v>0</v>
      </c>
      <c r="D30" s="173">
        <f t="shared" ref="D30:AF30" si="18">-(D28)*$B$29*$B$30</f>
        <v>-65764.518716710285</v>
      </c>
      <c r="E30" s="69">
        <f t="shared" si="18"/>
        <v>-139883.96117401627</v>
      </c>
      <c r="F30" s="68">
        <f t="shared" si="18"/>
        <v>-215000.93673566842</v>
      </c>
      <c r="G30" s="358">
        <f t="shared" si="18"/>
        <v>-284365.71207975346</v>
      </c>
      <c r="H30" s="68">
        <f t="shared" si="18"/>
        <v>-355117.78293072025</v>
      </c>
      <c r="I30" s="68">
        <f t="shared" si="18"/>
        <v>-408756.08717006643</v>
      </c>
      <c r="J30" s="68">
        <f t="shared" si="18"/>
        <v>-423483.94016923953</v>
      </c>
      <c r="K30" s="68">
        <f t="shared" si="18"/>
        <v>-438506.35022839601</v>
      </c>
      <c r="L30" s="68">
        <f t="shared" si="18"/>
        <v>-453829.20848873566</v>
      </c>
      <c r="M30" s="68">
        <f t="shared" si="18"/>
        <v>-469458.52391428209</v>
      </c>
      <c r="N30" s="68">
        <f t="shared" si="18"/>
        <v>-485400.4256483395</v>
      </c>
      <c r="O30" s="68">
        <f t="shared" si="18"/>
        <v>-501661.16541707807</v>
      </c>
      <c r="P30" s="68">
        <f t="shared" si="18"/>
        <v>-518247.11998119124</v>
      </c>
      <c r="Q30" s="68">
        <f t="shared" si="18"/>
        <v>-535164.79363658698</v>
      </c>
      <c r="R30" s="68">
        <f t="shared" si="18"/>
        <v>-552420.82076509052</v>
      </c>
      <c r="S30" s="68">
        <f t="shared" si="18"/>
        <v>-570021.96843616397</v>
      </c>
      <c r="T30" s="68">
        <f t="shared" si="18"/>
        <v>-587975.13906065898</v>
      </c>
      <c r="U30" s="68">
        <f t="shared" si="18"/>
        <v>-606287.37309764395</v>
      </c>
      <c r="V30" s="68">
        <f t="shared" si="18"/>
        <v>-624965.8518153684</v>
      </c>
      <c r="W30" s="68">
        <f t="shared" si="18"/>
        <v>-644017.90010744764</v>
      </c>
      <c r="X30" s="68">
        <f t="shared" si="18"/>
        <v>-663450.98936536815</v>
      </c>
      <c r="Y30" s="68">
        <f t="shared" si="18"/>
        <v>-683272.74040844734</v>
      </c>
      <c r="Z30" s="68">
        <f t="shared" si="18"/>
        <v>-703490.92647238821</v>
      </c>
      <c r="AA30" s="68">
        <f t="shared" si="18"/>
        <v>-724113.47625760769</v>
      </c>
      <c r="AB30" s="68">
        <f t="shared" si="18"/>
        <v>-745148.47703853133</v>
      </c>
      <c r="AC30" s="68">
        <f t="shared" si="18"/>
        <v>-766604.17783507367</v>
      </c>
      <c r="AD30" s="68">
        <f t="shared" si="18"/>
        <v>-788488.99264754693</v>
      </c>
      <c r="AE30" s="68">
        <f t="shared" si="18"/>
        <v>-810811.50375626958</v>
      </c>
      <c r="AF30" s="68">
        <f t="shared" si="18"/>
        <v>-833580.46508716687</v>
      </c>
      <c r="AG30" s="227" t="s">
        <v>226</v>
      </c>
      <c r="AH30" s="240" t="s">
        <v>302</v>
      </c>
      <c r="AI30" s="152"/>
    </row>
    <row r="31" spans="1:35" x14ac:dyDescent="0.25">
      <c r="A31" s="316" t="s">
        <v>219</v>
      </c>
      <c r="B31" s="255">
        <v>5.8806999999999998E-2</v>
      </c>
      <c r="C31" s="173">
        <v>0</v>
      </c>
      <c r="D31" s="173">
        <f t="shared" ref="D31:AF31" si="19">-(D28)*$B$31*$B$29</f>
        <v>-7102.2061901644538</v>
      </c>
      <c r="E31" s="69">
        <f t="shared" si="19"/>
        <v>-15106.698176176042</v>
      </c>
      <c r="F31" s="69">
        <f t="shared" si="19"/>
        <v>-23218.918249107868</v>
      </c>
      <c r="G31" s="358">
        <f t="shared" si="19"/>
        <v>-30709.932346698308</v>
      </c>
      <c r="H31" s="69">
        <f t="shared" si="19"/>
        <v>-38350.766726240574</v>
      </c>
      <c r="I31" s="69">
        <f t="shared" si="19"/>
        <v>-44143.408470333685</v>
      </c>
      <c r="J31" s="69">
        <f t="shared" si="19"/>
        <v>-45733.935562748658</v>
      </c>
      <c r="K31" s="69">
        <f t="shared" si="19"/>
        <v>-47356.273197011928</v>
      </c>
      <c r="L31" s="69">
        <f t="shared" si="19"/>
        <v>-49011.057583960457</v>
      </c>
      <c r="M31" s="69">
        <f t="shared" si="19"/>
        <v>-50698.937658647956</v>
      </c>
      <c r="N31" s="69">
        <f t="shared" si="19"/>
        <v>-52420.57533482922</v>
      </c>
      <c r="O31" s="69">
        <f t="shared" si="19"/>
        <v>-54176.645764534107</v>
      </c>
      <c r="P31" s="69">
        <f t="shared" si="19"/>
        <v>-55967.837602833075</v>
      </c>
      <c r="Q31" s="69">
        <f t="shared" si="19"/>
        <v>-57794.853277898052</v>
      </c>
      <c r="R31" s="69">
        <f t="shared" si="19"/>
        <v>-59658.409266464303</v>
      </c>
      <c r="S31" s="69">
        <f t="shared" si="19"/>
        <v>-61559.236374801862</v>
      </c>
      <c r="T31" s="69">
        <f t="shared" si="19"/>
        <v>-63498.080025306219</v>
      </c>
      <c r="U31" s="69">
        <f t="shared" si="19"/>
        <v>-65475.700548820634</v>
      </c>
      <c r="V31" s="69">
        <f t="shared" si="19"/>
        <v>-67492.873482805328</v>
      </c>
      <c r="W31" s="69">
        <f t="shared" si="19"/>
        <v>-69550.389875469758</v>
      </c>
      <c r="X31" s="69">
        <f t="shared" si="19"/>
        <v>-71649.056595987407</v>
      </c>
      <c r="Y31" s="69">
        <f t="shared" si="19"/>
        <v>-73789.696650915474</v>
      </c>
      <c r="Z31" s="69">
        <f t="shared" si="19"/>
        <v>-75973.149506942093</v>
      </c>
      <c r="AA31" s="69">
        <f t="shared" si="19"/>
        <v>-78200.271420089222</v>
      </c>
      <c r="AB31" s="69">
        <f t="shared" si="19"/>
        <v>-80471.93577149928</v>
      </c>
      <c r="AC31" s="69">
        <f t="shared" si="19"/>
        <v>-82789.033409937576</v>
      </c>
      <c r="AD31" s="69">
        <f t="shared" si="19"/>
        <v>-85152.473001144608</v>
      </c>
      <c r="AE31" s="69">
        <f t="shared" si="19"/>
        <v>-87563.181384175812</v>
      </c>
      <c r="AF31" s="69">
        <f t="shared" si="19"/>
        <v>-90022.103934867628</v>
      </c>
      <c r="AG31" s="227" t="s">
        <v>227</v>
      </c>
      <c r="AH31" s="240" t="s">
        <v>303</v>
      </c>
      <c r="AI31" s="152"/>
    </row>
    <row r="32" spans="1:35" ht="26.25" x14ac:dyDescent="0.25">
      <c r="A32" s="322" t="s">
        <v>232</v>
      </c>
      <c r="B32" s="321"/>
      <c r="C32" s="136">
        <v>0</v>
      </c>
      <c r="D32" s="136">
        <v>0</v>
      </c>
      <c r="E32" s="136">
        <v>0</v>
      </c>
      <c r="F32" s="136">
        <v>0</v>
      </c>
      <c r="G32" s="365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75">
        <f>W22-$V$22</f>
        <v>166607.66758933105</v>
      </c>
      <c r="X32" s="175">
        <f t="shared" ref="X32:AF32" si="20">X22-$V$22</f>
        <v>336547.48853044584</v>
      </c>
      <c r="Y32" s="175">
        <f t="shared" si="20"/>
        <v>509886.10589038581</v>
      </c>
      <c r="Z32" s="175">
        <f t="shared" si="20"/>
        <v>686691.49559752457</v>
      </c>
      <c r="AA32" s="175">
        <f t="shared" si="20"/>
        <v>867032.99309880473</v>
      </c>
      <c r="AB32" s="175">
        <f t="shared" si="20"/>
        <v>1050981.3205501083</v>
      </c>
      <c r="AC32" s="175">
        <f t="shared" si="20"/>
        <v>1238608.6145504415</v>
      </c>
      <c r="AD32" s="175">
        <f t="shared" si="20"/>
        <v>1429988.4544307794</v>
      </c>
      <c r="AE32" s="175">
        <f t="shared" si="20"/>
        <v>1625195.8911087252</v>
      </c>
      <c r="AF32" s="175">
        <f t="shared" si="20"/>
        <v>1824307.476520231</v>
      </c>
      <c r="AG32" s="227" t="s">
        <v>181</v>
      </c>
      <c r="AH32" s="246" t="s">
        <v>294</v>
      </c>
      <c r="AI32" s="152"/>
    </row>
    <row r="33" spans="1:35" x14ac:dyDescent="0.25">
      <c r="A33" s="317" t="s">
        <v>282</v>
      </c>
      <c r="B33" s="321">
        <v>0.14000000000000001</v>
      </c>
      <c r="C33" s="82"/>
      <c r="D33" s="173"/>
      <c r="E33" s="69"/>
      <c r="F33" s="68"/>
      <c r="G33" s="35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227"/>
      <c r="AH33" s="240"/>
      <c r="AI33" s="152"/>
    </row>
    <row r="34" spans="1:35" x14ac:dyDescent="0.25">
      <c r="A34" s="316" t="s">
        <v>218</v>
      </c>
      <c r="B34" s="255">
        <v>0.54453700000000005</v>
      </c>
      <c r="C34" s="82">
        <f>-C32*$B$34*$B$33</f>
        <v>0</v>
      </c>
      <c r="D34" s="173">
        <f t="shared" ref="D34:L34" si="21">-D32*$B$34*$B$33</f>
        <v>0</v>
      </c>
      <c r="E34" s="173">
        <f t="shared" si="21"/>
        <v>0</v>
      </c>
      <c r="F34" s="82">
        <f t="shared" si="21"/>
        <v>0</v>
      </c>
      <c r="G34" s="346">
        <f t="shared" si="21"/>
        <v>0</v>
      </c>
      <c r="H34" s="82">
        <f t="shared" si="21"/>
        <v>0</v>
      </c>
      <c r="I34" s="82">
        <f t="shared" si="21"/>
        <v>0</v>
      </c>
      <c r="J34" s="82">
        <f t="shared" si="21"/>
        <v>0</v>
      </c>
      <c r="K34" s="82">
        <f t="shared" si="21"/>
        <v>0</v>
      </c>
      <c r="L34" s="82">
        <f t="shared" si="21"/>
        <v>0</v>
      </c>
      <c r="M34" s="82">
        <f>-M32*$B$34*$B$33</f>
        <v>0</v>
      </c>
      <c r="N34" s="82">
        <f t="shared" ref="N34:AF34" si="22">-N32*$B$34*$B$33</f>
        <v>0</v>
      </c>
      <c r="O34" s="82">
        <f t="shared" si="22"/>
        <v>0</v>
      </c>
      <c r="P34" s="82">
        <f t="shared" si="22"/>
        <v>0</v>
      </c>
      <c r="Q34" s="82">
        <f t="shared" si="22"/>
        <v>0</v>
      </c>
      <c r="R34" s="82">
        <f t="shared" si="22"/>
        <v>0</v>
      </c>
      <c r="S34" s="82">
        <f t="shared" si="22"/>
        <v>0</v>
      </c>
      <c r="T34" s="82">
        <f t="shared" si="22"/>
        <v>0</v>
      </c>
      <c r="U34" s="82">
        <f t="shared" si="22"/>
        <v>0</v>
      </c>
      <c r="V34" s="82">
        <f t="shared" si="22"/>
        <v>0</v>
      </c>
      <c r="W34" s="82">
        <f t="shared" si="22"/>
        <v>-12701.36552805282</v>
      </c>
      <c r="X34" s="82">
        <f t="shared" si="22"/>
        <v>-25656.758366666476</v>
      </c>
      <c r="Y34" s="82">
        <f t="shared" si="22"/>
        <v>-38871.259062052632</v>
      </c>
      <c r="Z34" s="82">
        <f t="shared" si="22"/>
        <v>-52350.049771346501</v>
      </c>
      <c r="AA34" s="82">
        <f t="shared" si="22"/>
        <v>-66098.416294826151</v>
      </c>
      <c r="AB34" s="82">
        <f t="shared" si="22"/>
        <v>-80121.750148775216</v>
      </c>
      <c r="AC34" s="82">
        <f t="shared" si="22"/>
        <v>-94425.550679803549</v>
      </c>
      <c r="AD34" s="82">
        <f t="shared" si="22"/>
        <v>-109015.42722145229</v>
      </c>
      <c r="AE34" s="82">
        <f t="shared" si="22"/>
        <v>-123897.10129393409</v>
      </c>
      <c r="AF34" s="82">
        <f t="shared" si="22"/>
        <v>-139076.40884786559</v>
      </c>
      <c r="AG34" s="227" t="s">
        <v>284</v>
      </c>
      <c r="AH34" s="240" t="s">
        <v>304</v>
      </c>
      <c r="AI34" s="152"/>
    </row>
    <row r="35" spans="1:35" x14ac:dyDescent="0.25">
      <c r="A35" s="316" t="s">
        <v>219</v>
      </c>
      <c r="B35" s="255">
        <v>5.8806999999999998E-2</v>
      </c>
      <c r="C35" s="146">
        <f>-C32*$B$35*$B$33</f>
        <v>0</v>
      </c>
      <c r="D35" s="146">
        <f t="shared" ref="D35:AF35" si="23">-D32*$B$35*$B$33</f>
        <v>0</v>
      </c>
      <c r="E35" s="173">
        <f t="shared" si="23"/>
        <v>0</v>
      </c>
      <c r="F35" s="146">
        <f t="shared" si="23"/>
        <v>0</v>
      </c>
      <c r="G35" s="360">
        <f t="shared" si="23"/>
        <v>0</v>
      </c>
      <c r="H35" s="146">
        <f t="shared" si="23"/>
        <v>0</v>
      </c>
      <c r="I35" s="146">
        <f t="shared" si="23"/>
        <v>0</v>
      </c>
      <c r="J35" s="146">
        <f t="shared" si="23"/>
        <v>0</v>
      </c>
      <c r="K35" s="146">
        <f t="shared" si="23"/>
        <v>0</v>
      </c>
      <c r="L35" s="146">
        <f t="shared" si="23"/>
        <v>0</v>
      </c>
      <c r="M35" s="146">
        <f t="shared" si="23"/>
        <v>0</v>
      </c>
      <c r="N35" s="146">
        <f t="shared" si="23"/>
        <v>0</v>
      </c>
      <c r="O35" s="146">
        <f t="shared" si="23"/>
        <v>0</v>
      </c>
      <c r="P35" s="146">
        <f t="shared" si="23"/>
        <v>0</v>
      </c>
      <c r="Q35" s="146">
        <f t="shared" si="23"/>
        <v>0</v>
      </c>
      <c r="R35" s="146">
        <f t="shared" si="23"/>
        <v>0</v>
      </c>
      <c r="S35" s="146">
        <f t="shared" si="23"/>
        <v>0</v>
      </c>
      <c r="T35" s="146">
        <f t="shared" si="23"/>
        <v>0</v>
      </c>
      <c r="U35" s="146">
        <f t="shared" si="23"/>
        <v>0</v>
      </c>
      <c r="V35" s="146">
        <f t="shared" si="23"/>
        <v>0</v>
      </c>
      <c r="W35" s="146">
        <f t="shared" si="23"/>
        <v>-1371.6775951096108</v>
      </c>
      <c r="X35" s="146">
        <f t="shared" si="23"/>
        <v>-2770.7887421213904</v>
      </c>
      <c r="Y35" s="146">
        <f t="shared" si="23"/>
        <v>-4197.8821120734283</v>
      </c>
      <c r="Z35" s="146">
        <f t="shared" si="23"/>
        <v>-5653.5173494245082</v>
      </c>
      <c r="AA35" s="146">
        <f t="shared" si="23"/>
        <v>-7138.2652915225981</v>
      </c>
      <c r="AB35" s="146">
        <f t="shared" si="23"/>
        <v>-8652.7081924626309</v>
      </c>
      <c r="AC35" s="146">
        <f t="shared" si="23"/>
        <v>-10197.439951421495</v>
      </c>
      <c r="AD35" s="146">
        <f t="shared" si="23"/>
        <v>-11773.066345559519</v>
      </c>
      <c r="AE35" s="146">
        <f t="shared" si="23"/>
        <v>-13380.205267580315</v>
      </c>
      <c r="AF35" s="146">
        <f t="shared" si="23"/>
        <v>-15019.486968041532</v>
      </c>
      <c r="AG35" s="227" t="s">
        <v>285</v>
      </c>
      <c r="AH35" s="240" t="s">
        <v>305</v>
      </c>
      <c r="AI35" s="152"/>
    </row>
    <row r="36" spans="1:35" x14ac:dyDescent="0.25">
      <c r="A36" s="1" t="s">
        <v>223</v>
      </c>
      <c r="B36" s="266"/>
      <c r="C36" s="112">
        <f>C22+SUM(C26:C27)+SUM(C30:C31)+SUM(C34:C35)</f>
        <v>2432972.75792976</v>
      </c>
      <c r="D36" s="112">
        <f t="shared" ref="D36:AF36" si="24">D22+SUM(D26:D27)+SUM(D30:D31)</f>
        <v>2848462.0367432721</v>
      </c>
      <c r="E36" s="71">
        <f t="shared" si="24"/>
        <v>3316736.332572958</v>
      </c>
      <c r="F36" s="71">
        <f t="shared" si="24"/>
        <v>3791312.8764568376</v>
      </c>
      <c r="G36" s="359">
        <f t="shared" si="24"/>
        <v>4229547.9771639928</v>
      </c>
      <c r="H36" s="71">
        <f t="shared" si="24"/>
        <v>4676547.779885293</v>
      </c>
      <c r="I36" s="71">
        <f t="shared" si="24"/>
        <v>5015425.6547646997</v>
      </c>
      <c r="J36" s="71">
        <f t="shared" si="24"/>
        <v>5108473.7776812138</v>
      </c>
      <c r="K36" s="71">
        <f t="shared" si="24"/>
        <v>5203382.8630560571</v>
      </c>
      <c r="L36" s="71">
        <f t="shared" si="24"/>
        <v>5300190.1301383991</v>
      </c>
      <c r="M36" s="71">
        <f t="shared" si="24"/>
        <v>5398933.542562386</v>
      </c>
      <c r="N36" s="71">
        <f t="shared" si="24"/>
        <v>5499651.8232348552</v>
      </c>
      <c r="O36" s="71">
        <f t="shared" si="24"/>
        <v>5602384.4695207719</v>
      </c>
      <c r="P36" s="71">
        <f t="shared" si="24"/>
        <v>5707171.7687324071</v>
      </c>
      <c r="Q36" s="71">
        <f t="shared" si="24"/>
        <v>5814054.8139282754</v>
      </c>
      <c r="R36" s="71">
        <f t="shared" si="24"/>
        <v>5923075.5200280612</v>
      </c>
      <c r="S36" s="71">
        <f t="shared" si="24"/>
        <v>6034276.6402498418</v>
      </c>
      <c r="T36" s="71">
        <f t="shared" si="24"/>
        <v>6147701.7828760594</v>
      </c>
      <c r="U36" s="71">
        <f t="shared" si="24"/>
        <v>6263395.4283548007</v>
      </c>
      <c r="V36" s="71">
        <f t="shared" si="24"/>
        <v>6381402.9467431158</v>
      </c>
      <c r="W36" s="71">
        <f>W22+SUM(W26:W27)+SUM(W30:W31)</f>
        <v>6501770.6154991984</v>
      </c>
      <c r="X36" s="71">
        <f t="shared" si="24"/>
        <v>6624545.6376304012</v>
      </c>
      <c r="Y36" s="71">
        <f t="shared" si="24"/>
        <v>6749776.1602042308</v>
      </c>
      <c r="Z36" s="71">
        <f t="shared" si="24"/>
        <v>6877511.2932295352</v>
      </c>
      <c r="AA36" s="71">
        <f t="shared" si="24"/>
        <v>7007801.1289153462</v>
      </c>
      <c r="AB36" s="71">
        <f t="shared" si="24"/>
        <v>7140696.7613148717</v>
      </c>
      <c r="AC36" s="71">
        <f t="shared" si="24"/>
        <v>7276250.3063623887</v>
      </c>
      <c r="AD36" s="71">
        <f t="shared" si="24"/>
        <v>7414514.9223108562</v>
      </c>
      <c r="AE36" s="71">
        <f t="shared" si="24"/>
        <v>7555544.8305782937</v>
      </c>
      <c r="AF36" s="71">
        <f t="shared" si="24"/>
        <v>7699395.3370110812</v>
      </c>
      <c r="AG36" s="227" t="s">
        <v>182</v>
      </c>
      <c r="AH36" s="240" t="s">
        <v>286</v>
      </c>
      <c r="AI36" s="152"/>
    </row>
    <row r="37" spans="1:35" ht="8.1" customHeight="1" x14ac:dyDescent="0.25">
      <c r="A37" s="1"/>
      <c r="B37" s="152"/>
      <c r="C37" s="114"/>
      <c r="D37" s="145"/>
      <c r="E37" s="134"/>
      <c r="F37" s="111"/>
      <c r="G37" s="36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227"/>
      <c r="AH37" s="238"/>
      <c r="AI37" s="152"/>
    </row>
    <row r="38" spans="1:35" x14ac:dyDescent="0.25">
      <c r="A38" s="193" t="s">
        <v>167</v>
      </c>
      <c r="B38" s="194"/>
      <c r="C38" s="195"/>
      <c r="D38" s="300"/>
      <c r="E38" s="300"/>
      <c r="F38" s="195"/>
      <c r="G38" s="362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227"/>
      <c r="AH38" s="238"/>
      <c r="AI38" s="152"/>
    </row>
    <row r="39" spans="1:35" ht="15" customHeight="1" x14ac:dyDescent="0.25">
      <c r="A39" s="179" t="s">
        <v>157</v>
      </c>
      <c r="B39" s="180">
        <v>0.25</v>
      </c>
      <c r="C39" s="181">
        <f>$B$39*C$36</f>
        <v>608243.18948244001</v>
      </c>
      <c r="D39" s="181">
        <f t="shared" ref="D39:L39" si="25">$B$39*D$36</f>
        <v>712115.50918581802</v>
      </c>
      <c r="E39" s="181">
        <f t="shared" si="25"/>
        <v>829184.08314323949</v>
      </c>
      <c r="F39" s="181">
        <f t="shared" si="25"/>
        <v>947828.21911420941</v>
      </c>
      <c r="G39" s="363">
        <f t="shared" si="25"/>
        <v>1057386.9942909982</v>
      </c>
      <c r="H39" s="181">
        <f t="shared" si="25"/>
        <v>1169136.9449713232</v>
      </c>
      <c r="I39" s="181">
        <f t="shared" si="25"/>
        <v>1253856.4136911749</v>
      </c>
      <c r="J39" s="181">
        <f t="shared" si="25"/>
        <v>1277118.4444203035</v>
      </c>
      <c r="K39" s="181">
        <f t="shared" si="25"/>
        <v>1300845.7157640143</v>
      </c>
      <c r="L39" s="181">
        <f t="shared" si="25"/>
        <v>1325047.5325345998</v>
      </c>
      <c r="M39" s="181">
        <f>$B$39*M$36</f>
        <v>1349733.3856405965</v>
      </c>
      <c r="N39" s="181">
        <f t="shared" ref="N39:AF39" si="26">$B$39*N$36</f>
        <v>1374912.9558087138</v>
      </c>
      <c r="O39" s="181">
        <f t="shared" si="26"/>
        <v>1400596.117380193</v>
      </c>
      <c r="P39" s="181">
        <f t="shared" si="26"/>
        <v>1426792.9421831018</v>
      </c>
      <c r="Q39" s="181">
        <f t="shared" si="26"/>
        <v>1453513.7034820688</v>
      </c>
      <c r="R39" s="181">
        <f t="shared" si="26"/>
        <v>1480768.8800070153</v>
      </c>
      <c r="S39" s="181">
        <f t="shared" si="26"/>
        <v>1508569.1600624605</v>
      </c>
      <c r="T39" s="181">
        <f t="shared" si="26"/>
        <v>1536925.4457190149</v>
      </c>
      <c r="U39" s="181">
        <f t="shared" si="26"/>
        <v>1565848.8570887002</v>
      </c>
      <c r="V39" s="181">
        <f t="shared" si="26"/>
        <v>1595350.7366857789</v>
      </c>
      <c r="W39" s="181">
        <f t="shared" si="26"/>
        <v>1625442.6538747996</v>
      </c>
      <c r="X39" s="181">
        <f t="shared" si="26"/>
        <v>1656136.4094076003</v>
      </c>
      <c r="Y39" s="181">
        <f t="shared" si="26"/>
        <v>1687444.0400510577</v>
      </c>
      <c r="Z39" s="181">
        <f t="shared" si="26"/>
        <v>1719377.8233073838</v>
      </c>
      <c r="AA39" s="181">
        <f t="shared" si="26"/>
        <v>1751950.2822288366</v>
      </c>
      <c r="AB39" s="181">
        <f t="shared" si="26"/>
        <v>1785174.1903287179</v>
      </c>
      <c r="AC39" s="181">
        <f t="shared" si="26"/>
        <v>1819062.5765905972</v>
      </c>
      <c r="AD39" s="181">
        <f t="shared" si="26"/>
        <v>1853628.730577714</v>
      </c>
      <c r="AE39" s="181">
        <f t="shared" si="26"/>
        <v>1888886.2076445734</v>
      </c>
      <c r="AF39" s="181">
        <f t="shared" si="26"/>
        <v>1924848.8342527703</v>
      </c>
      <c r="AG39" s="232"/>
      <c r="AH39" s="242" t="s">
        <v>169</v>
      </c>
      <c r="AI39" s="124"/>
    </row>
    <row r="40" spans="1:35" ht="15" customHeight="1" x14ac:dyDescent="0.25">
      <c r="A40" s="179" t="s">
        <v>156</v>
      </c>
      <c r="B40" s="182">
        <v>0.05</v>
      </c>
      <c r="C40" s="181">
        <f>B40*C$36</f>
        <v>121648.63789648801</v>
      </c>
      <c r="D40" s="181">
        <f>B40*D$36</f>
        <v>142423.10183716362</v>
      </c>
      <c r="E40" s="181">
        <f>$B$40*E36</f>
        <v>165836.81662864791</v>
      </c>
      <c r="F40" s="181">
        <f t="shared" ref="F40:AF40" si="27">$B$40*F36</f>
        <v>189565.6438228419</v>
      </c>
      <c r="G40" s="363">
        <f t="shared" si="27"/>
        <v>211477.39885819965</v>
      </c>
      <c r="H40" s="181">
        <f t="shared" si="27"/>
        <v>233827.38899426465</v>
      </c>
      <c r="I40" s="181">
        <f t="shared" si="27"/>
        <v>250771.28273823499</v>
      </c>
      <c r="J40" s="181">
        <f t="shared" si="27"/>
        <v>255423.68888406071</v>
      </c>
      <c r="K40" s="181">
        <f t="shared" si="27"/>
        <v>260169.14315280286</v>
      </c>
      <c r="L40" s="181">
        <f t="shared" si="27"/>
        <v>265009.50650691998</v>
      </c>
      <c r="M40" s="181">
        <f t="shared" si="27"/>
        <v>269946.67712811934</v>
      </c>
      <c r="N40" s="181">
        <f t="shared" si="27"/>
        <v>274982.59116174275</v>
      </c>
      <c r="O40" s="181">
        <f t="shared" si="27"/>
        <v>280119.22347603861</v>
      </c>
      <c r="P40" s="181">
        <f t="shared" si="27"/>
        <v>285358.58843662037</v>
      </c>
      <c r="Q40" s="181">
        <f t="shared" si="27"/>
        <v>290702.74069641379</v>
      </c>
      <c r="R40" s="181">
        <f t="shared" si="27"/>
        <v>296153.77600140305</v>
      </c>
      <c r="S40" s="181">
        <f t="shared" si="27"/>
        <v>301713.83201249212</v>
      </c>
      <c r="T40" s="181">
        <f t="shared" si="27"/>
        <v>307385.08914380299</v>
      </c>
      <c r="U40" s="181">
        <f t="shared" si="27"/>
        <v>313169.77141774003</v>
      </c>
      <c r="V40" s="181">
        <f t="shared" si="27"/>
        <v>319070.14733715582</v>
      </c>
      <c r="W40" s="181">
        <f t="shared" si="27"/>
        <v>325088.53077495995</v>
      </c>
      <c r="X40" s="181">
        <f t="shared" si="27"/>
        <v>331227.28188152006</v>
      </c>
      <c r="Y40" s="181">
        <f t="shared" si="27"/>
        <v>337488.80801021156</v>
      </c>
      <c r="Z40" s="181">
        <f t="shared" si="27"/>
        <v>343875.56466147676</v>
      </c>
      <c r="AA40" s="181">
        <f t="shared" si="27"/>
        <v>350390.05644576735</v>
      </c>
      <c r="AB40" s="181">
        <f t="shared" si="27"/>
        <v>357034.83806574362</v>
      </c>
      <c r="AC40" s="181">
        <f t="shared" si="27"/>
        <v>363812.51531811943</v>
      </c>
      <c r="AD40" s="181">
        <f t="shared" si="27"/>
        <v>370725.74611554283</v>
      </c>
      <c r="AE40" s="181">
        <f t="shared" si="27"/>
        <v>377777.24152891472</v>
      </c>
      <c r="AF40" s="181">
        <f t="shared" si="27"/>
        <v>384969.76685055409</v>
      </c>
      <c r="AG40" s="233"/>
      <c r="AH40" s="243" t="s">
        <v>170</v>
      </c>
      <c r="AI40" s="152"/>
    </row>
    <row r="41" spans="1:35" ht="15" customHeight="1" x14ac:dyDescent="0.25">
      <c r="A41" s="179" t="s">
        <v>58</v>
      </c>
      <c r="B41" s="182">
        <v>0.35</v>
      </c>
      <c r="C41" s="181">
        <f>B41*C$36</f>
        <v>851540.46527541592</v>
      </c>
      <c r="D41" s="181">
        <f>B41*(D$36)</f>
        <v>996961.71286014514</v>
      </c>
      <c r="E41" s="181">
        <f>$B$41*(E36)</f>
        <v>1160857.7164005353</v>
      </c>
      <c r="F41" s="181">
        <f t="shared" ref="F41:AF41" si="28">$B$41*(F36)</f>
        <v>1326959.5067598931</v>
      </c>
      <c r="G41" s="363">
        <f t="shared" si="28"/>
        <v>1480341.7920073974</v>
      </c>
      <c r="H41" s="181">
        <f t="shared" si="28"/>
        <v>1636791.7229598525</v>
      </c>
      <c r="I41" s="181">
        <f t="shared" si="28"/>
        <v>1755398.9791676449</v>
      </c>
      <c r="J41" s="181">
        <f t="shared" si="28"/>
        <v>1787965.8221884246</v>
      </c>
      <c r="K41" s="181">
        <f t="shared" si="28"/>
        <v>1821184.0020696199</v>
      </c>
      <c r="L41" s="181">
        <f t="shared" si="28"/>
        <v>1855066.5455484395</v>
      </c>
      <c r="M41" s="181">
        <f t="shared" si="28"/>
        <v>1889626.7398968351</v>
      </c>
      <c r="N41" s="181">
        <f t="shared" si="28"/>
        <v>1924878.1381321992</v>
      </c>
      <c r="O41" s="181">
        <f t="shared" si="28"/>
        <v>1960834.5643322701</v>
      </c>
      <c r="P41" s="181">
        <f t="shared" si="28"/>
        <v>1997510.1190563424</v>
      </c>
      <c r="Q41" s="181">
        <f t="shared" si="28"/>
        <v>2034919.1848748962</v>
      </c>
      <c r="R41" s="181">
        <f t="shared" si="28"/>
        <v>2073076.4320098213</v>
      </c>
      <c r="S41" s="181">
        <f t="shared" si="28"/>
        <v>2111996.8240874447</v>
      </c>
      <c r="T41" s="181">
        <f t="shared" si="28"/>
        <v>2151695.6240066206</v>
      </c>
      <c r="U41" s="181">
        <f t="shared" si="28"/>
        <v>2192188.39992418</v>
      </c>
      <c r="V41" s="181">
        <f t="shared" si="28"/>
        <v>2233491.0313600902</v>
      </c>
      <c r="W41" s="181">
        <f t="shared" si="28"/>
        <v>2275619.7154247193</v>
      </c>
      <c r="X41" s="181">
        <f t="shared" si="28"/>
        <v>2318590.9731706404</v>
      </c>
      <c r="Y41" s="181">
        <f t="shared" si="28"/>
        <v>2362421.6560714808</v>
      </c>
      <c r="Z41" s="181">
        <f t="shared" si="28"/>
        <v>2407128.9526303373</v>
      </c>
      <c r="AA41" s="181">
        <f t="shared" si="28"/>
        <v>2452730.3951203711</v>
      </c>
      <c r="AB41" s="181">
        <f t="shared" si="28"/>
        <v>2499243.8664602051</v>
      </c>
      <c r="AC41" s="181">
        <f t="shared" si="28"/>
        <v>2546687.607226836</v>
      </c>
      <c r="AD41" s="181">
        <f t="shared" si="28"/>
        <v>2595080.2228087997</v>
      </c>
      <c r="AE41" s="181">
        <f t="shared" si="28"/>
        <v>2644440.6907024025</v>
      </c>
      <c r="AF41" s="181">
        <f t="shared" si="28"/>
        <v>2694788.3679538784</v>
      </c>
      <c r="AG41" s="335"/>
      <c r="AH41" s="240" t="s">
        <v>171</v>
      </c>
      <c r="AI41" s="152"/>
    </row>
    <row r="42" spans="1:35" x14ac:dyDescent="0.25">
      <c r="A42" s="179" t="s">
        <v>165</v>
      </c>
      <c r="B42" s="183">
        <v>0.35</v>
      </c>
      <c r="C42" s="181">
        <f>B42*C36</f>
        <v>851540.46527541592</v>
      </c>
      <c r="D42" s="181">
        <f>B42*D36</f>
        <v>996961.71286014514</v>
      </c>
      <c r="E42" s="181">
        <f>$B$42*E36</f>
        <v>1160857.7164005353</v>
      </c>
      <c r="F42" s="181">
        <f t="shared" ref="F42:AF42" si="29">$B$42*F36</f>
        <v>1326959.5067598931</v>
      </c>
      <c r="G42" s="363">
        <f t="shared" si="29"/>
        <v>1480341.7920073974</v>
      </c>
      <c r="H42" s="181">
        <f t="shared" si="29"/>
        <v>1636791.7229598525</v>
      </c>
      <c r="I42" s="181">
        <f t="shared" si="29"/>
        <v>1755398.9791676449</v>
      </c>
      <c r="J42" s="181">
        <f t="shared" si="29"/>
        <v>1787965.8221884246</v>
      </c>
      <c r="K42" s="181">
        <f t="shared" si="29"/>
        <v>1821184.0020696199</v>
      </c>
      <c r="L42" s="181">
        <f t="shared" si="29"/>
        <v>1855066.5455484395</v>
      </c>
      <c r="M42" s="181">
        <f t="shared" si="29"/>
        <v>1889626.7398968351</v>
      </c>
      <c r="N42" s="181">
        <f t="shared" si="29"/>
        <v>1924878.1381321992</v>
      </c>
      <c r="O42" s="181">
        <f t="shared" si="29"/>
        <v>1960834.5643322701</v>
      </c>
      <c r="P42" s="181">
        <f t="shared" si="29"/>
        <v>1997510.1190563424</v>
      </c>
      <c r="Q42" s="181">
        <f t="shared" si="29"/>
        <v>2034919.1848748962</v>
      </c>
      <c r="R42" s="181">
        <f t="shared" si="29"/>
        <v>2073076.4320098213</v>
      </c>
      <c r="S42" s="181">
        <f t="shared" si="29"/>
        <v>2111996.8240874447</v>
      </c>
      <c r="T42" s="181">
        <f t="shared" si="29"/>
        <v>2151695.6240066206</v>
      </c>
      <c r="U42" s="181">
        <f t="shared" si="29"/>
        <v>2192188.39992418</v>
      </c>
      <c r="V42" s="181">
        <f t="shared" si="29"/>
        <v>2233491.0313600902</v>
      </c>
      <c r="W42" s="181">
        <f t="shared" si="29"/>
        <v>2275619.7154247193</v>
      </c>
      <c r="X42" s="181">
        <f t="shared" si="29"/>
        <v>2318590.9731706404</v>
      </c>
      <c r="Y42" s="181">
        <f t="shared" si="29"/>
        <v>2362421.6560714808</v>
      </c>
      <c r="Z42" s="181">
        <f t="shared" si="29"/>
        <v>2407128.9526303373</v>
      </c>
      <c r="AA42" s="181">
        <f t="shared" si="29"/>
        <v>2452730.3951203711</v>
      </c>
      <c r="AB42" s="181">
        <f t="shared" si="29"/>
        <v>2499243.8664602051</v>
      </c>
      <c r="AC42" s="181">
        <f t="shared" si="29"/>
        <v>2546687.607226836</v>
      </c>
      <c r="AD42" s="181">
        <f t="shared" si="29"/>
        <v>2595080.2228087997</v>
      </c>
      <c r="AE42" s="181">
        <f t="shared" si="29"/>
        <v>2644440.6907024025</v>
      </c>
      <c r="AF42" s="181">
        <f t="shared" si="29"/>
        <v>2694788.3679538784</v>
      </c>
      <c r="AG42" s="335" t="s">
        <v>164</v>
      </c>
      <c r="AH42" s="240" t="s">
        <v>194</v>
      </c>
      <c r="AI42" s="152"/>
    </row>
    <row r="43" spans="1:35" x14ac:dyDescent="0.25">
      <c r="A43" s="197" t="s">
        <v>158</v>
      </c>
      <c r="B43" s="196">
        <f>SUM(B39:B42)</f>
        <v>0.99999999999999989</v>
      </c>
      <c r="C43" s="191">
        <f>SUM(C39:C42)</f>
        <v>2432972.75792976</v>
      </c>
      <c r="D43" s="191">
        <f t="shared" ref="D43:AF43" si="30">SUM(D39:D42)</f>
        <v>2848462.0367432721</v>
      </c>
      <c r="E43" s="191">
        <f t="shared" si="30"/>
        <v>3316736.332572958</v>
      </c>
      <c r="F43" s="191">
        <f t="shared" si="30"/>
        <v>3791312.8764568376</v>
      </c>
      <c r="G43" s="364">
        <f t="shared" si="30"/>
        <v>4229547.9771639928</v>
      </c>
      <c r="H43" s="191">
        <f t="shared" si="30"/>
        <v>4676547.779885293</v>
      </c>
      <c r="I43" s="191">
        <f t="shared" si="30"/>
        <v>5015425.6547646997</v>
      </c>
      <c r="J43" s="191">
        <f t="shared" si="30"/>
        <v>5108473.7776812138</v>
      </c>
      <c r="K43" s="191">
        <f t="shared" si="30"/>
        <v>5203382.8630560571</v>
      </c>
      <c r="L43" s="191">
        <f t="shared" si="30"/>
        <v>5300190.1301383991</v>
      </c>
      <c r="M43" s="191">
        <f t="shared" si="30"/>
        <v>5398933.542562386</v>
      </c>
      <c r="N43" s="191">
        <f t="shared" si="30"/>
        <v>5499651.8232348543</v>
      </c>
      <c r="O43" s="191">
        <f t="shared" si="30"/>
        <v>5602384.4695207719</v>
      </c>
      <c r="P43" s="191">
        <f t="shared" si="30"/>
        <v>5707171.7687324071</v>
      </c>
      <c r="Q43" s="191">
        <f t="shared" si="30"/>
        <v>5814054.8139282744</v>
      </c>
      <c r="R43" s="191">
        <f t="shared" si="30"/>
        <v>5923075.5200280603</v>
      </c>
      <c r="S43" s="191">
        <f t="shared" si="30"/>
        <v>6034276.6402498418</v>
      </c>
      <c r="T43" s="191">
        <f t="shared" si="30"/>
        <v>6147701.7828760594</v>
      </c>
      <c r="U43" s="191">
        <f t="shared" si="30"/>
        <v>6263395.4283547997</v>
      </c>
      <c r="V43" s="191">
        <f t="shared" si="30"/>
        <v>6381402.9467431158</v>
      </c>
      <c r="W43" s="191">
        <f t="shared" si="30"/>
        <v>6501770.6154991975</v>
      </c>
      <c r="X43" s="191">
        <f t="shared" si="30"/>
        <v>6624545.6376304012</v>
      </c>
      <c r="Y43" s="191">
        <f t="shared" si="30"/>
        <v>6749776.1602042299</v>
      </c>
      <c r="Z43" s="191">
        <f t="shared" si="30"/>
        <v>6877511.2932295352</v>
      </c>
      <c r="AA43" s="191">
        <f t="shared" si="30"/>
        <v>7007801.1289153462</v>
      </c>
      <c r="AB43" s="191">
        <f t="shared" si="30"/>
        <v>7140696.7613148717</v>
      </c>
      <c r="AC43" s="191">
        <f t="shared" si="30"/>
        <v>7276250.3063623887</v>
      </c>
      <c r="AD43" s="191">
        <f t="shared" si="30"/>
        <v>7414514.9223108562</v>
      </c>
      <c r="AE43" s="191">
        <f t="shared" si="30"/>
        <v>7555544.8305782937</v>
      </c>
      <c r="AF43" s="191">
        <f t="shared" si="30"/>
        <v>7699395.3370110802</v>
      </c>
      <c r="AG43" s="227"/>
      <c r="AH43" s="238"/>
      <c r="AI43" s="152"/>
    </row>
    <row r="44" spans="1:35" ht="8.1" customHeight="1" x14ac:dyDescent="0.25">
      <c r="A44" s="141"/>
      <c r="B44" s="174"/>
      <c r="C44" s="136"/>
      <c r="D44" s="136"/>
      <c r="E44" s="136"/>
      <c r="F44" s="136"/>
      <c r="G44" s="365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227"/>
      <c r="AH44" s="238"/>
      <c r="AI44" s="152"/>
    </row>
    <row r="45" spans="1:35" x14ac:dyDescent="0.25">
      <c r="A45" s="184" t="s">
        <v>159</v>
      </c>
      <c r="B45" s="439" t="s">
        <v>200</v>
      </c>
      <c r="C45" s="185"/>
      <c r="D45" s="185"/>
      <c r="E45" s="185"/>
      <c r="F45" s="185"/>
      <c r="G45" s="366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227"/>
      <c r="AH45" s="238"/>
      <c r="AI45" s="152"/>
    </row>
    <row r="46" spans="1:35" x14ac:dyDescent="0.25">
      <c r="A46" s="186" t="s">
        <v>165</v>
      </c>
      <c r="B46" s="439"/>
      <c r="C46" s="185">
        <f>C42</f>
        <v>851540.46527541592</v>
      </c>
      <c r="D46" s="185">
        <f t="shared" ref="D46:L46" si="31">D42</f>
        <v>996961.71286014514</v>
      </c>
      <c r="E46" s="185">
        <f t="shared" si="31"/>
        <v>1160857.7164005353</v>
      </c>
      <c r="F46" s="185">
        <f t="shared" si="31"/>
        <v>1326959.5067598931</v>
      </c>
      <c r="G46" s="366">
        <f t="shared" si="31"/>
        <v>1480341.7920073974</v>
      </c>
      <c r="H46" s="185">
        <f t="shared" si="31"/>
        <v>1636791.7229598525</v>
      </c>
      <c r="I46" s="185">
        <f t="shared" si="31"/>
        <v>1755398.9791676449</v>
      </c>
      <c r="J46" s="185">
        <f t="shared" si="31"/>
        <v>1787965.8221884246</v>
      </c>
      <c r="K46" s="185">
        <f t="shared" si="31"/>
        <v>1821184.0020696199</v>
      </c>
      <c r="L46" s="185">
        <f t="shared" si="31"/>
        <v>1855066.5455484395</v>
      </c>
      <c r="M46" s="185">
        <f>M42</f>
        <v>1889626.7398968351</v>
      </c>
      <c r="N46" s="185">
        <f t="shared" ref="N46:AF46" si="32">N42</f>
        <v>1924878.1381321992</v>
      </c>
      <c r="O46" s="185">
        <f t="shared" si="32"/>
        <v>1960834.5643322701</v>
      </c>
      <c r="P46" s="185">
        <f t="shared" si="32"/>
        <v>1997510.1190563424</v>
      </c>
      <c r="Q46" s="185">
        <f t="shared" si="32"/>
        <v>2034919.1848748962</v>
      </c>
      <c r="R46" s="185">
        <f t="shared" si="32"/>
        <v>2073076.4320098213</v>
      </c>
      <c r="S46" s="185">
        <f t="shared" si="32"/>
        <v>2111996.8240874447</v>
      </c>
      <c r="T46" s="185">
        <f t="shared" si="32"/>
        <v>2151695.6240066206</v>
      </c>
      <c r="U46" s="185">
        <f t="shared" si="32"/>
        <v>2192188.39992418</v>
      </c>
      <c r="V46" s="185">
        <f t="shared" si="32"/>
        <v>2233491.0313600902</v>
      </c>
      <c r="W46" s="185">
        <f t="shared" si="32"/>
        <v>2275619.7154247193</v>
      </c>
      <c r="X46" s="185">
        <f t="shared" si="32"/>
        <v>2318590.9731706404</v>
      </c>
      <c r="Y46" s="185">
        <f t="shared" si="32"/>
        <v>2362421.6560714808</v>
      </c>
      <c r="Z46" s="185">
        <f t="shared" si="32"/>
        <v>2407128.9526303373</v>
      </c>
      <c r="AA46" s="185">
        <f t="shared" si="32"/>
        <v>2452730.3951203711</v>
      </c>
      <c r="AB46" s="185">
        <f t="shared" si="32"/>
        <v>2499243.8664602051</v>
      </c>
      <c r="AC46" s="185">
        <f t="shared" si="32"/>
        <v>2546687.607226836</v>
      </c>
      <c r="AD46" s="185">
        <f t="shared" si="32"/>
        <v>2595080.2228087997</v>
      </c>
      <c r="AE46" s="185">
        <f t="shared" si="32"/>
        <v>2644440.6907024025</v>
      </c>
      <c r="AF46" s="185">
        <f t="shared" si="32"/>
        <v>2694788.3679538784</v>
      </c>
      <c r="AG46" s="227" t="s">
        <v>164</v>
      </c>
      <c r="AH46" s="238" t="s">
        <v>164</v>
      </c>
      <c r="AI46" s="152"/>
    </row>
    <row r="47" spans="1:35" ht="15" customHeight="1" x14ac:dyDescent="0.25">
      <c r="A47" s="186" t="str">
        <f>CONCATENATE("Less: ",$A$4," Portion of FORA Remediation Bonds Debt Service")</f>
        <v>Less: Monterey County Portion of FORA Remediation Bonds Debt Service</v>
      </c>
      <c r="B47" s="186"/>
      <c r="C47" s="185">
        <v>0</v>
      </c>
      <c r="D47" s="280">
        <v>0</v>
      </c>
      <c r="E47" s="185">
        <v>0</v>
      </c>
      <c r="F47" s="280">
        <v>0</v>
      </c>
      <c r="G47" s="304">
        <v>0</v>
      </c>
      <c r="H47" s="280">
        <v>0</v>
      </c>
      <c r="I47" s="280">
        <v>0</v>
      </c>
      <c r="J47" s="280">
        <v>0</v>
      </c>
      <c r="K47" s="280">
        <v>0</v>
      </c>
      <c r="L47" s="280">
        <v>0</v>
      </c>
      <c r="M47" s="280">
        <v>0</v>
      </c>
      <c r="N47" s="280">
        <v>0</v>
      </c>
      <c r="O47" s="280">
        <v>0</v>
      </c>
      <c r="P47" s="280">
        <v>0</v>
      </c>
      <c r="Q47" s="280">
        <v>0</v>
      </c>
      <c r="R47" s="280">
        <v>0</v>
      </c>
      <c r="S47" s="280">
        <v>0</v>
      </c>
      <c r="T47" s="280">
        <v>0</v>
      </c>
      <c r="U47" s="280">
        <v>0</v>
      </c>
      <c r="V47" s="280">
        <v>0</v>
      </c>
      <c r="W47" s="280">
        <v>0</v>
      </c>
      <c r="X47" s="280">
        <v>0</v>
      </c>
      <c r="Y47" s="280">
        <v>0</v>
      </c>
      <c r="Z47" s="280">
        <v>0</v>
      </c>
      <c r="AA47" s="280">
        <v>0</v>
      </c>
      <c r="AB47" s="280">
        <v>0</v>
      </c>
      <c r="AC47" s="280">
        <v>0</v>
      </c>
      <c r="AD47" s="280">
        <v>0</v>
      </c>
      <c r="AE47" s="280">
        <v>0</v>
      </c>
      <c r="AF47" s="280">
        <v>0</v>
      </c>
      <c r="AG47" s="227" t="s">
        <v>147</v>
      </c>
      <c r="AH47" s="238" t="s">
        <v>147</v>
      </c>
      <c r="AI47" s="152"/>
    </row>
    <row r="48" spans="1:35" ht="15" customHeight="1" x14ac:dyDescent="0.25">
      <c r="A48" s="192" t="s">
        <v>166</v>
      </c>
      <c r="B48" s="187"/>
      <c r="C48" s="190">
        <f>SUM(C46:C47)</f>
        <v>851540.46527541592</v>
      </c>
      <c r="D48" s="190">
        <f t="shared" ref="D48:AF48" si="33">SUM(D46:D47)</f>
        <v>996961.71286014514</v>
      </c>
      <c r="E48" s="190">
        <f t="shared" si="33"/>
        <v>1160857.7164005353</v>
      </c>
      <c r="F48" s="225">
        <f t="shared" si="33"/>
        <v>1326959.5067598931</v>
      </c>
      <c r="G48" s="384">
        <f t="shared" si="33"/>
        <v>1480341.7920073974</v>
      </c>
      <c r="H48" s="225">
        <f t="shared" si="33"/>
        <v>1636791.7229598525</v>
      </c>
      <c r="I48" s="225">
        <f t="shared" si="33"/>
        <v>1755398.9791676449</v>
      </c>
      <c r="J48" s="225">
        <f t="shared" si="33"/>
        <v>1787965.8221884246</v>
      </c>
      <c r="K48" s="225">
        <f t="shared" si="33"/>
        <v>1821184.0020696199</v>
      </c>
      <c r="L48" s="225">
        <f t="shared" si="33"/>
        <v>1855066.5455484395</v>
      </c>
      <c r="M48" s="225">
        <f t="shared" si="33"/>
        <v>1889626.7398968351</v>
      </c>
      <c r="N48" s="225">
        <f t="shared" si="33"/>
        <v>1924878.1381321992</v>
      </c>
      <c r="O48" s="225">
        <f t="shared" si="33"/>
        <v>1960834.5643322701</v>
      </c>
      <c r="P48" s="225">
        <f t="shared" si="33"/>
        <v>1997510.1190563424</v>
      </c>
      <c r="Q48" s="225">
        <f t="shared" si="33"/>
        <v>2034919.1848748962</v>
      </c>
      <c r="R48" s="225">
        <f t="shared" si="33"/>
        <v>2073076.4320098213</v>
      </c>
      <c r="S48" s="225">
        <f t="shared" si="33"/>
        <v>2111996.8240874447</v>
      </c>
      <c r="T48" s="225">
        <f t="shared" si="33"/>
        <v>2151695.6240066206</v>
      </c>
      <c r="U48" s="225">
        <f t="shared" si="33"/>
        <v>2192188.39992418</v>
      </c>
      <c r="V48" s="225">
        <f t="shared" si="33"/>
        <v>2233491.0313600902</v>
      </c>
      <c r="W48" s="225">
        <f t="shared" si="33"/>
        <v>2275619.7154247193</v>
      </c>
      <c r="X48" s="225">
        <f t="shared" si="33"/>
        <v>2318590.9731706404</v>
      </c>
      <c r="Y48" s="225">
        <f t="shared" si="33"/>
        <v>2362421.6560714808</v>
      </c>
      <c r="Z48" s="225">
        <f t="shared" si="33"/>
        <v>2407128.9526303373</v>
      </c>
      <c r="AA48" s="225">
        <f t="shared" si="33"/>
        <v>2452730.3951203711</v>
      </c>
      <c r="AB48" s="225">
        <f t="shared" si="33"/>
        <v>2499243.8664602051</v>
      </c>
      <c r="AC48" s="225">
        <f t="shared" si="33"/>
        <v>2546687.607226836</v>
      </c>
      <c r="AD48" s="225">
        <f t="shared" si="33"/>
        <v>2595080.2228087997</v>
      </c>
      <c r="AE48" s="225">
        <f t="shared" si="33"/>
        <v>2644440.6907024025</v>
      </c>
      <c r="AF48" s="225">
        <f t="shared" si="33"/>
        <v>2694788.3679538784</v>
      </c>
      <c r="AG48" s="227" t="s">
        <v>184</v>
      </c>
      <c r="AH48" s="240" t="s">
        <v>196</v>
      </c>
      <c r="AI48" s="152"/>
    </row>
    <row r="49" spans="1:35" ht="8.1" customHeight="1" x14ac:dyDescent="0.25">
      <c r="A49" s="171"/>
      <c r="B49" s="172"/>
      <c r="C49" s="136"/>
      <c r="D49" s="136"/>
      <c r="E49" s="136"/>
      <c r="F49" s="136"/>
      <c r="G49" s="365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227"/>
      <c r="AH49" s="238"/>
      <c r="AI49" s="152"/>
    </row>
    <row r="50" spans="1:35" ht="15" customHeight="1" x14ac:dyDescent="0.25">
      <c r="A50" s="198" t="s">
        <v>168</v>
      </c>
      <c r="B50" s="199"/>
      <c r="C50" s="135"/>
      <c r="D50" s="135"/>
      <c r="E50" s="135"/>
      <c r="F50" s="135"/>
      <c r="G50" s="369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227"/>
      <c r="AH50" s="238"/>
      <c r="AI50" s="152"/>
    </row>
    <row r="51" spans="1:35" ht="15" customHeight="1" x14ac:dyDescent="0.25">
      <c r="A51" s="200" t="s">
        <v>161</v>
      </c>
      <c r="B51" s="201">
        <v>0.38</v>
      </c>
      <c r="C51" s="135">
        <v>0</v>
      </c>
      <c r="D51" s="135">
        <v>0</v>
      </c>
      <c r="E51" s="135">
        <v>0</v>
      </c>
      <c r="F51" s="135">
        <v>0</v>
      </c>
      <c r="G51" s="369">
        <f t="shared" ref="G51:L51" si="34">G48*$B$51</f>
        <v>562529.88096281106</v>
      </c>
      <c r="H51" s="135">
        <f t="shared" si="34"/>
        <v>621980.85472474399</v>
      </c>
      <c r="I51" s="135">
        <f t="shared" si="34"/>
        <v>667051.61208370503</v>
      </c>
      <c r="J51" s="135">
        <f t="shared" si="34"/>
        <v>679427.01243160141</v>
      </c>
      <c r="K51" s="135">
        <f t="shared" si="34"/>
        <v>692049.92078645562</v>
      </c>
      <c r="L51" s="135">
        <f t="shared" si="34"/>
        <v>704925.28730840702</v>
      </c>
      <c r="M51" s="135">
        <f>M48*$B$51</f>
        <v>718058.16116079735</v>
      </c>
      <c r="N51" s="135">
        <f t="shared" ref="N51:AF51" si="35">N48*$B$51</f>
        <v>731453.69249023567</v>
      </c>
      <c r="O51" s="135">
        <f t="shared" si="35"/>
        <v>745117.13444626261</v>
      </c>
      <c r="P51" s="135">
        <f t="shared" si="35"/>
        <v>759053.84524141008</v>
      </c>
      <c r="Q51" s="135">
        <f t="shared" si="35"/>
        <v>773269.29025246052</v>
      </c>
      <c r="R51" s="135">
        <f t="shared" si="35"/>
        <v>787769.04416373209</v>
      </c>
      <c r="S51" s="135">
        <f t="shared" si="35"/>
        <v>802558.79315322894</v>
      </c>
      <c r="T51" s="135">
        <f t="shared" si="35"/>
        <v>817644.33712251589</v>
      </c>
      <c r="U51" s="135">
        <f t="shared" si="35"/>
        <v>833031.59197118843</v>
      </c>
      <c r="V51" s="135">
        <f t="shared" si="35"/>
        <v>848726.59191683435</v>
      </c>
      <c r="W51" s="135">
        <f t="shared" si="35"/>
        <v>864735.49186139333</v>
      </c>
      <c r="X51" s="135">
        <f t="shared" si="35"/>
        <v>881064.5698048434</v>
      </c>
      <c r="Y51" s="135">
        <f t="shared" si="35"/>
        <v>897720.22930716269</v>
      </c>
      <c r="Z51" s="135">
        <f t="shared" si="35"/>
        <v>914709.00199952815</v>
      </c>
      <c r="AA51" s="135">
        <f t="shared" si="35"/>
        <v>932037.55014574109</v>
      </c>
      <c r="AB51" s="135">
        <f t="shared" si="35"/>
        <v>949712.66925487795</v>
      </c>
      <c r="AC51" s="135">
        <f t="shared" si="35"/>
        <v>967741.29074619769</v>
      </c>
      <c r="AD51" s="135">
        <f t="shared" si="35"/>
        <v>986130.4846673439</v>
      </c>
      <c r="AE51" s="135">
        <f t="shared" si="35"/>
        <v>1004887.4624669129</v>
      </c>
      <c r="AF51" s="135">
        <f t="shared" si="35"/>
        <v>1024019.5798224738</v>
      </c>
      <c r="AG51" s="234" t="s">
        <v>149</v>
      </c>
      <c r="AH51" s="244" t="s">
        <v>172</v>
      </c>
      <c r="AI51" s="124"/>
    </row>
    <row r="52" spans="1:35" ht="15" customHeight="1" x14ac:dyDescent="0.25">
      <c r="A52" s="200" t="s">
        <v>162</v>
      </c>
      <c r="B52" s="202">
        <v>0.08</v>
      </c>
      <c r="C52" s="135">
        <v>0</v>
      </c>
      <c r="D52" s="135">
        <v>0</v>
      </c>
      <c r="E52" s="135">
        <v>0</v>
      </c>
      <c r="F52" s="135">
        <v>0</v>
      </c>
      <c r="G52" s="369">
        <f t="shared" ref="G52:L52" si="36">G48*$B$52</f>
        <v>118427.3433605918</v>
      </c>
      <c r="H52" s="135">
        <f t="shared" si="36"/>
        <v>130943.33783678821</v>
      </c>
      <c r="I52" s="135">
        <f t="shared" si="36"/>
        <v>140431.9183334116</v>
      </c>
      <c r="J52" s="135">
        <f t="shared" si="36"/>
        <v>143037.26577507399</v>
      </c>
      <c r="K52" s="135">
        <f t="shared" si="36"/>
        <v>145694.7201655696</v>
      </c>
      <c r="L52" s="135">
        <f t="shared" si="36"/>
        <v>148405.32364387516</v>
      </c>
      <c r="M52" s="135">
        <f>M48*$B$52</f>
        <v>151170.1391917468</v>
      </c>
      <c r="N52" s="135">
        <f t="shared" ref="N52:AF52" si="37">N48*$B$52</f>
        <v>153990.25105057593</v>
      </c>
      <c r="O52" s="135">
        <f t="shared" si="37"/>
        <v>156866.7651465816</v>
      </c>
      <c r="P52" s="135">
        <f t="shared" si="37"/>
        <v>159800.80952450741</v>
      </c>
      <c r="Q52" s="135">
        <f t="shared" si="37"/>
        <v>162793.53478999171</v>
      </c>
      <c r="R52" s="135">
        <f t="shared" si="37"/>
        <v>165846.1145607857</v>
      </c>
      <c r="S52" s="135">
        <f t="shared" si="37"/>
        <v>168959.74592699559</v>
      </c>
      <c r="T52" s="135">
        <f t="shared" si="37"/>
        <v>172135.64992052966</v>
      </c>
      <c r="U52" s="135">
        <f t="shared" si="37"/>
        <v>175375.0719939344</v>
      </c>
      <c r="V52" s="135">
        <f t="shared" si="37"/>
        <v>178679.28250880723</v>
      </c>
      <c r="W52" s="135">
        <f t="shared" si="37"/>
        <v>182049.57723397756</v>
      </c>
      <c r="X52" s="135">
        <f t="shared" si="37"/>
        <v>185487.27785365123</v>
      </c>
      <c r="Y52" s="135">
        <f t="shared" si="37"/>
        <v>188993.73248571847</v>
      </c>
      <c r="Z52" s="135">
        <f t="shared" si="37"/>
        <v>192570.316210427</v>
      </c>
      <c r="AA52" s="135">
        <f t="shared" si="37"/>
        <v>196218.43160962968</v>
      </c>
      <c r="AB52" s="135">
        <f t="shared" si="37"/>
        <v>199939.5093168164</v>
      </c>
      <c r="AC52" s="135">
        <f t="shared" si="37"/>
        <v>203735.0085781469</v>
      </c>
      <c r="AD52" s="135">
        <f t="shared" si="37"/>
        <v>207606.41782470397</v>
      </c>
      <c r="AE52" s="135">
        <f t="shared" si="37"/>
        <v>211555.25525619221</v>
      </c>
      <c r="AF52" s="135">
        <f t="shared" si="37"/>
        <v>215583.06943631027</v>
      </c>
      <c r="AG52" s="233"/>
      <c r="AH52" s="243" t="s">
        <v>173</v>
      </c>
      <c r="AI52" s="152"/>
    </row>
    <row r="53" spans="1:35" ht="15" customHeight="1" x14ac:dyDescent="0.25">
      <c r="A53" s="200" t="s">
        <v>163</v>
      </c>
      <c r="B53" s="203">
        <v>0.54</v>
      </c>
      <c r="C53" s="135">
        <v>0</v>
      </c>
      <c r="D53" s="135">
        <v>0</v>
      </c>
      <c r="E53" s="135">
        <v>0</v>
      </c>
      <c r="F53" s="135">
        <v>0</v>
      </c>
      <c r="G53" s="369">
        <f t="shared" ref="G53:L53" si="38">$B$53*G48</f>
        <v>799384.56768399465</v>
      </c>
      <c r="H53" s="135">
        <f t="shared" si="38"/>
        <v>883867.53039832041</v>
      </c>
      <c r="I53" s="135">
        <f t="shared" si="38"/>
        <v>947915.44875052827</v>
      </c>
      <c r="J53" s="135">
        <f t="shared" si="38"/>
        <v>965501.54398174933</v>
      </c>
      <c r="K53" s="135">
        <f t="shared" si="38"/>
        <v>983439.36111759488</v>
      </c>
      <c r="L53" s="135">
        <f t="shared" si="38"/>
        <v>1001735.9345961574</v>
      </c>
      <c r="M53" s="135">
        <f>$B$53*M48</f>
        <v>1020398.439544291</v>
      </c>
      <c r="N53" s="135">
        <f t="shared" ref="N53:AF53" si="39">$B$53*N48</f>
        <v>1039434.1945913876</v>
      </c>
      <c r="O53" s="135">
        <f t="shared" si="39"/>
        <v>1058850.664739426</v>
      </c>
      <c r="P53" s="135">
        <f t="shared" si="39"/>
        <v>1078655.4642904249</v>
      </c>
      <c r="Q53" s="135">
        <f t="shared" si="39"/>
        <v>1098856.359832444</v>
      </c>
      <c r="R53" s="135">
        <f t="shared" si="39"/>
        <v>1119461.2732853035</v>
      </c>
      <c r="S53" s="135">
        <f t="shared" si="39"/>
        <v>1140478.2850072202</v>
      </c>
      <c r="T53" s="135">
        <f t="shared" si="39"/>
        <v>1161915.6369635751</v>
      </c>
      <c r="U53" s="135">
        <f t="shared" si="39"/>
        <v>1183781.7359590572</v>
      </c>
      <c r="V53" s="135">
        <f t="shared" si="39"/>
        <v>1206085.1569344488</v>
      </c>
      <c r="W53" s="135">
        <f t="shared" si="39"/>
        <v>1228834.6463293484</v>
      </c>
      <c r="X53" s="135">
        <f t="shared" si="39"/>
        <v>1252039.1255121459</v>
      </c>
      <c r="Y53" s="135">
        <f t="shared" si="39"/>
        <v>1275707.6942785997</v>
      </c>
      <c r="Z53" s="135">
        <f t="shared" si="39"/>
        <v>1299849.6344203823</v>
      </c>
      <c r="AA53" s="135">
        <f t="shared" si="39"/>
        <v>1324474.4133650004</v>
      </c>
      <c r="AB53" s="135">
        <f t="shared" si="39"/>
        <v>1349591.6878885108</v>
      </c>
      <c r="AC53" s="135">
        <f t="shared" si="39"/>
        <v>1375211.3079024917</v>
      </c>
      <c r="AD53" s="135">
        <f t="shared" si="39"/>
        <v>1401343.320316752</v>
      </c>
      <c r="AE53" s="135">
        <f t="shared" si="39"/>
        <v>1427997.9729792974</v>
      </c>
      <c r="AF53" s="135">
        <f t="shared" si="39"/>
        <v>1455185.7186950943</v>
      </c>
      <c r="AG53" s="227" t="s">
        <v>185</v>
      </c>
      <c r="AH53" s="240" t="s">
        <v>188</v>
      </c>
      <c r="AI53" s="152"/>
    </row>
    <row r="54" spans="1:35" ht="15" customHeight="1" x14ac:dyDescent="0.25">
      <c r="A54" s="220" t="s">
        <v>160</v>
      </c>
      <c r="B54" s="221">
        <f>SUM(B51:B53)</f>
        <v>1</v>
      </c>
      <c r="C54" s="222">
        <f>SUM(C51:C53)</f>
        <v>0</v>
      </c>
      <c r="D54" s="222">
        <f t="shared" ref="D54:L54" si="40">SUM(D51:D53)</f>
        <v>0</v>
      </c>
      <c r="E54" s="222">
        <f t="shared" si="40"/>
        <v>0</v>
      </c>
      <c r="F54" s="222">
        <f t="shared" si="40"/>
        <v>0</v>
      </c>
      <c r="G54" s="370">
        <f t="shared" si="40"/>
        <v>1480341.7920073974</v>
      </c>
      <c r="H54" s="222">
        <f t="shared" si="40"/>
        <v>1636791.7229598525</v>
      </c>
      <c r="I54" s="222">
        <f t="shared" si="40"/>
        <v>1755398.9791676449</v>
      </c>
      <c r="J54" s="222">
        <f t="shared" si="40"/>
        <v>1787965.8221884249</v>
      </c>
      <c r="K54" s="222">
        <f t="shared" si="40"/>
        <v>1821184.0020696199</v>
      </c>
      <c r="L54" s="222">
        <f t="shared" si="40"/>
        <v>1855066.5455484395</v>
      </c>
      <c r="M54" s="222">
        <f>SUM(M51:M53)</f>
        <v>1889626.7398968353</v>
      </c>
      <c r="N54" s="222">
        <f t="shared" ref="N54:AF54" si="41">SUM(N51:N53)</f>
        <v>1924878.1381321992</v>
      </c>
      <c r="O54" s="222">
        <f t="shared" si="41"/>
        <v>1960834.5643322701</v>
      </c>
      <c r="P54" s="222">
        <f t="shared" si="41"/>
        <v>1997510.1190563424</v>
      </c>
      <c r="Q54" s="222">
        <f t="shared" si="41"/>
        <v>2034919.1848748962</v>
      </c>
      <c r="R54" s="222">
        <f t="shared" si="41"/>
        <v>2073076.4320098213</v>
      </c>
      <c r="S54" s="222">
        <f t="shared" si="41"/>
        <v>2111996.8240874447</v>
      </c>
      <c r="T54" s="222">
        <f t="shared" si="41"/>
        <v>2151695.6240066206</v>
      </c>
      <c r="U54" s="222">
        <f t="shared" si="41"/>
        <v>2192188.39992418</v>
      </c>
      <c r="V54" s="222">
        <f t="shared" si="41"/>
        <v>2233491.0313600902</v>
      </c>
      <c r="W54" s="222">
        <f t="shared" si="41"/>
        <v>2275619.7154247193</v>
      </c>
      <c r="X54" s="222">
        <f t="shared" si="41"/>
        <v>2318590.9731706409</v>
      </c>
      <c r="Y54" s="222">
        <f t="shared" si="41"/>
        <v>2362421.6560714808</v>
      </c>
      <c r="Z54" s="222">
        <f t="shared" si="41"/>
        <v>2407128.9526303373</v>
      </c>
      <c r="AA54" s="222">
        <f t="shared" si="41"/>
        <v>2452730.3951203711</v>
      </c>
      <c r="AB54" s="222">
        <f t="shared" si="41"/>
        <v>2499243.8664602051</v>
      </c>
      <c r="AC54" s="222">
        <f t="shared" si="41"/>
        <v>2546687.6072268365</v>
      </c>
      <c r="AD54" s="222">
        <f t="shared" si="41"/>
        <v>2595080.2228087997</v>
      </c>
      <c r="AE54" s="222">
        <f t="shared" si="41"/>
        <v>2644440.6907024025</v>
      </c>
      <c r="AF54" s="222">
        <f t="shared" si="41"/>
        <v>2694788.3679538784</v>
      </c>
      <c r="AG54" s="227"/>
      <c r="AH54" s="238"/>
      <c r="AI54" s="152"/>
    </row>
    <row r="55" spans="1:35" ht="8.1" customHeight="1" x14ac:dyDescent="0.25">
      <c r="A55" s="140"/>
      <c r="B55" s="101"/>
      <c r="C55" s="136"/>
      <c r="D55" s="136"/>
      <c r="E55" s="136"/>
      <c r="F55" s="136"/>
      <c r="G55" s="365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227"/>
      <c r="AH55" s="238"/>
      <c r="AI55" s="152"/>
    </row>
    <row r="56" spans="1:35" ht="15" customHeight="1" x14ac:dyDescent="0.25">
      <c r="A56" s="150" t="str">
        <f>CONCATENATE("Increase in ",A4," General Fund Revenues")</f>
        <v>Increase in Monterey County General Fund Revenues</v>
      </c>
      <c r="B56" s="251" t="s">
        <v>287</v>
      </c>
      <c r="C56" s="136"/>
      <c r="D56" s="136"/>
      <c r="E56" s="136"/>
      <c r="F56" s="136"/>
      <c r="G56" s="365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227"/>
      <c r="AH56" s="238"/>
      <c r="AI56" s="152"/>
    </row>
    <row r="57" spans="1:35" ht="30" customHeight="1" x14ac:dyDescent="0.25">
      <c r="A57" s="178" t="s">
        <v>199</v>
      </c>
      <c r="B57" s="278">
        <f>Scenarios!E7</f>
        <v>0.2</v>
      </c>
      <c r="C57" s="177">
        <v>0</v>
      </c>
      <c r="D57" s="177">
        <v>0</v>
      </c>
      <c r="E57" s="177">
        <v>0</v>
      </c>
      <c r="F57" s="177">
        <v>0</v>
      </c>
      <c r="G57" s="371">
        <v>0</v>
      </c>
      <c r="H57" s="177">
        <v>0</v>
      </c>
      <c r="I57" s="177">
        <v>0</v>
      </c>
      <c r="J57" s="177">
        <v>0</v>
      </c>
      <c r="K57" s="177">
        <v>0</v>
      </c>
      <c r="L57" s="177">
        <v>0</v>
      </c>
      <c r="M57" s="177">
        <v>0</v>
      </c>
      <c r="N57" s="177">
        <f>N53*$B$57</f>
        <v>207886.83891827753</v>
      </c>
      <c r="O57" s="177">
        <f t="shared" ref="O57:AF57" si="42">O53*$B$57</f>
        <v>211770.1329478852</v>
      </c>
      <c r="P57" s="177">
        <f t="shared" si="42"/>
        <v>215731.092858085</v>
      </c>
      <c r="Q57" s="177">
        <f t="shared" si="42"/>
        <v>219771.2719664888</v>
      </c>
      <c r="R57" s="177">
        <f t="shared" si="42"/>
        <v>223892.25465706072</v>
      </c>
      <c r="S57" s="177">
        <f t="shared" si="42"/>
        <v>228095.65700144405</v>
      </c>
      <c r="T57" s="177">
        <f t="shared" si="42"/>
        <v>232383.12739271505</v>
      </c>
      <c r="U57" s="177">
        <f t="shared" si="42"/>
        <v>236756.34719181145</v>
      </c>
      <c r="V57" s="177">
        <f t="shared" si="42"/>
        <v>241217.03138688975</v>
      </c>
      <c r="W57" s="177">
        <f t="shared" si="42"/>
        <v>245766.92926586969</v>
      </c>
      <c r="X57" s="177">
        <f t="shared" si="42"/>
        <v>250407.8251024292</v>
      </c>
      <c r="Y57" s="177">
        <f t="shared" si="42"/>
        <v>255141.53885571996</v>
      </c>
      <c r="Z57" s="177">
        <f t="shared" si="42"/>
        <v>259969.92688407647</v>
      </c>
      <c r="AA57" s="177">
        <f t="shared" si="42"/>
        <v>264894.8826730001</v>
      </c>
      <c r="AB57" s="177">
        <f t="shared" si="42"/>
        <v>269918.33757770219</v>
      </c>
      <c r="AC57" s="177">
        <f t="shared" si="42"/>
        <v>275042.26158049837</v>
      </c>
      <c r="AD57" s="177">
        <f t="shared" si="42"/>
        <v>280268.66406335041</v>
      </c>
      <c r="AE57" s="177">
        <f t="shared" si="42"/>
        <v>285599.59459585947</v>
      </c>
      <c r="AF57" s="177">
        <f t="shared" si="42"/>
        <v>291037.14373901888</v>
      </c>
      <c r="AG57" s="235" t="s">
        <v>186</v>
      </c>
      <c r="AH57" s="245" t="s">
        <v>187</v>
      </c>
      <c r="AI57" s="152"/>
    </row>
    <row r="58" spans="1:35" ht="15" hidden="1" customHeight="1" x14ac:dyDescent="0.25">
      <c r="A58" s="151" t="str">
        <f>CONCATENATE("Add Back In: 10% of Incremental FORA Share sent to ",A4)</f>
        <v>Add Back In: 10% of Incremental FORA Share sent to Monterey County</v>
      </c>
      <c r="B58" s="142"/>
      <c r="C58" s="145" t="e">
        <f>-#REF!</f>
        <v>#REF!</v>
      </c>
      <c r="D58" s="145" t="e">
        <f>-#REF!</f>
        <v>#REF!</v>
      </c>
      <c r="E58" s="145" t="e">
        <f>-#REF!</f>
        <v>#REF!</v>
      </c>
      <c r="F58" s="145" t="e">
        <f>-#REF!</f>
        <v>#REF!</v>
      </c>
      <c r="G58" s="372" t="e">
        <f>-#REF!</f>
        <v>#REF!</v>
      </c>
      <c r="H58" s="145" t="e">
        <f>-#REF!</f>
        <v>#REF!</v>
      </c>
      <c r="I58" s="145" t="e">
        <f>-#REF!</f>
        <v>#REF!</v>
      </c>
      <c r="J58" s="145" t="e">
        <f>-#REF!</f>
        <v>#REF!</v>
      </c>
      <c r="K58" s="145" t="e">
        <f>-#REF!</f>
        <v>#REF!</v>
      </c>
      <c r="L58" s="145" t="e">
        <f>-#REF!</f>
        <v>#REF!</v>
      </c>
      <c r="M58" s="145" t="e">
        <f>-#REF!</f>
        <v>#REF!</v>
      </c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227" t="s">
        <v>148</v>
      </c>
      <c r="AH58" s="238"/>
      <c r="AI58" s="26"/>
    </row>
    <row r="59" spans="1:35" ht="15" customHeight="1" x14ac:dyDescent="0.25">
      <c r="A59" s="151"/>
      <c r="B59" s="142"/>
      <c r="C59" s="145"/>
      <c r="D59" s="145"/>
      <c r="E59" s="145"/>
      <c r="F59" s="145"/>
      <c r="G59" s="372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227"/>
      <c r="AH59" s="238"/>
      <c r="AI59" s="26"/>
    </row>
    <row r="60" spans="1:35" ht="15" customHeight="1" x14ac:dyDescent="0.25">
      <c r="A60" s="267" t="s">
        <v>211</v>
      </c>
      <c r="B60" s="142"/>
      <c r="C60" s="145"/>
      <c r="D60" s="145"/>
      <c r="E60" s="145"/>
      <c r="F60" s="145"/>
      <c r="G60" s="372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227"/>
      <c r="AH60" s="238"/>
      <c r="AI60" s="26"/>
    </row>
    <row r="61" spans="1:35" ht="15" customHeight="1" x14ac:dyDescent="0.25">
      <c r="A61" s="268" t="s">
        <v>104</v>
      </c>
      <c r="B61" s="269"/>
      <c r="C61" s="270">
        <f>'1 - Marina'!C53</f>
        <v>0</v>
      </c>
      <c r="D61" s="270">
        <f>'1 - Marina'!D53</f>
        <v>0</v>
      </c>
      <c r="E61" s="270">
        <f>'3 - Marina'!E53</f>
        <v>0</v>
      </c>
      <c r="F61" s="270">
        <v>0</v>
      </c>
      <c r="G61" s="308">
        <f>'4 - Marina'!G53</f>
        <v>765272.4240225103</v>
      </c>
      <c r="H61" s="270">
        <f>'4 - Marina'!H53</f>
        <v>850611.85449020052</v>
      </c>
      <c r="I61" s="270">
        <f>'4 - Marina'!I53</f>
        <v>926316.28161686065</v>
      </c>
      <c r="J61" s="270">
        <f>'4 - Marina'!J53</f>
        <v>971776.58814733825</v>
      </c>
      <c r="K61" s="270">
        <f>'4 - Marina'!K53</f>
        <v>990357.66781204939</v>
      </c>
      <c r="L61" s="270">
        <f>'4 - Marina'!L53</f>
        <v>1009310.3690700546</v>
      </c>
      <c r="M61" s="270">
        <f>'4 - Marina'!M53</f>
        <v>1028642.1243532198</v>
      </c>
      <c r="N61" s="270">
        <f>'4 - Marina'!N53</f>
        <v>1048398.5292588032</v>
      </c>
      <c r="O61" s="270">
        <f>'4 - Marina'!O53</f>
        <v>1066763.0305595284</v>
      </c>
      <c r="P61" s="270">
        <f>'4 - Marina'!P53</f>
        <v>1085494.821886268</v>
      </c>
      <c r="Q61" s="270">
        <f>'4 - Marina'!Q53</f>
        <v>1104601.2490395422</v>
      </c>
      <c r="R61" s="270">
        <f>'4 - Marina'!R53</f>
        <v>1124089.804735882</v>
      </c>
      <c r="S61" s="270">
        <f>'4 - Marina'!S53</f>
        <v>1143968.1315461481</v>
      </c>
      <c r="T61" s="270">
        <f>'4 - Marina'!T53</f>
        <v>1164244.0248926203</v>
      </c>
      <c r="U61" s="270">
        <f>'4 - Marina'!U53</f>
        <v>1184925.4361060213</v>
      </c>
      <c r="V61" s="270">
        <f>'4 - Marina'!V53</f>
        <v>1206020.4755436906</v>
      </c>
      <c r="W61" s="270">
        <f>'4 - Marina'!W53</f>
        <v>1227537.4157701137</v>
      </c>
      <c r="X61" s="270">
        <f>'4 - Marina'!X53</f>
        <v>1249484.6948010647</v>
      </c>
      <c r="Y61" s="270">
        <f>'4 - Marina'!Y53</f>
        <v>1271870.919412635</v>
      </c>
      <c r="Z61" s="270">
        <f>'4 - Marina'!Z53</f>
        <v>1294704.8685164365</v>
      </c>
      <c r="AA61" s="270">
        <f>'4 - Marina'!AA53</f>
        <v>1317995.4966023143</v>
      </c>
      <c r="AB61" s="270">
        <f>'4 - Marina'!AB53</f>
        <v>1341751.9372499092</v>
      </c>
      <c r="AC61" s="270">
        <f>'4 - Marina'!AC53</f>
        <v>1365983.5067104565</v>
      </c>
      <c r="AD61" s="270">
        <f>'4 - Marina'!AD53</f>
        <v>1390699.7075602142</v>
      </c>
      <c r="AE61" s="270">
        <f>'4 - Marina'!AE53</f>
        <v>1415910.2324269677</v>
      </c>
      <c r="AF61" s="270">
        <f>'4 - Marina'!AF53</f>
        <v>1441624.9677910556</v>
      </c>
      <c r="AG61" s="227" t="s">
        <v>205</v>
      </c>
      <c r="AH61" s="238"/>
      <c r="AI61" s="26"/>
    </row>
    <row r="62" spans="1:35" ht="15" customHeight="1" x14ac:dyDescent="0.25">
      <c r="A62" s="268" t="s">
        <v>105</v>
      </c>
      <c r="B62" s="269"/>
      <c r="C62" s="270">
        <f>'1 - Seaside'!C53</f>
        <v>0</v>
      </c>
      <c r="D62" s="270">
        <f>'1 - Seaside'!D53</f>
        <v>0</v>
      </c>
      <c r="E62" s="270">
        <v>0</v>
      </c>
      <c r="F62" s="270">
        <v>0</v>
      </c>
      <c r="G62" s="308">
        <f>'4 - Seaside'!G53</f>
        <v>657174.81307437597</v>
      </c>
      <c r="H62" s="270">
        <f>'4 - Seaside'!H53</f>
        <v>738281.97345959535</v>
      </c>
      <c r="I62" s="270">
        <f>'4 - Seaside'!I53</f>
        <v>813475.19153966638</v>
      </c>
      <c r="J62" s="270">
        <f>'4 - Seaside'!J53</f>
        <v>839675.58538482897</v>
      </c>
      <c r="K62" s="270">
        <f>'4 - Seaside'!K53</f>
        <v>865190.7346497901</v>
      </c>
      <c r="L62" s="270">
        <f>'4 - Seaside'!L53</f>
        <v>890667.14544673101</v>
      </c>
      <c r="M62" s="270">
        <f>'4 - Seaside'!M53</f>
        <v>915972.45455880056</v>
      </c>
      <c r="N62" s="270">
        <f>'4 - Seaside'!N53</f>
        <v>941783.8698531118</v>
      </c>
      <c r="O62" s="270">
        <f>'4 - Seaside'!O53</f>
        <v>958333.46207694022</v>
      </c>
      <c r="P62" s="270">
        <f>'4 - Seaside'!P53</f>
        <v>975214.04614524485</v>
      </c>
      <c r="Q62" s="270">
        <f>'4 - Seaside'!Q53</f>
        <v>992432.24189491593</v>
      </c>
      <c r="R62" s="270">
        <f>'4 - Seaside'!R53</f>
        <v>1009994.8015595805</v>
      </c>
      <c r="S62" s="270">
        <f>'4 - Seaside'!S53</f>
        <v>1027908.6124175382</v>
      </c>
      <c r="T62" s="270">
        <f>'4 - Seaside'!T53</f>
        <v>1046180.699492655</v>
      </c>
      <c r="U62" s="270">
        <f>'4 - Seaside'!U53</f>
        <v>1064818.2283092744</v>
      </c>
      <c r="V62" s="270">
        <f>'4 - Seaside'!V53</f>
        <v>1083828.5077022261</v>
      </c>
      <c r="W62" s="270">
        <f>'4 - Seaside'!W53</f>
        <v>1103218.992683037</v>
      </c>
      <c r="X62" s="270">
        <f>'4 - Seaside'!X53</f>
        <v>1122997.2873634633</v>
      </c>
      <c r="Y62" s="270">
        <f>'4 - Seaside'!Y53</f>
        <v>1143171.1479374992</v>
      </c>
      <c r="Z62" s="270">
        <f>'4 - Seaside'!Z53</f>
        <v>1163748.4857230152</v>
      </c>
      <c r="AA62" s="270">
        <f>'4 - Seaside'!AA53</f>
        <v>1184737.3702642417</v>
      </c>
      <c r="AB62" s="270">
        <f>'4 - Seaside'!AB53</f>
        <v>1206146.0324962928</v>
      </c>
      <c r="AC62" s="270">
        <f>'4 - Seaside'!AC53</f>
        <v>1227982.8679729847</v>
      </c>
      <c r="AD62" s="270">
        <f>'4 - Seaside'!AD53</f>
        <v>1250256.4401592107</v>
      </c>
      <c r="AE62" s="270">
        <f>'4 - Seaside'!AE53</f>
        <v>1272975.4837891611</v>
      </c>
      <c r="AF62" s="270">
        <f>'4 - Seaside'!AF53</f>
        <v>1296148.9082917101</v>
      </c>
      <c r="AG62" s="227" t="s">
        <v>206</v>
      </c>
      <c r="AH62" s="238"/>
      <c r="AI62" s="26"/>
    </row>
    <row r="63" spans="1:35" ht="15" customHeight="1" x14ac:dyDescent="0.25">
      <c r="A63" s="268" t="s">
        <v>76</v>
      </c>
      <c r="B63" s="269"/>
      <c r="C63" s="270">
        <f>'1 - DRO'!C46</f>
        <v>0</v>
      </c>
      <c r="D63" s="270">
        <f>'1 - DRO'!D46</f>
        <v>0</v>
      </c>
      <c r="E63" s="270">
        <v>0</v>
      </c>
      <c r="F63" s="270">
        <v>0</v>
      </c>
      <c r="G63" s="308">
        <f>'4 - DRO'!G46</f>
        <v>125057.29804975947</v>
      </c>
      <c r="H63" s="270">
        <f>'4 - DRO'!H46</f>
        <v>150575.47848755465</v>
      </c>
      <c r="I63" s="270">
        <f>'4 - DRO'!I46</f>
        <v>240732.15799010577</v>
      </c>
      <c r="J63" s="270">
        <f>'4 - DRO'!J46</f>
        <v>291580.87010350788</v>
      </c>
      <c r="K63" s="270">
        <f>'4 - DRO'!K46</f>
        <v>343446.55645917804</v>
      </c>
      <c r="L63" s="270">
        <f>'4 - DRO'!L46</f>
        <v>392513.38412916154</v>
      </c>
      <c r="M63" s="270">
        <f>'4 - DRO'!M46</f>
        <v>427521.53556204337</v>
      </c>
      <c r="N63" s="270">
        <f>'4 - DRO'!N46</f>
        <v>435282.34381878277</v>
      </c>
      <c r="O63" s="270">
        <f>'4 - DRO'!O46</f>
        <v>443198.36824065697</v>
      </c>
      <c r="P63" s="270">
        <f>'4 - DRO'!P46</f>
        <v>451272.71315096866</v>
      </c>
      <c r="Q63" s="270">
        <f>'4 - DRO'!Q46</f>
        <v>459508.54495948652</v>
      </c>
      <c r="R63" s="270">
        <f>'4 - DRO'!R46</f>
        <v>467909.09340417484</v>
      </c>
      <c r="S63" s="270">
        <f>'4 - DRO'!S46</f>
        <v>476477.65281775681</v>
      </c>
      <c r="T63" s="270">
        <f>'4 - DRO'!T46</f>
        <v>485217.58341961046</v>
      </c>
      <c r="U63" s="270">
        <f>'4 - DRO'!U46</f>
        <v>494132.31263350125</v>
      </c>
      <c r="V63" s="270">
        <f>'4 - DRO'!V46</f>
        <v>503225.33643166983</v>
      </c>
      <c r="W63" s="270">
        <f>'4 - DRO'!W46</f>
        <v>512500.22070580185</v>
      </c>
      <c r="X63" s="270">
        <f>'4 - DRO'!X46</f>
        <v>521960.60266541637</v>
      </c>
      <c r="Y63" s="270">
        <f>'4 - DRO'!Y46</f>
        <v>531610.19226422324</v>
      </c>
      <c r="Z63" s="270">
        <f>'4 - DRO'!Z46</f>
        <v>541452.77365500608</v>
      </c>
      <c r="AA63" s="270">
        <f>'4 - DRO'!AA46</f>
        <v>551492.2066736049</v>
      </c>
      <c r="AB63" s="270">
        <f>'4 - DRO'!AB46</f>
        <v>561732.42835257552</v>
      </c>
      <c r="AC63" s="270">
        <f>'4 - DRO'!AC46</f>
        <v>572177.45446512545</v>
      </c>
      <c r="AD63" s="270">
        <f>'4 - DRO'!AD46</f>
        <v>582831.38109992666</v>
      </c>
      <c r="AE63" s="270">
        <f>'4 - DRO'!AE46</f>
        <v>593698.38626742375</v>
      </c>
      <c r="AF63" s="270">
        <f>'4 - DRO'!AF46</f>
        <v>604782.7315382706</v>
      </c>
      <c r="AG63" s="227" t="s">
        <v>207</v>
      </c>
      <c r="AH63" s="238"/>
      <c r="AI63" s="26"/>
    </row>
    <row r="64" spans="1:35" ht="15" customHeight="1" x14ac:dyDescent="0.25">
      <c r="A64" s="271"/>
      <c r="B64" s="277" t="s">
        <v>198</v>
      </c>
      <c r="C64" s="270"/>
      <c r="D64" s="270"/>
      <c r="E64" s="270"/>
      <c r="F64" s="270"/>
      <c r="G64" s="308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27"/>
      <c r="AH64" s="238"/>
      <c r="AI64" s="26"/>
    </row>
    <row r="65" spans="1:35" ht="15" customHeight="1" x14ac:dyDescent="0.25">
      <c r="A65" s="268" t="s">
        <v>78</v>
      </c>
      <c r="B65" s="273">
        <v>0.12</v>
      </c>
      <c r="C65" s="274">
        <v>0</v>
      </c>
      <c r="D65" s="270">
        <v>0</v>
      </c>
      <c r="E65" s="270">
        <v>0</v>
      </c>
      <c r="F65" s="270">
        <v>0</v>
      </c>
      <c r="G65" s="308">
        <f>$B$65*'4 - Marina'!G55</f>
        <v>130499.0870438386</v>
      </c>
      <c r="H65" s="270">
        <f>$B$65*'4 - Marina'!H55</f>
        <v>145051.70571306578</v>
      </c>
      <c r="I65" s="270">
        <f>$B$65*'4 - Marina'!I55</f>
        <v>157961.30275992781</v>
      </c>
      <c r="J65" s="270">
        <f>$B$65*'4 - Marina'!J55</f>
        <v>165713.48134723032</v>
      </c>
      <c r="K65" s="270">
        <f>$B$65*'4 - Marina'!K55</f>
        <v>168882.04440584421</v>
      </c>
      <c r="L65" s="270">
        <f>$B$65*'4 - Marina'!L55</f>
        <v>172113.97872563035</v>
      </c>
      <c r="M65" s="270">
        <f>$B$65*'4 - Marina'!M55</f>
        <v>175410.55173181221</v>
      </c>
      <c r="N65" s="270">
        <f>$B$65*'4 - Marina'!N55</f>
        <v>178779.53867360644</v>
      </c>
      <c r="O65" s="270">
        <f>$B$65*'4 - Marina'!O55</f>
        <v>181911.16942173013</v>
      </c>
      <c r="P65" s="270">
        <f>$B$65*'4 - Marina'!P55</f>
        <v>185105.43278481625</v>
      </c>
      <c r="Q65" s="270">
        <f>$B$65*'4 - Marina'!Q55</f>
        <v>188363.58141516405</v>
      </c>
      <c r="R65" s="270">
        <f>$B$65*'4 - Marina'!R55</f>
        <v>191686.89301811883</v>
      </c>
      <c r="S65" s="270">
        <f>$B$65*'4 - Marina'!S55</f>
        <v>195076.67085313264</v>
      </c>
      <c r="T65" s="270">
        <f>$B$65*'4 - Marina'!T55</f>
        <v>198534.24424484684</v>
      </c>
      <c r="U65" s="270">
        <f>$B$65*'4 - Marina'!U55</f>
        <v>202060.96910439522</v>
      </c>
      <c r="V65" s="270">
        <f>$B$65*'4 - Marina'!V55</f>
        <v>205658.22846113463</v>
      </c>
      <c r="W65" s="270">
        <f>$B$65*'4 - Marina'!W55</f>
        <v>209327.43300500888</v>
      </c>
      <c r="X65" s="270">
        <f>$B$65*'4 - Marina'!X55</f>
        <v>213070.0216397605</v>
      </c>
      <c r="Y65" s="270">
        <f>$B$65*'4 - Marina'!Y55</f>
        <v>216887.46204720723</v>
      </c>
      <c r="Z65" s="270">
        <f>$B$65*'4 - Marina'!Z55</f>
        <v>220781.25126280289</v>
      </c>
      <c r="AA65" s="270">
        <f>$B$65*'4 - Marina'!AA55</f>
        <v>224752.91626271044</v>
      </c>
      <c r="AB65" s="270">
        <f>$B$65*'4 - Marina'!AB55</f>
        <v>228804.0145626161</v>
      </c>
      <c r="AC65" s="270">
        <f>$B$65*'4 - Marina'!AC55</f>
        <v>232936.13482851995</v>
      </c>
      <c r="AD65" s="270">
        <f>$B$65*'4 - Marina'!AD55</f>
        <v>237150.89749974181</v>
      </c>
      <c r="AE65" s="270">
        <f>$B$65*'4 - Marina'!AE55</f>
        <v>241449.95542438817</v>
      </c>
      <c r="AF65" s="270">
        <f>$B$65*'4 - Marina'!AF55</f>
        <v>245834.99450752739</v>
      </c>
      <c r="AG65" s="227" t="s">
        <v>208</v>
      </c>
      <c r="AH65" s="238"/>
      <c r="AI65" s="26"/>
    </row>
    <row r="66" spans="1:35" ht="15" customHeight="1" x14ac:dyDescent="0.25">
      <c r="A66" s="268" t="s">
        <v>77</v>
      </c>
      <c r="B66" s="275">
        <v>0.12</v>
      </c>
      <c r="C66" s="274">
        <v>0</v>
      </c>
      <c r="D66" s="270">
        <v>0</v>
      </c>
      <c r="E66" s="270">
        <v>0</v>
      </c>
      <c r="F66" s="270">
        <v>0</v>
      </c>
      <c r="G66" s="308">
        <f>$B$66*'4 - Seaside'!G55</f>
        <v>112065.59970320936</v>
      </c>
      <c r="H66" s="270">
        <f>$B$66*'4 - Seaside'!H55</f>
        <v>125896.50494784677</v>
      </c>
      <c r="I66" s="270">
        <f>$B$66*'4 - Seaside'!I55</f>
        <v>138718.92739939576</v>
      </c>
      <c r="J66" s="270">
        <f>$B$66*'4 - Seaside'!J55</f>
        <v>143186.78403404451</v>
      </c>
      <c r="K66" s="270">
        <f>$B$66*'4 - Seaside'!K55</f>
        <v>147537.78843501685</v>
      </c>
      <c r="L66" s="270">
        <f>$B$66*'4 - Seaside'!L55</f>
        <v>151882.18690775835</v>
      </c>
      <c r="M66" s="270">
        <f>$B$66*'4 - Seaside'!M55</f>
        <v>156197.40804055333</v>
      </c>
      <c r="N66" s="270">
        <f>$B$66*'4 - Seaside'!N55</f>
        <v>160598.93359600432</v>
      </c>
      <c r="O66" s="270">
        <f>$B$66*'4 - Seaside'!O55</f>
        <v>163421.07458575189</v>
      </c>
      <c r="P66" s="270">
        <f>$B$66*'4 - Seaside'!P55</f>
        <v>166299.65839529439</v>
      </c>
      <c r="Q66" s="270">
        <f>$B$66*'4 - Seaside'!Q55</f>
        <v>169235.81388102775</v>
      </c>
      <c r="R66" s="270">
        <f>$B$66*'4 - Seaside'!R55</f>
        <v>172230.69247647584</v>
      </c>
      <c r="S66" s="270">
        <f>$B$66*'4 - Seaside'!S55</f>
        <v>175285.46864383281</v>
      </c>
      <c r="T66" s="270">
        <f>$B$66*'4 - Seaside'!T55</f>
        <v>178401.34033453697</v>
      </c>
      <c r="U66" s="270">
        <f>$B$66*'4 - Seaside'!U55</f>
        <v>181579.52945905522</v>
      </c>
      <c r="V66" s="270">
        <f>$B$66*'4 - Seaside'!V55</f>
        <v>184821.28236606382</v>
      </c>
      <c r="W66" s="270">
        <f>$B$66*'4 - Seaside'!W55</f>
        <v>188127.87033121262</v>
      </c>
      <c r="X66" s="270">
        <f>$B$66*'4 - Seaside'!X55</f>
        <v>191500.5900556643</v>
      </c>
      <c r="Y66" s="270">
        <f>$B$66*'4 - Seaside'!Y55</f>
        <v>194940.76417460517</v>
      </c>
      <c r="Z66" s="270">
        <f>$B$66*'4 - Seaside'!Z55</f>
        <v>198449.74177592472</v>
      </c>
      <c r="AA66" s="270">
        <f>$B$66*'4 - Seaside'!AA55</f>
        <v>202028.89892927068</v>
      </c>
      <c r="AB66" s="270">
        <f>$B$66*'4 - Seaside'!AB55</f>
        <v>205679.63922568364</v>
      </c>
      <c r="AC66" s="270">
        <f>$B$66*'4 - Seaside'!AC55</f>
        <v>209403.39432802476</v>
      </c>
      <c r="AD66" s="270">
        <f>$B$66*'4 - Seaside'!AD55</f>
        <v>213201.62453241274</v>
      </c>
      <c r="AE66" s="270">
        <f>$B$66*'4 - Seaside'!AE55</f>
        <v>217075.81934088853</v>
      </c>
      <c r="AF66" s="270">
        <f>$B$66*'4 - Seaside'!AF55</f>
        <v>221027.49804553369</v>
      </c>
      <c r="AG66" s="227" t="s">
        <v>209</v>
      </c>
      <c r="AH66" s="238"/>
      <c r="AI66" s="26"/>
    </row>
    <row r="67" spans="1:35" ht="15" customHeight="1" x14ac:dyDescent="0.25">
      <c r="A67" s="268" t="s">
        <v>79</v>
      </c>
      <c r="B67" s="276">
        <v>0</v>
      </c>
      <c r="C67" s="270">
        <v>0</v>
      </c>
      <c r="D67" s="270">
        <v>0</v>
      </c>
      <c r="E67" s="270">
        <v>0</v>
      </c>
      <c r="F67" s="270">
        <v>0</v>
      </c>
      <c r="G67" s="308">
        <f>$B$67*'4 - DRO'!G48</f>
        <v>0</v>
      </c>
      <c r="H67" s="270">
        <f>$B$67*'4 - DRO'!H48</f>
        <v>0</v>
      </c>
      <c r="I67" s="270">
        <f>$B$67*'4 - DRO'!I48</f>
        <v>0</v>
      </c>
      <c r="J67" s="270">
        <f>$B$67*'4 - DRO'!J48</f>
        <v>0</v>
      </c>
      <c r="K67" s="270">
        <f>$B$67*'4 - DRO'!K48</f>
        <v>0</v>
      </c>
      <c r="L67" s="270">
        <f>$B$67*'4 - DRO'!L48</f>
        <v>0</v>
      </c>
      <c r="M67" s="270">
        <f>$B$67*'4 - DRO'!M48</f>
        <v>0</v>
      </c>
      <c r="N67" s="270">
        <f>$B$67*'4 - DRO'!N48</f>
        <v>0</v>
      </c>
      <c r="O67" s="270">
        <f>$B$67*'4 - DRO'!O48</f>
        <v>0</v>
      </c>
      <c r="P67" s="270">
        <f>$B$67*'4 - DRO'!P48</f>
        <v>0</v>
      </c>
      <c r="Q67" s="270">
        <f>$B$67*'4 - DRO'!Q48</f>
        <v>0</v>
      </c>
      <c r="R67" s="270">
        <f>$B$67*'4 - DRO'!R48</f>
        <v>0</v>
      </c>
      <c r="S67" s="270">
        <f>$B$67*'4 - DRO'!S48</f>
        <v>0</v>
      </c>
      <c r="T67" s="270">
        <f>$B$67*'4 - DRO'!T48</f>
        <v>0</v>
      </c>
      <c r="U67" s="270">
        <f>$B$67*'4 - DRO'!U48</f>
        <v>0</v>
      </c>
      <c r="V67" s="270">
        <f>$B$67*'4 - DRO'!V48</f>
        <v>0</v>
      </c>
      <c r="W67" s="270">
        <f>$B$67*'4 - DRO'!W48</f>
        <v>0</v>
      </c>
      <c r="X67" s="270">
        <f>$B$67*'4 - DRO'!X48</f>
        <v>0</v>
      </c>
      <c r="Y67" s="270">
        <f>$B$67*'4 - DRO'!Y48</f>
        <v>0</v>
      </c>
      <c r="Z67" s="270">
        <f>$B$67*'4 - DRO'!Z48</f>
        <v>0</v>
      </c>
      <c r="AA67" s="270">
        <f>$B$67*'4 - DRO'!AA48</f>
        <v>0</v>
      </c>
      <c r="AB67" s="270">
        <f>$B$67*'4 - DRO'!AB48</f>
        <v>0</v>
      </c>
      <c r="AC67" s="270">
        <f>$B$67*'4 - DRO'!AC48</f>
        <v>0</v>
      </c>
      <c r="AD67" s="270">
        <f>$B$67*'4 - DRO'!AD48</f>
        <v>0</v>
      </c>
      <c r="AE67" s="270">
        <f>$B$67*'4 - DRO'!AE48</f>
        <v>0</v>
      </c>
      <c r="AF67" s="270">
        <f>$B$67*'4 - DRO'!AF48</f>
        <v>0</v>
      </c>
      <c r="AG67" s="227" t="s">
        <v>210</v>
      </c>
      <c r="AH67" s="238"/>
      <c r="AI67" s="26"/>
    </row>
    <row r="68" spans="1:35" ht="15" customHeight="1" x14ac:dyDescent="0.25">
      <c r="A68" s="151"/>
      <c r="B68" s="142"/>
      <c r="C68" s="145"/>
      <c r="D68" s="145"/>
      <c r="E68" s="145"/>
      <c r="F68" s="211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227"/>
      <c r="AH68" s="238"/>
      <c r="AI68" s="26"/>
    </row>
    <row r="69" spans="1:35" x14ac:dyDescent="0.25">
      <c r="A69" s="40" t="str">
        <f>CONCATENATE("Increase in Net Property Taxes Received by ",A4,)</f>
        <v>Increase in Net Property Taxes Received by Monterey County</v>
      </c>
      <c r="B69" s="40"/>
      <c r="C69" s="374">
        <f>C51+C57+C61+C62+C63+C65+C66+C67</f>
        <v>0</v>
      </c>
      <c r="D69" s="375">
        <f t="shared" ref="D69:L69" si="43">D51+D57+D61+D62+D63+D65+D66+D67</f>
        <v>0</v>
      </c>
      <c r="E69" s="375">
        <f>E51+E57+E61+E62+E63+E65+E66+E67</f>
        <v>0</v>
      </c>
      <c r="F69" s="374">
        <f t="shared" si="43"/>
        <v>0</v>
      </c>
      <c r="G69" s="385">
        <f t="shared" si="43"/>
        <v>2352599.1028565047</v>
      </c>
      <c r="H69" s="374">
        <f t="shared" si="43"/>
        <v>2632398.3718230068</v>
      </c>
      <c r="I69" s="374">
        <f t="shared" si="43"/>
        <v>2944255.4733896614</v>
      </c>
      <c r="J69" s="374">
        <f t="shared" si="43"/>
        <v>3091360.321448551</v>
      </c>
      <c r="K69" s="374">
        <f t="shared" si="43"/>
        <v>3207464.7125483342</v>
      </c>
      <c r="L69" s="374">
        <f t="shared" si="43"/>
        <v>3321412.351587743</v>
      </c>
      <c r="M69" s="374">
        <f>M51+M57+M61+M62+M63+M65+M66+M67</f>
        <v>3421802.2354072267</v>
      </c>
      <c r="N69" s="374">
        <f t="shared" ref="N69:AD69" si="44">N51+N57+N61+N62+N63+N65+N66+N67</f>
        <v>3704183.7466088217</v>
      </c>
      <c r="O69" s="374">
        <f t="shared" si="44"/>
        <v>3770514.3722787555</v>
      </c>
      <c r="P69" s="374">
        <f t="shared" si="44"/>
        <v>3838171.6104620877</v>
      </c>
      <c r="Q69" s="374">
        <f t="shared" si="44"/>
        <v>3907181.993409086</v>
      </c>
      <c r="R69" s="374">
        <f t="shared" si="44"/>
        <v>3977572.5840150248</v>
      </c>
      <c r="S69" s="374">
        <f t="shared" si="44"/>
        <v>4049370.9864330818</v>
      </c>
      <c r="T69" s="374">
        <f t="shared" si="44"/>
        <v>4122605.3568995004</v>
      </c>
      <c r="U69" s="374">
        <f t="shared" si="44"/>
        <v>4197304.4147752477</v>
      </c>
      <c r="V69" s="374">
        <f t="shared" si="44"/>
        <v>4273497.4538085088</v>
      </c>
      <c r="W69" s="374">
        <f t="shared" si="44"/>
        <v>4351214.3536224375</v>
      </c>
      <c r="X69" s="374">
        <f>X51+X57+X61+X62+X63+X65+X66+X67</f>
        <v>4430485.5914326413</v>
      </c>
      <c r="Y69" s="374">
        <f t="shared" si="44"/>
        <v>4511342.2539990526</v>
      </c>
      <c r="Z69" s="374">
        <f t="shared" si="44"/>
        <v>4593816.04981679</v>
      </c>
      <c r="AA69" s="374">
        <f t="shared" si="44"/>
        <v>4677939.3215508824</v>
      </c>
      <c r="AB69" s="374">
        <f t="shared" si="44"/>
        <v>4763745.0587196574</v>
      </c>
      <c r="AC69" s="374">
        <f t="shared" si="44"/>
        <v>4851266.9106318085</v>
      </c>
      <c r="AD69" s="374">
        <f t="shared" si="44"/>
        <v>4940539.1995822005</v>
      </c>
      <c r="AE69" s="374">
        <f>AE51+AE57+AE61+AE62+AE63+AE65+AE66+AE67</f>
        <v>5031596.9343116013</v>
      </c>
      <c r="AF69" s="374">
        <f>AF51+AF57+AF61+AF62+AF63+AF65+AF66+AF67</f>
        <v>5124475.8237355892</v>
      </c>
      <c r="AG69" s="450" t="s">
        <v>217</v>
      </c>
      <c r="AH69" s="450"/>
    </row>
    <row r="70" spans="1:35" x14ac:dyDescent="0.25">
      <c r="A70" s="342" t="s">
        <v>289</v>
      </c>
      <c r="B70" s="343">
        <f>1-B71</f>
        <v>0.34499999999999997</v>
      </c>
      <c r="C70" s="344">
        <f>$B$70*(C51+C61+C62+C63)+C57+C65+C66+C67</f>
        <v>0</v>
      </c>
      <c r="D70" s="344">
        <f t="shared" ref="D70:AF70" si="45">$B$70*(D51+D61+D62+D63)+D57+D65+D66+D67</f>
        <v>0</v>
      </c>
      <c r="E70" s="344">
        <f t="shared" si="45"/>
        <v>0</v>
      </c>
      <c r="F70" s="344">
        <f t="shared" si="45"/>
        <v>0</v>
      </c>
      <c r="G70" s="344">
        <f t="shared" si="45"/>
        <v>970526.56030481041</v>
      </c>
      <c r="H70" s="344">
        <f t="shared" si="45"/>
        <v>1085648.5162618351</v>
      </c>
      <c r="I70" s="344">
        <f t="shared" si="45"/>
        <v>1210093.6890737901</v>
      </c>
      <c r="J70" s="344">
        <f t="shared" si="45"/>
        <v>1268848.9847244851</v>
      </c>
      <c r="K70" s="344">
        <f t="shared" si="45"/>
        <v>1313830.3163399391</v>
      </c>
      <c r="L70" s="344">
        <f t="shared" si="45"/>
        <v>1358104.7497876408</v>
      </c>
      <c r="M70" s="344">
        <f t="shared" si="45"/>
        <v>1397724.9848663926</v>
      </c>
      <c r="N70" s="344">
        <f t="shared" si="45"/>
        <v>1636402.1714081103</v>
      </c>
      <c r="O70" s="344">
        <f t="shared" si="45"/>
        <v>1665729.5153419359</v>
      </c>
      <c r="P70" s="344">
        <f t="shared" si="45"/>
        <v>1695643.4061544382</v>
      </c>
      <c r="Q70" s="344">
        <f t="shared" si="45"/>
        <v>1726155.5747831904</v>
      </c>
      <c r="R70" s="344">
        <f t="shared" si="45"/>
        <v>1757277.9867845178</v>
      </c>
      <c r="S70" s="344">
        <f t="shared" si="45"/>
        <v>1789022.8470258713</v>
      </c>
      <c r="T70" s="344">
        <f t="shared" si="45"/>
        <v>1821402.6044720523</v>
      </c>
      <c r="U70" s="344">
        <f t="shared" si="45"/>
        <v>1854429.9570671569</v>
      </c>
      <c r="V70" s="344">
        <f t="shared" si="45"/>
        <v>1888117.8567141634</v>
      </c>
      <c r="W70" s="344">
        <f t="shared" si="45"/>
        <v>1922479.5143541105</v>
      </c>
      <c r="X70" s="344">
        <f t="shared" si="45"/>
        <v>1957528.4051468559</v>
      </c>
      <c r="Y70" s="344">
        <f t="shared" si="45"/>
        <v>1993278.2737554568</v>
      </c>
      <c r="Z70" s="344">
        <f t="shared" si="45"/>
        <v>2029743.1397362293</v>
      </c>
      <c r="AA70" s="344">
        <f t="shared" si="45"/>
        <v>2066937.3030366173</v>
      </c>
      <c r="AB70" s="344">
        <f t="shared" si="45"/>
        <v>2104875.3496030131</v>
      </c>
      <c r="AC70" s="344">
        <f t="shared" si="45"/>
        <v>2143572.1571007366</v>
      </c>
      <c r="AD70" s="344">
        <f t="shared" si="45"/>
        <v>2183042.9007484149</v>
      </c>
      <c r="AE70" s="344">
        <f t="shared" si="45"/>
        <v>2223303.0592690464</v>
      </c>
      <c r="AF70" s="344">
        <f t="shared" si="45"/>
        <v>2264368.4209600906</v>
      </c>
      <c r="AG70" s="335"/>
      <c r="AH70" s="335"/>
    </row>
    <row r="71" spans="1:35" x14ac:dyDescent="0.25">
      <c r="A71" s="342" t="s">
        <v>290</v>
      </c>
      <c r="B71" s="343">
        <v>0.65500000000000003</v>
      </c>
      <c r="C71" s="344">
        <f>$B$71*(C51+C61+C62+C63)</f>
        <v>0</v>
      </c>
      <c r="D71" s="344">
        <f t="shared" ref="D71:AF71" si="46">$B$71*(D51+D61+D62+D63)</f>
        <v>0</v>
      </c>
      <c r="E71" s="344">
        <f t="shared" si="46"/>
        <v>0</v>
      </c>
      <c r="F71" s="344">
        <f t="shared" si="46"/>
        <v>0</v>
      </c>
      <c r="G71" s="344">
        <f t="shared" si="46"/>
        <v>1382072.5425516942</v>
      </c>
      <c r="H71" s="344">
        <f t="shared" si="46"/>
        <v>1546749.8555611717</v>
      </c>
      <c r="I71" s="344">
        <f t="shared" si="46"/>
        <v>1734161.7843158713</v>
      </c>
      <c r="J71" s="344">
        <f t="shared" si="46"/>
        <v>1822511.3367240659</v>
      </c>
      <c r="K71" s="344">
        <f t="shared" si="46"/>
        <v>1893634.396208395</v>
      </c>
      <c r="L71" s="344">
        <f t="shared" si="46"/>
        <v>1963307.601800102</v>
      </c>
      <c r="M71" s="344">
        <f t="shared" si="46"/>
        <v>2024077.2505408342</v>
      </c>
      <c r="N71" s="344">
        <f t="shared" si="46"/>
        <v>2067781.5752007116</v>
      </c>
      <c r="O71" s="344">
        <f t="shared" si="46"/>
        <v>2104784.8569368194</v>
      </c>
      <c r="P71" s="344">
        <f t="shared" si="46"/>
        <v>2142528.2043076493</v>
      </c>
      <c r="Q71" s="344">
        <f t="shared" si="46"/>
        <v>2181026.4186258954</v>
      </c>
      <c r="R71" s="344">
        <f t="shared" si="46"/>
        <v>2220294.5972305071</v>
      </c>
      <c r="S71" s="344">
        <f t="shared" si="46"/>
        <v>2260348.1394072101</v>
      </c>
      <c r="T71" s="344">
        <f t="shared" si="46"/>
        <v>2301202.7524274481</v>
      </c>
      <c r="U71" s="344">
        <f t="shared" si="46"/>
        <v>2342874.4577080905</v>
      </c>
      <c r="V71" s="344">
        <f t="shared" si="46"/>
        <v>2385379.5970943458</v>
      </c>
      <c r="W71" s="344">
        <f t="shared" si="46"/>
        <v>2428734.8392683268</v>
      </c>
      <c r="X71" s="344">
        <f t="shared" si="46"/>
        <v>2472957.1862857863</v>
      </c>
      <c r="Y71" s="344">
        <f t="shared" si="46"/>
        <v>2518063.9802435958</v>
      </c>
      <c r="Z71" s="344">
        <f t="shared" si="46"/>
        <v>2564072.9100805609</v>
      </c>
      <c r="AA71" s="344">
        <f t="shared" si="46"/>
        <v>2611002.0185142658</v>
      </c>
      <c r="AB71" s="344">
        <f t="shared" si="46"/>
        <v>2658869.7091166447</v>
      </c>
      <c r="AC71" s="344">
        <f t="shared" si="46"/>
        <v>2707694.7535310709</v>
      </c>
      <c r="AD71" s="344">
        <f t="shared" si="46"/>
        <v>2757496.2988337856</v>
      </c>
      <c r="AE71" s="344">
        <f t="shared" si="46"/>
        <v>2808293.8750425549</v>
      </c>
      <c r="AF71" s="344">
        <f t="shared" si="46"/>
        <v>2860107.402775499</v>
      </c>
      <c r="AG71" s="335"/>
      <c r="AH71" s="335"/>
    </row>
    <row r="72" spans="1:35" x14ac:dyDescent="0.25">
      <c r="A72" s="342"/>
      <c r="B72" s="343"/>
      <c r="C72" s="344"/>
      <c r="D72" s="344"/>
      <c r="E72" s="344"/>
      <c r="F72" s="344"/>
      <c r="G72" s="344"/>
      <c r="H72" s="344"/>
      <c r="I72" s="344"/>
      <c r="J72" s="344"/>
      <c r="K72" s="344"/>
      <c r="L72" s="344"/>
      <c r="M72" s="344"/>
      <c r="N72" s="344"/>
      <c r="O72" s="344"/>
      <c r="P72" s="344"/>
      <c r="Q72" s="344"/>
      <c r="R72" s="344"/>
      <c r="S72" s="344"/>
      <c r="T72" s="344"/>
      <c r="U72" s="344"/>
      <c r="V72" s="344"/>
      <c r="W72" s="344"/>
      <c r="X72" s="344"/>
      <c r="Y72" s="344"/>
      <c r="Z72" s="344"/>
      <c r="AA72" s="344"/>
      <c r="AB72" s="344"/>
      <c r="AC72" s="344"/>
      <c r="AD72" s="344"/>
      <c r="AE72" s="344"/>
      <c r="AF72" s="344"/>
      <c r="AG72" s="335"/>
      <c r="AH72" s="335"/>
    </row>
    <row r="73" spans="1:35" x14ac:dyDescent="0.25">
      <c r="A73" s="1" t="s">
        <v>291</v>
      </c>
      <c r="C73" s="109">
        <f>NPV(Assumptions!D4,'4 - County'!D70:AF70)+'4 - County'!C70</f>
        <v>21753913.258337766</v>
      </c>
      <c r="E73" s="80"/>
      <c r="AG73" s="227"/>
      <c r="AH73" s="238"/>
    </row>
    <row r="74" spans="1:35" x14ac:dyDescent="0.25">
      <c r="A74" s="1" t="s">
        <v>316</v>
      </c>
      <c r="C74" s="345">
        <f>NPV(Assumptions!D4,'4 - County'!D71:AF71)+'4 - County'!C71</f>
        <v>28574421.907705296</v>
      </c>
      <c r="E74" s="80"/>
      <c r="AG74" s="227"/>
      <c r="AH74" s="238"/>
    </row>
    <row r="75" spans="1:35" x14ac:dyDescent="0.25">
      <c r="D75" s="80"/>
      <c r="AG75" s="227"/>
      <c r="AH75" s="238"/>
    </row>
    <row r="76" spans="1:35" x14ac:dyDescent="0.25">
      <c r="A76" s="19" t="s">
        <v>204</v>
      </c>
      <c r="D76" s="80"/>
      <c r="AG76" s="227"/>
      <c r="AH76" s="238"/>
    </row>
    <row r="77" spans="1:35" x14ac:dyDescent="0.25">
      <c r="A77" s="19" t="s">
        <v>201</v>
      </c>
      <c r="E77" s="80"/>
      <c r="AG77" s="227"/>
      <c r="AH77" s="238"/>
    </row>
    <row r="78" spans="1:35" x14ac:dyDescent="0.25">
      <c r="A78" s="19"/>
      <c r="AG78" s="227"/>
      <c r="AH78" s="238"/>
    </row>
    <row r="79" spans="1:35" ht="15.75" x14ac:dyDescent="0.25">
      <c r="A79" s="65"/>
      <c r="AG79" s="227"/>
      <c r="AH79" s="238"/>
    </row>
    <row r="80" spans="1:35" x14ac:dyDescent="0.25">
      <c r="AG80" s="227"/>
      <c r="AH80" s="238"/>
    </row>
    <row r="81" spans="33:34" x14ac:dyDescent="0.25">
      <c r="AG81" s="236"/>
      <c r="AH81" s="246"/>
    </row>
  </sheetData>
  <mergeCells count="4">
    <mergeCell ref="C6:F6"/>
    <mergeCell ref="AH10:AH12"/>
    <mergeCell ref="B45:B46"/>
    <mergeCell ref="AG69:AH69"/>
  </mergeCells>
  <pageMargins left="0.5" right="0.25" top="0.5" bottom="0.5" header="0.3" footer="0.3"/>
  <pageSetup scale="53" orientation="landscape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6"/>
  <sheetViews>
    <sheetView topLeftCell="A78" workbookViewId="0">
      <selection activeCell="B81" sqref="B81"/>
    </sheetView>
  </sheetViews>
  <sheetFormatPr defaultRowHeight="15" x14ac:dyDescent="0.25"/>
  <cols>
    <col min="1" max="1" width="46.85546875" customWidth="1"/>
    <col min="2" max="2" width="11.7109375" customWidth="1"/>
    <col min="3" max="3" width="11" customWidth="1"/>
    <col min="4" max="31" width="9.5703125" customWidth="1"/>
  </cols>
  <sheetData>
    <row r="1" spans="1:31" ht="18.75" x14ac:dyDescent="0.3">
      <c r="A1" s="53" t="s">
        <v>327</v>
      </c>
      <c r="H1" s="452" t="s">
        <v>336</v>
      </c>
      <c r="I1" s="452"/>
      <c r="J1" s="452"/>
      <c r="K1" s="452"/>
      <c r="L1" s="452"/>
    </row>
    <row r="2" spans="1:31" x14ac:dyDescent="0.25">
      <c r="H2" s="51"/>
      <c r="I2" s="51" t="s">
        <v>2</v>
      </c>
      <c r="J2" s="51" t="s">
        <v>3</v>
      </c>
      <c r="K2" s="51" t="s">
        <v>333</v>
      </c>
      <c r="L2" s="51"/>
    </row>
    <row r="3" spans="1:31" ht="15" customHeight="1" x14ac:dyDescent="0.3">
      <c r="A3" s="53"/>
      <c r="H3" s="51" t="s">
        <v>330</v>
      </c>
      <c r="I3" s="397">
        <f>'1 - Marina'!C27/('1 - Marina'!C26+'1 - Marina'!C27)</f>
        <v>9.7463798676213353E-2</v>
      </c>
      <c r="J3" s="397">
        <f>'1 - Seaside'!C27/('1 - Seaside'!C27+'1 - Seaside'!C26)</f>
        <v>9.7467435012229639E-2</v>
      </c>
      <c r="K3" s="397">
        <f>'1 - County'!C27/('1 - County'!C27+'1 - County'!C26)</f>
        <v>9.7468442546872092E-2</v>
      </c>
      <c r="L3" s="397">
        <f>AVERAGE(I3:K3)</f>
        <v>9.7466558745105028E-2</v>
      </c>
    </row>
    <row r="4" spans="1:31" ht="15" customHeight="1" x14ac:dyDescent="0.3">
      <c r="A4" s="53"/>
      <c r="H4" s="51" t="s">
        <v>331</v>
      </c>
      <c r="I4" s="397">
        <f>'1 - Marina'!C31/('1 - Marina'!C30+'1 - Marina'!C31)</f>
        <v>9.7463798676213353E-2</v>
      </c>
      <c r="J4" s="397">
        <f>'1 - Seaside'!C31/('1 - Seaside'!C31+'1 - Seaside'!C30)</f>
        <v>9.7467435012229653E-2</v>
      </c>
      <c r="K4" s="397">
        <f>'1 - County'!D31/('1 - County'!D31+'1 - County'!D30)</f>
        <v>9.7468442546872092E-2</v>
      </c>
      <c r="L4" s="397">
        <f t="shared" ref="L4:L5" si="0">AVERAGE(I4:K4)</f>
        <v>9.7466558745105028E-2</v>
      </c>
    </row>
    <row r="5" spans="1:31" x14ac:dyDescent="0.25">
      <c r="H5" s="51" t="s">
        <v>332</v>
      </c>
      <c r="I5" s="397">
        <f>'1 - Marina'!O35/('1 - Marina'!O35+'1 - Marina'!O34)</f>
        <v>9.7463798676213353E-2</v>
      </c>
      <c r="J5" s="397">
        <f>'1 - Seaside'!O35/('1 - Seaside'!O35+'1 - Seaside'!O34)</f>
        <v>9.7467435012229625E-2</v>
      </c>
      <c r="K5" s="397">
        <f>'1 - County'!W35/('1 - County'!W35+'1 - County'!W34)</f>
        <v>9.7468442546872092E-2</v>
      </c>
      <c r="L5" s="397">
        <f t="shared" si="0"/>
        <v>9.7466558745105014E-2</v>
      </c>
    </row>
    <row r="6" spans="1:31" ht="15.75" x14ac:dyDescent="0.25">
      <c r="A6" s="29" t="str">
        <f>'1 - Marina'!A2</f>
        <v>Scenario 1 - Assumes FORA Dissolution on 6/30/2020 after Bond Issuance</v>
      </c>
    </row>
    <row r="7" spans="1:31" x14ac:dyDescent="0.25">
      <c r="B7" s="442" t="s">
        <v>59</v>
      </c>
      <c r="C7" s="442"/>
      <c r="D7" s="443" t="s">
        <v>60</v>
      </c>
      <c r="E7" s="443"/>
      <c r="F7" s="443"/>
      <c r="G7" s="443"/>
      <c r="H7" s="443"/>
      <c r="I7" s="443"/>
      <c r="J7" s="443"/>
      <c r="K7" s="443"/>
      <c r="L7" s="443"/>
      <c r="M7" s="392"/>
      <c r="N7" s="392"/>
      <c r="O7" s="392"/>
      <c r="P7" s="392"/>
      <c r="Q7" s="392"/>
      <c r="R7" s="392"/>
      <c r="S7" s="392"/>
      <c r="T7" s="392"/>
      <c r="U7" s="392"/>
      <c r="V7" s="392"/>
      <c r="W7" s="392"/>
      <c r="X7" s="392"/>
      <c r="Y7" s="392"/>
      <c r="Z7" s="392"/>
      <c r="AA7" s="392"/>
      <c r="AB7" s="392"/>
      <c r="AC7" s="392"/>
      <c r="AD7" s="392"/>
      <c r="AE7" s="392"/>
    </row>
    <row r="8" spans="1:31" x14ac:dyDescent="0.25">
      <c r="B8" s="339">
        <v>201819</v>
      </c>
      <c r="C8" s="339">
        <f t="shared" ref="C8:AE8" si="1">B8+101</f>
        <v>201920</v>
      </c>
      <c r="D8" s="337">
        <f t="shared" si="1"/>
        <v>202021</v>
      </c>
      <c r="E8" s="337">
        <f t="shared" si="1"/>
        <v>202122</v>
      </c>
      <c r="F8" s="337">
        <f t="shared" si="1"/>
        <v>202223</v>
      </c>
      <c r="G8" s="337">
        <f t="shared" si="1"/>
        <v>202324</v>
      </c>
      <c r="H8" s="337">
        <f t="shared" si="1"/>
        <v>202425</v>
      </c>
      <c r="I8" s="337">
        <f t="shared" si="1"/>
        <v>202526</v>
      </c>
      <c r="J8" s="337">
        <f>I8+101</f>
        <v>202627</v>
      </c>
      <c r="K8" s="337">
        <f t="shared" si="1"/>
        <v>202728</v>
      </c>
      <c r="L8" s="337">
        <f t="shared" si="1"/>
        <v>202829</v>
      </c>
      <c r="M8" s="337">
        <f t="shared" si="1"/>
        <v>202930</v>
      </c>
      <c r="N8" s="337">
        <f t="shared" si="1"/>
        <v>203031</v>
      </c>
      <c r="O8" s="337">
        <f t="shared" si="1"/>
        <v>203132</v>
      </c>
      <c r="P8" s="337">
        <f t="shared" si="1"/>
        <v>203233</v>
      </c>
      <c r="Q8" s="337">
        <f t="shared" si="1"/>
        <v>203334</v>
      </c>
      <c r="R8" s="337">
        <f t="shared" si="1"/>
        <v>203435</v>
      </c>
      <c r="S8" s="337">
        <f t="shared" si="1"/>
        <v>203536</v>
      </c>
      <c r="T8" s="337">
        <f t="shared" si="1"/>
        <v>203637</v>
      </c>
      <c r="U8" s="337">
        <f t="shared" si="1"/>
        <v>203738</v>
      </c>
      <c r="V8" s="337">
        <f t="shared" si="1"/>
        <v>203839</v>
      </c>
      <c r="W8" s="337">
        <f t="shared" si="1"/>
        <v>203940</v>
      </c>
      <c r="X8" s="337">
        <f t="shared" si="1"/>
        <v>204041</v>
      </c>
      <c r="Y8" s="337">
        <f t="shared" si="1"/>
        <v>204142</v>
      </c>
      <c r="Z8" s="337">
        <f t="shared" si="1"/>
        <v>204243</v>
      </c>
      <c r="AA8" s="337">
        <f t="shared" si="1"/>
        <v>204344</v>
      </c>
      <c r="AB8" s="337">
        <f t="shared" si="1"/>
        <v>204445</v>
      </c>
      <c r="AC8" s="337">
        <f t="shared" si="1"/>
        <v>204546</v>
      </c>
      <c r="AD8" s="337">
        <f t="shared" si="1"/>
        <v>204647</v>
      </c>
      <c r="AE8" s="337">
        <f t="shared" si="1"/>
        <v>204748</v>
      </c>
    </row>
    <row r="9" spans="1:31" x14ac:dyDescent="0.25">
      <c r="A9" s="19" t="s">
        <v>220</v>
      </c>
    </row>
    <row r="10" spans="1:31" x14ac:dyDescent="0.25">
      <c r="A10" s="395" t="s">
        <v>218</v>
      </c>
      <c r="B10" s="80">
        <f>-('1 - Marina'!C26+'1 - Seaside'!C26+((1-$L$3)*('1 - DRO'!C25))+'1 - County'!C26)</f>
        <v>1146325.1864055502</v>
      </c>
      <c r="C10" s="80">
        <f>-('1 - Marina'!D26+'1 - Seaside'!D26+((1-$L$3)*('1 - DRO'!D25))+'1 - County'!D26)</f>
        <v>1529485.2658944454</v>
      </c>
      <c r="D10" s="80">
        <f>-('1 - Marina'!E26+'1 - Seaside'!E26+((1-$L$3)*('1 - DRO'!E25))+'1 - County'!E26)</f>
        <v>1874971.2097676154</v>
      </c>
      <c r="E10" s="80">
        <f>-('1 - Marina'!F26+'1 - Seaside'!F26+((1-$L$3)*('1 - DRO'!F25))+'1 - County'!F26)</f>
        <v>2368987.2664970844</v>
      </c>
      <c r="F10" s="80">
        <f>-('1 - Marina'!G26+'1 - Seaside'!G26+((1-$L$3)*('1 - DRO'!G25))+'1 - County'!G26)</f>
        <v>2761919.4969942067</v>
      </c>
      <c r="G10" s="80">
        <f>-('1 - Marina'!H26+'1 - Seaside'!H26+((1-$L$3)*('1 - DRO'!H25))+'1 - County'!H26)</f>
        <v>3162888.9143799427</v>
      </c>
      <c r="H10" s="80">
        <f>-('1 - Marina'!I26+'1 - Seaside'!I26+((1-$L$3)*('1 - DRO'!I25))+'1 - County'!I26)</f>
        <v>3592875.5378424698</v>
      </c>
      <c r="I10" s="80">
        <f>-('1 - Marina'!J26+'1 - Seaside'!J26+((1-$L$3)*('1 - DRO'!J25))+'1 - County'!J26)</f>
        <v>3903621.0894426089</v>
      </c>
      <c r="J10" s="80">
        <f>-('1 - Marina'!K26+'1 - Seaside'!K26+((1-$L$3)*('1 - DRO'!K25))+'1 - County'!K26)</f>
        <v>4163506.9143706476</v>
      </c>
      <c r="K10" s="80">
        <f>-('1 - Marina'!L26+'1 - Seaside'!L26+((1-$L$3)*('1 - DRO'!L25))+'1 - County'!L26)</f>
        <v>4388445.8673232934</v>
      </c>
      <c r="L10" s="80">
        <f>-('1 - Marina'!M26+'1 - Seaside'!M26+((1-$L$3)*('1 - DRO'!M25))+'1 - County'!M26)</f>
        <v>4624863.1082298011</v>
      </c>
      <c r="M10" s="80">
        <f>-('1 - Marina'!N26+'1 - Seaside'!N26+((1-$L$3)*('1 - DRO'!N25))+'1 - County'!N26)</f>
        <v>4823926.4115943965</v>
      </c>
      <c r="N10" s="80">
        <f>-('1 - Marina'!O26+'1 - Seaside'!O26+((1-$L$3)*('1 - DRO'!O25))+'1 - County'!O26)</f>
        <v>4920404.9398262845</v>
      </c>
      <c r="O10" s="80">
        <f>-('1 - Marina'!P26+'1 - Seaside'!P26+((1-$L$3)*('1 - DRO'!P25))+'1 - County'!P26)</f>
        <v>5018813.0386228105</v>
      </c>
      <c r="P10" s="80">
        <f>-('1 - Marina'!Q26+'1 - Seaside'!Q26+((1-$L$3)*('1 - DRO'!Q25))+'1 - County'!Q26)</f>
        <v>5119189.2993952669</v>
      </c>
      <c r="Q10" s="80">
        <f>-('1 - Marina'!R26+'1 - Seaside'!R26+((1-$L$3)*('1 - DRO'!R25))+'1 - County'!R26)</f>
        <v>5221573.0853831731</v>
      </c>
      <c r="R10" s="80">
        <f>-('1 - Marina'!S26+'1 - Seaside'!S26+((1-$L$3)*('1 - DRO'!S25))+'1 - County'!S26)</f>
        <v>5326004.5470908368</v>
      </c>
      <c r="S10" s="80">
        <f>-('1 - Marina'!T26+'1 - Seaside'!T26+((1-$L$3)*('1 - DRO'!T25))+'1 - County'!T26)</f>
        <v>5432524.6380326524</v>
      </c>
      <c r="T10" s="80">
        <f>-('1 - Marina'!U26+'1 - Seaside'!U26+((1-$L$3)*('1 - DRO'!U25))+'1 - County'!U26)</f>
        <v>5541175.1307933051</v>
      </c>
      <c r="U10" s="80">
        <f>-('1 - Marina'!V26+'1 - Seaside'!V26+((1-$L$3)*('1 - DRO'!V25))+'1 - County'!V26)</f>
        <v>5651998.6334091723</v>
      </c>
      <c r="V10" s="80">
        <f>-('1 - Marina'!W26+'1 - Seaside'!W26+((1-$L$3)*('1 - DRO'!W25))+'1 - County'!W26)</f>
        <v>5765038.6060773553</v>
      </c>
      <c r="W10" s="80">
        <f>-('1 - Marina'!X26+'1 - Seaside'!X26+((1-$L$3)*('1 - DRO'!X25))+'1 - County'!X26)</f>
        <v>5880339.3781989031</v>
      </c>
      <c r="X10" s="80">
        <f>-('1 - Marina'!Y26+'1 - Seaside'!Y26+((1-$L$3)*('1 - DRO'!Y25))+'1 - County'!Y26)</f>
        <v>5997946.1657628808</v>
      </c>
      <c r="Y10" s="80">
        <f>-('1 - Marina'!Z26+'1 - Seaside'!Z26+((1-$L$3)*('1 - DRO'!Z25))+'1 - County'!Z26)</f>
        <v>6117905.0890781377</v>
      </c>
      <c r="Z10" s="80">
        <f>-('1 - Marina'!AA26+'1 - Seaside'!AA26+((1-$L$3)*('1 - DRO'!AA25))+'1 - County'!AA26)</f>
        <v>6240263.1908597006</v>
      </c>
      <c r="AA10" s="80">
        <f>-('1 - Marina'!AB26+'1 - Seaside'!AB26+((1-$L$3)*('1 - DRO'!AB25))+'1 - County'!AB26)</f>
        <v>6365068.4546768935</v>
      </c>
      <c r="AB10" s="80">
        <f>-('1 - Marina'!AC26+'1 - Seaside'!AC26+((1-$L$3)*('1 - DRO'!AC25))+'1 - County'!AC26)</f>
        <v>6492369.8237704327</v>
      </c>
      <c r="AC10" s="80">
        <f>-('1 - Marina'!AD26+'1 - Seaside'!AD26+((1-$L$3)*('1 - DRO'!AD25))+'1 - County'!AD26)</f>
        <v>6622217.22024584</v>
      </c>
      <c r="AD10" s="80">
        <f>-('1 - Marina'!AE26+'1 - Seaside'!AE26+((1-$L$3)*('1 - DRO'!AE25))+'1 - County'!AE26)</f>
        <v>6754661.5646507572</v>
      </c>
      <c r="AE10" s="80">
        <f>-('1 - Marina'!AF26+'1 - Seaside'!AF26+((1-$L$3)*('1 - DRO'!AF25))+'1 - County'!AF26)</f>
        <v>6889754.7959437734</v>
      </c>
    </row>
    <row r="11" spans="1:31" x14ac:dyDescent="0.25">
      <c r="A11" s="395" t="s">
        <v>219</v>
      </c>
      <c r="B11" s="80">
        <f>-('1 - Marina'!C27+'1 - Seaside'!C27+'1 - County'!C27+($L$3*'1 - DRO'!C25))</f>
        <v>123793.88372673761</v>
      </c>
      <c r="C11" s="80">
        <f>-('1 - Marina'!D27+'1 - Seaside'!D27+'1 - County'!D27+($L$3*'1 - DRO'!D25))</f>
        <v>165172.12649283264</v>
      </c>
      <c r="D11" s="80">
        <f>-('1 - Marina'!E27+'1 - Seaside'!E27+'1 - County'!E27+($L$3*'1 - DRO'!E25))</f>
        <v>202481.60239399361</v>
      </c>
      <c r="E11" s="80">
        <f>-('1 - Marina'!F27+'1 - Seaside'!F27+'1 - County'!F27+($L$3*'1 - DRO'!F25))</f>
        <v>255831.09060525056</v>
      </c>
      <c r="F11" s="80">
        <f>-('1 - Marina'!G27+'1 - Seaside'!G27+'1 - County'!G27+($L$3*'1 - DRO'!G25))</f>
        <v>298264.4459186985</v>
      </c>
      <c r="G11" s="80">
        <f>-('1 - Marina'!H27+'1 - Seaside'!H27+'1 - County'!H27+($L$3*'1 - DRO'!H25))</f>
        <v>341565.77033326769</v>
      </c>
      <c r="H11" s="80">
        <f>-('1 - Marina'!I27+'1 - Seaside'!I27+'1 - County'!I27+($L$3*'1 - DRO'!I25))</f>
        <v>388000.62333905208</v>
      </c>
      <c r="I11" s="80">
        <f>-('1 - Marina'!J27+'1 - Seaside'!J27+'1 - County'!J27+($L$3*'1 - DRO'!J25))</f>
        <v>421558.22905259032</v>
      </c>
      <c r="J11" s="80">
        <f>-('1 - Marina'!K27+'1 - Seaside'!K27+'1 - County'!K27+($L$3*'1 - DRO'!K25))</f>
        <v>449623.61069406214</v>
      </c>
      <c r="K11" s="80">
        <f>-('1 - Marina'!L27+'1 - Seaside'!L27+'1 - County'!L27+($L$3*'1 - DRO'!L25))</f>
        <v>473915.14934251137</v>
      </c>
      <c r="L11" s="80">
        <f>-('1 - Marina'!M27+'1 - Seaside'!M27+'1 - County'!M27+($L$3*'1 - DRO'!M25))</f>
        <v>499446.42428932013</v>
      </c>
      <c r="M11" s="80">
        <f>-('1 - Marina'!N27+'1 - Seaside'!N27+'1 - County'!N27+($L$3*'1 - DRO'!N25))</f>
        <v>520943.7670951066</v>
      </c>
      <c r="N11" s="80">
        <f>-('1 - Marina'!O27+'1 - Seaside'!O27+'1 - County'!O27+($L$3*'1 - DRO'!O25))</f>
        <v>531362.64243700868</v>
      </c>
      <c r="O11" s="80">
        <f>-('1 - Marina'!P27+'1 - Seaside'!P27+'1 - County'!P27+($L$3*'1 - DRO'!P25))</f>
        <v>541989.89528574899</v>
      </c>
      <c r="P11" s="80">
        <f>-('1 - Marina'!Q27+'1 - Seaside'!Q27+'1 - County'!Q27+($L$3*'1 - DRO'!Q25))</f>
        <v>552829.69319146394</v>
      </c>
      <c r="Q11" s="80">
        <f>-('1 - Marina'!R27+'1 - Seaside'!R27+'1 - County'!R27+($L$3*'1 - DRO'!R25))</f>
        <v>563886.28705529321</v>
      </c>
      <c r="R11" s="80">
        <f>-('1 - Marina'!S27+'1 - Seaside'!S27+'1 - County'!S27+($L$3*'1 - DRO'!S25))</f>
        <v>575164.01279639907</v>
      </c>
      <c r="S11" s="80">
        <f>-('1 - Marina'!T27+'1 - Seaside'!T27+'1 - County'!T27+($L$3*'1 - DRO'!T25))</f>
        <v>586667.293052327</v>
      </c>
      <c r="T11" s="80">
        <f>-('1 - Marina'!U27+'1 - Seaside'!U27+'1 - County'!U27+($L$3*'1 - DRO'!U25))</f>
        <v>598400.63891337358</v>
      </c>
      <c r="U11" s="80">
        <f>-('1 - Marina'!V27+'1 - Seaside'!V27+'1 - County'!V27+($L$3*'1 - DRO'!V25))</f>
        <v>610368.65169164096</v>
      </c>
      <c r="V11" s="80">
        <f>-('1 - Marina'!W27+'1 - Seaside'!W27+'1 - County'!W27+($L$3*'1 - DRO'!W25))</f>
        <v>622576.02472547395</v>
      </c>
      <c r="W11" s="80">
        <f>-('1 - Marina'!X27+'1 - Seaside'!X27+'1 - County'!X27+($L$3*'1 - DRO'!X25))</f>
        <v>635027.54521998332</v>
      </c>
      <c r="X11" s="80">
        <f>-('1 - Marina'!Y27+'1 - Seaside'!Y27+'1 - County'!Y27+($L$3*'1 - DRO'!Y25))</f>
        <v>647728.09612438304</v>
      </c>
      <c r="Y11" s="80">
        <f>-('1 - Marina'!Z27+'1 - Seaside'!Z27+'1 - County'!Z27+($L$3*'1 - DRO'!Z25))</f>
        <v>660682.65804687073</v>
      </c>
      <c r="Z11" s="80">
        <f>-('1 - Marina'!AA27+'1 - Seaside'!AA27+'1 - County'!AA27+($L$3*'1 - DRO'!AA25))</f>
        <v>673896.31120780809</v>
      </c>
      <c r="AA11" s="80">
        <f>-('1 - Marina'!AB27+'1 - Seaside'!AB27+'1 - County'!AB27+($L$3*'1 - DRO'!AB25))</f>
        <v>687374.23743196414</v>
      </c>
      <c r="AB11" s="80">
        <f>-('1 - Marina'!AC27+'1 - Seaside'!AC27+'1 - County'!AC27+($L$3*'1 - DRO'!AC25))</f>
        <v>701121.72218060354</v>
      </c>
      <c r="AC11" s="80">
        <f>-('1 - Marina'!AD27+'1 - Seaside'!AD27+'1 - County'!AD27+($L$3*'1 - DRO'!AD25))</f>
        <v>715144.15662421542</v>
      </c>
      <c r="AD11" s="80">
        <f>-('1 - Marina'!AE27+'1 - Seaside'!AE27+'1 - County'!AE27+($L$3*'1 - DRO'!AE25))</f>
        <v>729447.03975669981</v>
      </c>
      <c r="AE11" s="80">
        <f>-('1 - Marina'!AF27+'1 - Seaside'!AF27+'1 - County'!AF27+($L$3*'1 - DRO'!AF25))</f>
        <v>744035.98055183387</v>
      </c>
    </row>
    <row r="12" spans="1:31" x14ac:dyDescent="0.25">
      <c r="A12" s="317" t="s">
        <v>221</v>
      </c>
    </row>
    <row r="13" spans="1:31" x14ac:dyDescent="0.25">
      <c r="A13" s="395" t="s">
        <v>218</v>
      </c>
      <c r="B13" s="80">
        <f>-('1 - Marina'!C30+'1 - Seaside'!C30+((1-$L$4)*('1 - DRO'!C26))+'1 - County'!C30)</f>
        <v>282924.79333798046</v>
      </c>
      <c r="C13" s="80">
        <f>-('1 - Marina'!D30+'1 - Seaside'!D30+((1-$L$4)*('1 - DRO'!D26))+'1 - County'!D30)</f>
        <v>604779.26010865241</v>
      </c>
      <c r="D13" s="80">
        <f>-('1 - Marina'!E30+'1 - Seaside'!E30+((1-$L$4)*('1 - DRO'!E26))+'1 - County'!E30)</f>
        <v>894987.45296211529</v>
      </c>
      <c r="E13" s="80">
        <f>-('1 - Marina'!F30+'1 - Seaside'!F30+((1-$L$4)*('1 - DRO'!F26))+'1 - County'!F30)</f>
        <v>1309960.9406148694</v>
      </c>
      <c r="F13" s="80">
        <f>-('1 - Marina'!G30+'1 - Seaside'!G30+((1-$L$4)*('1 - DRO'!G26))+'1 - County'!G30)</f>
        <v>1640024.014232452</v>
      </c>
      <c r="G13" s="80">
        <f>-('1 - Marina'!H30+'1 - Seaside'!H30+((1-$L$4)*('1 - DRO'!H26))+'1 - County'!H30)</f>
        <v>1976838.3248364702</v>
      </c>
      <c r="H13" s="80">
        <f>-('1 - Marina'!I30+'1 - Seaside'!I30+((1-$L$4)*('1 - DRO'!I26))+'1 - County'!I30)</f>
        <v>2338027.0885449927</v>
      </c>
      <c r="I13" s="80">
        <f>-('1 - Marina'!J30+'1 - Seaside'!J30+((1-$L$4)*('1 - DRO'!J26))+'1 - County'!J30)</f>
        <v>2599053.3518891097</v>
      </c>
      <c r="J13" s="80">
        <f>-('1 - Marina'!K30+'1 - Seaside'!K30+((1-$L$4)*('1 - DRO'!K26))+'1 - County'!K30)</f>
        <v>2817357.4448286621</v>
      </c>
      <c r="K13" s="80">
        <f>-('1 - Marina'!L30+'1 - Seaside'!L30+((1-$L$4)*('1 - DRO'!L26))+'1 - County'!L30)</f>
        <v>3006306.1653088853</v>
      </c>
      <c r="L13" s="80">
        <f>-('1 - Marina'!M30+'1 - Seaside'!M30+((1-$L$4)*('1 - DRO'!M26))+'1 - County'!M30)</f>
        <v>3204896.6476703514</v>
      </c>
      <c r="M13" s="80">
        <f>-('1 - Marina'!N30+'1 - Seaside'!N30+((1-$L$4)*('1 - DRO'!N26))+'1 - County'!N30)</f>
        <v>3372109.8224966112</v>
      </c>
      <c r="N13" s="80">
        <f>-('1 - Marina'!O30+'1 - Seaside'!O30+((1-$L$4)*('1 - DRO'!O26))+'1 - County'!O30)</f>
        <v>3453151.7862113975</v>
      </c>
      <c r="O13" s="80">
        <f>-('1 - Marina'!P30+'1 - Seaside'!P30+((1-$L$4)*('1 - DRO'!P26))+'1 - County'!P30)</f>
        <v>3535814.5892004794</v>
      </c>
      <c r="P13" s="80">
        <f>-('1 - Marina'!Q30+'1 - Seaside'!Q30+((1-$L$4)*('1 - DRO'!Q26))+'1 - County'!Q30)</f>
        <v>3620130.648249343</v>
      </c>
      <c r="Q13" s="80">
        <f>-('1 - Marina'!R30+'1 - Seaside'!R30+((1-$L$4)*('1 - DRO'!R26))+'1 - County'!R30)</f>
        <v>3706133.0284791836</v>
      </c>
      <c r="R13" s="80">
        <f>-('1 - Marina'!S30+'1 - Seaside'!S30+((1-$L$4)*('1 - DRO'!S26))+'1 - County'!S30)</f>
        <v>3793855.4563136208</v>
      </c>
      <c r="S13" s="80">
        <f>-('1 - Marina'!T30+'1 - Seaside'!T30+((1-$L$4)*('1 - DRO'!T26))+'1 - County'!T30)</f>
        <v>3883332.3327047466</v>
      </c>
      <c r="T13" s="80">
        <f>-('1 - Marina'!U30+'1 - Seaside'!U30+((1-$L$4)*('1 - DRO'!U26))+'1 - County'!U30)</f>
        <v>3974598.7466236949</v>
      </c>
      <c r="U13" s="80">
        <f>-('1 - Marina'!V30+'1 - Seaside'!V30+((1-$L$4)*('1 - DRO'!V26))+'1 - County'!V30)</f>
        <v>4067690.4888210227</v>
      </c>
      <c r="V13" s="80">
        <f>-('1 - Marina'!W30+'1 - Seaside'!W30+((1-$L$4)*('1 - DRO'!W26))+'1 - County'!W30)</f>
        <v>4162644.0658622971</v>
      </c>
      <c r="W13" s="80">
        <f>-('1 - Marina'!X30+'1 - Seaside'!X30+((1-$L$4)*('1 - DRO'!X26))+'1 - County'!X30)</f>
        <v>4259496.7144443961</v>
      </c>
      <c r="X13" s="80">
        <f>-('1 - Marina'!Y30+'1 - Seaside'!Y30+((1-$L$4)*('1 - DRO'!Y26))+'1 - County'!Y30)</f>
        <v>4358286.4159981376</v>
      </c>
      <c r="Y13" s="80">
        <f>-('1 - Marina'!Z30+'1 - Seaside'!Z30+((1-$L$4)*('1 - DRO'!Z26))+'1 - County'!Z30)</f>
        <v>4459051.9115829542</v>
      </c>
      <c r="Z13" s="80">
        <f>-('1 - Marina'!AA30+'1 - Seaside'!AA30+((1-$L$4)*('1 - DRO'!AA26))+'1 - County'!AA30)</f>
        <v>4561832.7170794671</v>
      </c>
      <c r="AA13" s="80">
        <f>-('1 - Marina'!AB30+'1 - Seaside'!AB30+((1-$L$4)*('1 - DRO'!AB26))+'1 - County'!AB30)</f>
        <v>4666669.1386859091</v>
      </c>
      <c r="AB13" s="80">
        <f>-('1 - Marina'!AC30+'1 - Seaside'!AC30+((1-$L$4)*('1 - DRO'!AC26))+'1 - County'!AC30)</f>
        <v>4773602.2887244811</v>
      </c>
      <c r="AC13" s="80">
        <f>-('1 - Marina'!AD30+'1 - Seaside'!AD30+((1-$L$4)*('1 - DRO'!AD26))+'1 - County'!AD30)</f>
        <v>4882674.1017638249</v>
      </c>
      <c r="AD13" s="80">
        <f>-('1 - Marina'!AE30+'1 - Seaside'!AE30+((1-$L$4)*('1 - DRO'!AE26))+'1 - County'!AE30)</f>
        <v>4993927.3510639546</v>
      </c>
      <c r="AE13" s="80">
        <f>-('1 - Marina'!AF30+'1 - Seaside'!AF30+((1-$L$4)*('1 - DRO'!AF26))+'1 - County'!AF30)</f>
        <v>5107405.665350087</v>
      </c>
    </row>
    <row r="14" spans="1:31" x14ac:dyDescent="0.25">
      <c r="A14" s="395" t="s">
        <v>219</v>
      </c>
      <c r="B14" s="80">
        <f>-('1 - Marina'!C31+'1 - Seaside'!C31+'1 - County'!C31+($L$4*'1 - DRO'!C26))</f>
        <v>30552.978419842249</v>
      </c>
      <c r="C14" s="80">
        <f>-('1 - Marina'!D31+'1 - Seaside'!D31+'1 - County'!D31+($L$4*'1 - DRO'!D26))</f>
        <v>65310.702343362078</v>
      </c>
      <c r="D14" s="80">
        <f>-('1 - Marina'!E31+'1 - Seaside'!E31+'1 - County'!E31+($L$4*'1 - DRO'!E26))</f>
        <v>96650.662100337286</v>
      </c>
      <c r="E14" s="80">
        <f>-('1 - Marina'!F31+'1 - Seaside'!F31+'1 - County'!F31+($L$4*'1 - DRO'!F26))</f>
        <v>141464.23219779317</v>
      </c>
      <c r="F14" s="80">
        <f>-('1 - Marina'!G31+'1 - Seaside'!G31+'1 - County'!G31+($L$4*'1 - DRO'!G26))</f>
        <v>177108.25066108941</v>
      </c>
      <c r="G14" s="80">
        <f>-('1 - Marina'!H31+'1 - Seaside'!H31+'1 - County'!H31+($L$4*'1 - DRO'!H26))</f>
        <v>213481.36316932747</v>
      </c>
      <c r="H14" s="80">
        <f>-('1 - Marina'!I31+'1 - Seaside'!I31+'1 - County'!I31+($L$4*'1 - DRO'!I26))</f>
        <v>252486.63969418645</v>
      </c>
      <c r="I14" s="80">
        <f>-('1 - Marina'!J31+'1 - Seaside'!J31+'1 - County'!J31+($L$4*'1 - DRO'!J26))</f>
        <v>280675.02849355858</v>
      </c>
      <c r="J14" s="80">
        <f>-('1 - Marina'!K31+'1 - Seaside'!K31+'1 - County'!K31+($L$4*'1 - DRO'!K26))</f>
        <v>304249.94907239487</v>
      </c>
      <c r="K14" s="80">
        <f>-('1 - Marina'!L31+'1 - Seaside'!L31+'1 - County'!L31+($L$4*'1 - DRO'!L26))</f>
        <v>324654.84153709223</v>
      </c>
      <c r="L14" s="80">
        <f>-('1 - Marina'!M31+'1 - Seaside'!M31+'1 - County'!M31+($L$4*'1 - DRO'!M26))</f>
        <v>346101.11249241163</v>
      </c>
      <c r="M14" s="80">
        <f>-('1 - Marina'!N31+'1 - Seaside'!N31+'1 - County'!N31+($L$4*'1 - DRO'!N26))</f>
        <v>364158.88044927223</v>
      </c>
      <c r="N14" s="80">
        <f>-('1 - Marina'!O31+'1 - Seaside'!O31+'1 - County'!O31+($L$4*'1 - DRO'!O26))</f>
        <v>372910.73573647003</v>
      </c>
      <c r="O14" s="80">
        <f>-('1 - Marina'!P31+'1 - Seaside'!P31+'1 - County'!P31+($L$4*'1 - DRO'!P26))</f>
        <v>381837.62812941178</v>
      </c>
      <c r="P14" s="80">
        <f>-('1 - Marina'!Q31+'1 - Seaside'!Q31+'1 - County'!Q31+($L$4*'1 - DRO'!Q26))</f>
        <v>390943.05837021233</v>
      </c>
      <c r="Q14" s="80">
        <f>-('1 - Marina'!R31+'1 - Seaside'!R31+'1 - County'!R31+($L$4*'1 - DRO'!R26))</f>
        <v>400230.59721582889</v>
      </c>
      <c r="R14" s="80">
        <f>-('1 - Marina'!S31+'1 - Seaside'!S31+'1 - County'!S31+($L$4*'1 - DRO'!S26))</f>
        <v>409703.88683835784</v>
      </c>
      <c r="S14" s="80">
        <f>-('1 - Marina'!T31+'1 - Seaside'!T31+'1 - County'!T31+($L$4*'1 - DRO'!T26))</f>
        <v>419366.64225333743</v>
      </c>
      <c r="T14" s="80">
        <f>-('1 - Marina'!U31+'1 - Seaside'!U31+'1 - County'!U31+($L$4*'1 - DRO'!U26))</f>
        <v>429222.65277661639</v>
      </c>
      <c r="U14" s="80">
        <f>-('1 - Marina'!V31+'1 - Seaside'!V31+'1 - County'!V31+($L$4*'1 - DRO'!V26))</f>
        <v>439275.78351036116</v>
      </c>
      <c r="V14" s="80">
        <f>-('1 - Marina'!W31+'1 - Seaside'!W31+'1 - County'!W31+($L$4*'1 - DRO'!W26))</f>
        <v>449529.97685878072</v>
      </c>
      <c r="W14" s="80">
        <f>-('1 - Marina'!X31+'1 - Seaside'!X31+'1 - County'!X31+($L$4*'1 - DRO'!X26))</f>
        <v>459989.25407416862</v>
      </c>
      <c r="X14" s="80">
        <f>-('1 - Marina'!Y31+'1 - Seaside'!Y31+'1 - County'!Y31+($L$4*'1 - DRO'!Y26))</f>
        <v>470657.71683386446</v>
      </c>
      <c r="Y14" s="80">
        <f>-('1 - Marina'!Z31+'1 - Seaside'!Z31+'1 - County'!Z31+($L$4*'1 - DRO'!Z26))</f>
        <v>481539.54884875403</v>
      </c>
      <c r="Z14" s="80">
        <f>-('1 - Marina'!AA31+'1 - Seaside'!AA31+'1 - County'!AA31+($L$4*'1 - DRO'!AA26))</f>
        <v>492639.01750394143</v>
      </c>
      <c r="AA14" s="80">
        <f>-('1 - Marina'!AB31+'1 - Seaside'!AB31+'1 - County'!AB31+($L$4*'1 - DRO'!AB26))</f>
        <v>503960.47553223255</v>
      </c>
      <c r="AB14" s="80">
        <f>-('1 - Marina'!AC31+'1 - Seaside'!AC31+'1 - County'!AC31+($L$4*'1 - DRO'!AC26))</f>
        <v>515508.36272108956</v>
      </c>
      <c r="AC14" s="80">
        <f>-('1 - Marina'!AD31+'1 - Seaside'!AD31+'1 - County'!AD31+($L$4*'1 - DRO'!AD26))</f>
        <v>527287.20765372366</v>
      </c>
      <c r="AD14" s="80">
        <f>-('1 - Marina'!AE31+'1 - Seaside'!AE31+'1 - County'!AE31+($L$4*'1 - DRO'!AE26))</f>
        <v>539301.62948501052</v>
      </c>
      <c r="AE14" s="80">
        <f>-('1 - Marina'!AF31+'1 - Seaside'!AF31+'1 - County'!AF31+($L$4*'1 - DRO'!AF26))</f>
        <v>551556.339752923</v>
      </c>
    </row>
    <row r="15" spans="1:31" x14ac:dyDescent="0.25">
      <c r="A15" s="317" t="s">
        <v>282</v>
      </c>
    </row>
    <row r="16" spans="1:31" x14ac:dyDescent="0.25">
      <c r="A16" s="395" t="s">
        <v>218</v>
      </c>
      <c r="B16" s="80">
        <f>-('1 - Marina'!C34+'1 - Seaside'!C34+'1 - County'!C34+((1-'HSC 33482.78 PTs'!$L$5)*('1 - DRO'!C28)))</f>
        <v>0</v>
      </c>
      <c r="C16" s="80">
        <f>-('1 - Marina'!D34+'1 - Seaside'!D34+'1 - County'!D34+((1-'HSC 33482.78 PTs'!$L$5)*('1 - DRO'!D28)))</f>
        <v>0</v>
      </c>
      <c r="D16" s="80">
        <f>-('1 - Marina'!E34+'1 - Seaside'!E34+'1 - County'!E34+((1-'HSC 33482.78 PTs'!$L$5)*('1 - DRO'!E28)))</f>
        <v>0</v>
      </c>
      <c r="E16" s="80">
        <f>-('1 - Marina'!F34+'1 - Seaside'!F34+'1 - County'!F34+((1-'HSC 33482.78 PTs'!$L$5)*('1 - DRO'!F28)))</f>
        <v>0</v>
      </c>
      <c r="F16" s="80">
        <f>-('1 - Marina'!G34+'1 - Seaside'!G34+'1 - County'!G34+((1-'HSC 33482.78 PTs'!$L$5)*('1 - DRO'!G28)))</f>
        <v>0</v>
      </c>
      <c r="G16" s="80">
        <f>-('1 - Marina'!H34+'1 - Seaside'!H34+'1 - County'!H34+((1-'HSC 33482.78 PTs'!$L$5)*('1 - DRO'!H28)))</f>
        <v>0</v>
      </c>
      <c r="H16" s="80">
        <f>-('1 - Marina'!I34+'1 - Seaside'!I34+'1 - County'!I34+((1-'HSC 33482.78 PTs'!$L$5)*('1 - DRO'!I28)))</f>
        <v>0</v>
      </c>
      <c r="I16" s="80">
        <f>-('1 - Marina'!J34+'1 - Seaside'!J34+'1 - County'!J34+((1-'HSC 33482.78 PTs'!$L$5)*('1 - DRO'!J28)))</f>
        <v>0</v>
      </c>
      <c r="J16" s="80">
        <f>-('1 - Marina'!K34+'1 - Seaside'!K34+'1 - County'!K34+((1-'HSC 33482.78 PTs'!$L$5)*('1 - DRO'!K28)))</f>
        <v>0</v>
      </c>
      <c r="K16" s="80">
        <f>-('1 - Marina'!L34+'1 - Seaside'!L34+'1 - County'!L34+((1-'HSC 33482.78 PTs'!$L$5)*('1 - DRO'!L28)))</f>
        <v>0</v>
      </c>
      <c r="L16" s="80">
        <f>-('1 - Marina'!M34+'1 - Seaside'!M34+'1 - County'!M34+((1-'HSC 33482.78 PTs'!$L$5)*('1 - DRO'!M28)))</f>
        <v>29519.801355986921</v>
      </c>
      <c r="M16" s="80">
        <f>-('1 - Marina'!N34+'1 - Seaside'!N34+'1 - County'!N34+((1-'HSC 33482.78 PTs'!$L$5)*('1 - DRO'!N28)))</f>
        <v>36063.920617470314</v>
      </c>
      <c r="N16" s="80">
        <f>-('1 - Marina'!O34+'1 - Seaside'!O34+'1 - County'!O34+((1-'HSC 33482.78 PTs'!$L$5)*('1 - DRO'!O28)))</f>
        <v>79251.403248168557</v>
      </c>
      <c r="O16" s="80">
        <f>-('1 - Marina'!P34+'1 - Seaside'!P34+'1 - County'!P34+((1-'HSC 33482.78 PTs'!$L$5)*('1 - DRO'!P28)))</f>
        <v>123302.63553148121</v>
      </c>
      <c r="P16" s="80">
        <f>-('1 - Marina'!Q34+'1 - Seaside'!Q34+'1 - County'!Q34+((1-'HSC 33482.78 PTs'!$L$5)*('1 - DRO'!Q28)))</f>
        <v>168234.89246045949</v>
      </c>
      <c r="Q16" s="80">
        <f>-('1 - Marina'!R34+'1 - Seaside'!R34+'1 - County'!R34+((1-'HSC 33482.78 PTs'!$L$5)*('1 - DRO'!R28)))</f>
        <v>214065.79452801772</v>
      </c>
      <c r="R16" s="80">
        <f>-('1 - Marina'!S34+'1 - Seaside'!S34+'1 - County'!S34+((1-'HSC 33482.78 PTs'!$L$5)*('1 - DRO'!S28)))</f>
        <v>260813.31463692689</v>
      </c>
      <c r="S16" s="80">
        <f>-('1 - Marina'!T34+'1 - Seaside'!T34+'1 - County'!T34+((1-'HSC 33482.78 PTs'!$L$5)*('1 - DRO'!T28)))</f>
        <v>308495.78514801408</v>
      </c>
      <c r="T16" s="80">
        <f>-('1 - Marina'!U34+'1 - Seaside'!U34+'1 - County'!U34+((1-'HSC 33482.78 PTs'!$L$5)*('1 - DRO'!U28)))</f>
        <v>357131.90506932314</v>
      </c>
      <c r="U16" s="80">
        <f>-('1 - Marina'!V34+'1 - Seaside'!V34+'1 - County'!V34+((1-'HSC 33482.78 PTs'!$L$5)*('1 - DRO'!V28)))</f>
        <v>406740.74738905882</v>
      </c>
      <c r="V16" s="80">
        <f>-('1 - Marina'!W34+'1 - Seaside'!W34+'1 - County'!W34+((1-'HSC 33482.78 PTs'!$L$5)*('1 - DRO'!W28)))</f>
        <v>470043.13208324159</v>
      </c>
      <c r="W16" s="80">
        <f>-('1 - Marina'!X34+'1 - Seaside'!X34+'1 - County'!X34+((1-'HSC 33482.78 PTs'!$L$5)*('1 - DRO'!X28)))</f>
        <v>534611.56447130779</v>
      </c>
      <c r="X16" s="80">
        <f>-('1 - Marina'!Y34+'1 - Seaside'!Y34+'1 - County'!Y34+((1-'HSC 33482.78 PTs'!$L$5)*('1 - DRO'!Y28)))</f>
        <v>600471.3655071354</v>
      </c>
      <c r="Y16" s="80">
        <f>-('1 - Marina'!Z34+'1 - Seaside'!Z34+'1 - County'!Z34+((1-'HSC 33482.78 PTs'!$L$5)*('1 - DRO'!Z28)))</f>
        <v>667648.36256367958</v>
      </c>
      <c r="Z16" s="80">
        <f>-('1 - Marina'!AA34+'1 - Seaside'!AA34+'1 - County'!AA34+((1-'HSC 33482.78 PTs'!$L$5)*('1 - DRO'!AA28)))</f>
        <v>736168.89956135489</v>
      </c>
      <c r="AA16" s="80">
        <f>-('1 - Marina'!AB34+'1 - Seaside'!AB34+'1 - County'!AB34+((1-'HSC 33482.78 PTs'!$L$5)*('1 - DRO'!AB28)))</f>
        <v>806059.8472989829</v>
      </c>
      <c r="AB16" s="80">
        <f>-('1 - Marina'!AC34+'1 - Seaside'!AC34+'1 - County'!AC34+((1-'HSC 33482.78 PTs'!$L$5)*('1 - DRO'!AC28)))</f>
        <v>877348.6139913646</v>
      </c>
      <c r="AC16" s="80">
        <f>-('1 - Marina'!AD34+'1 - Seaside'!AD34+'1 - County'!AD34+((1-'HSC 33482.78 PTs'!$L$5)*('1 - DRO'!AD28)))</f>
        <v>950063.15601759288</v>
      </c>
      <c r="AD16" s="80">
        <f>-('1 - Marina'!AE34+'1 - Seaside'!AE34+'1 - County'!AE34+((1-'HSC 33482.78 PTs'!$L$5)*('1 - DRO'!AE28)))</f>
        <v>1024231.9888843463</v>
      </c>
      <c r="AE16" s="80">
        <f>-('1 - Marina'!AF34+'1 - Seaside'!AF34+'1 - County'!AF34+((1-'HSC 33482.78 PTs'!$L$5)*('1 - DRO'!AF28)))</f>
        <v>1099884.1984084351</v>
      </c>
    </row>
    <row r="17" spans="1:31" x14ac:dyDescent="0.25">
      <c r="A17" s="395" t="s">
        <v>219</v>
      </c>
      <c r="B17" s="80">
        <f>-('1 - Marina'!C35+'1 - Seaside'!C35+'1 - County'!C35+('HSC 33482.78 PTs'!$L$5*'1 - DRO'!C28))</f>
        <v>0</v>
      </c>
      <c r="C17" s="80">
        <f>-('1 - Marina'!D35+'1 - Seaside'!D35+'1 - County'!D35+('HSC 33482.78 PTs'!$L$5*'1 - DRO'!D28))</f>
        <v>0</v>
      </c>
      <c r="D17" s="80">
        <f>-('1 - Marina'!E35+'1 - Seaside'!E35+'1 - County'!E35+('HSC 33482.78 PTs'!$L$5*'1 - DRO'!E28))</f>
        <v>0</v>
      </c>
      <c r="E17" s="80">
        <f>-('1 - Marina'!F35+'1 - Seaside'!F35+'1 - County'!F35+('HSC 33482.78 PTs'!$L$5*'1 - DRO'!F28))</f>
        <v>0</v>
      </c>
      <c r="F17" s="80">
        <f>-('1 - Marina'!G35+'1 - Seaside'!G35+'1 - County'!G35+('HSC 33482.78 PTs'!$L$5*'1 - DRO'!G28))</f>
        <v>0</v>
      </c>
      <c r="G17" s="80">
        <f>-('1 - Marina'!H35+'1 - Seaside'!H35+'1 - County'!H35+('HSC 33482.78 PTs'!$L$5*'1 - DRO'!H28))</f>
        <v>0</v>
      </c>
      <c r="H17" s="80">
        <f>-('1 - Marina'!I35+'1 - Seaside'!I35+'1 - County'!I35+('HSC 33482.78 PTs'!$L$5*'1 - DRO'!I28))</f>
        <v>0</v>
      </c>
      <c r="I17" s="80">
        <f>-('1 - Marina'!J35+'1 - Seaside'!J35+'1 - County'!J35+('HSC 33482.78 PTs'!$L$5*'1 - DRO'!J28))</f>
        <v>0</v>
      </c>
      <c r="J17" s="80">
        <f>-('1 - Marina'!K35+'1 - Seaside'!K35+'1 - County'!K35+('HSC 33482.78 PTs'!$L$5*'1 - DRO'!K28))</f>
        <v>0</v>
      </c>
      <c r="K17" s="80">
        <f>-('1 - Marina'!L35+'1 - Seaside'!L35+'1 - County'!L35+('HSC 33482.78 PTs'!$L$5*'1 - DRO'!L28))</f>
        <v>0</v>
      </c>
      <c r="L17" s="80">
        <f>-('1 - Marina'!M35+'1 - Seaside'!M35+'1 - County'!M35+('HSC 33482.78 PTs'!$L$5*'1 - DRO'!M28))</f>
        <v>3187.9078619033112</v>
      </c>
      <c r="M17" s="80">
        <f>-('1 - Marina'!N35+'1 - Seaside'!N35+'1 - County'!N35+('HSC 33482.78 PTs'!$L$5*'1 - DRO'!N28))</f>
        <v>3894.6216026678562</v>
      </c>
      <c r="N17" s="80">
        <f>-('1 - Marina'!O35+'1 - Seaside'!O35+'1 - County'!O35+('HSC 33482.78 PTs'!$L$5*'1 - DRO'!O28))</f>
        <v>8558.4781743297972</v>
      </c>
      <c r="O17" s="80">
        <f>-('1 - Marina'!P35+'1 - Seaside'!P35+'1 - County'!P35+('HSC 33482.78 PTs'!$L$5*'1 - DRO'!P28))</f>
        <v>13315.611877425024</v>
      </c>
      <c r="P17" s="80">
        <f>-('1 - Marina'!Q35+'1 - Seaside'!Q35+'1 - County'!Q35+('HSC 33482.78 PTs'!$L$5*'1 - DRO'!Q28))</f>
        <v>18167.888254582089</v>
      </c>
      <c r="Q17" s="80">
        <f>-('1 - Marina'!R35+'1 - Seaside'!R35+'1 - County'!R35+('HSC 33482.78 PTs'!$L$5*'1 - DRO'!R28))</f>
        <v>23117.210159282338</v>
      </c>
      <c r="R17" s="80">
        <f>-('1 - Marina'!S35+'1 - Seaside'!S35+'1 - County'!S35+('HSC 33482.78 PTs'!$L$5*'1 - DRO'!S28))</f>
        <v>28165.518502076564</v>
      </c>
      <c r="S17" s="80">
        <f>-('1 - Marina'!T35+'1 - Seaside'!T35+'1 - County'!T35+('HSC 33482.78 PTs'!$L$5*'1 - DRO'!T28))</f>
        <v>33314.793011726659</v>
      </c>
      <c r="T17" s="80">
        <f>-('1 - Marina'!U35+'1 - Seaside'!U35+'1 - County'!U35+('HSC 33482.78 PTs'!$L$5*'1 - DRO'!U28))</f>
        <v>38567.053011569769</v>
      </c>
      <c r="U17" s="80">
        <f>-('1 - Marina'!V35+'1 - Seaside'!V35+'1 - County'!V35+('HSC 33482.78 PTs'!$L$5*'1 - DRO'!V28))</f>
        <v>43924.358211409788</v>
      </c>
      <c r="V17" s="80">
        <f>-('1 - Marina'!W35+'1 - Seaside'!W35+'1 - County'!W35+('HSC 33482.78 PTs'!$L$5*'1 - DRO'!W28))</f>
        <v>50760.487110356182</v>
      </c>
      <c r="W17" s="80">
        <f>-('1 - Marina'!X35+'1 - Seaside'!X35+'1 - County'!X35+('HSC 33482.78 PTs'!$L$5*'1 - DRO'!X28))</f>
        <v>57733.338587281469</v>
      </c>
      <c r="X17" s="80">
        <f>-('1 - Marina'!Y35+'1 - Seaside'!Y35+'1 - County'!Y35+('HSC 33482.78 PTs'!$L$5*'1 - DRO'!Y28))</f>
        <v>64845.647093745269</v>
      </c>
      <c r="Y17" s="80">
        <f>-('1 - Marina'!Z35+'1 - Seaside'!Z35+'1 - County'!Z35+('HSC 33482.78 PTs'!$L$5*'1 - DRO'!Z28))</f>
        <v>72100.201770338346</v>
      </c>
      <c r="Z17" s="80">
        <f>-('1 - Marina'!AA35+'1 - Seaside'!AA35+'1 - County'!AA35+('HSC 33482.78 PTs'!$L$5*'1 - DRO'!AA28))</f>
        <v>79499.847540463306</v>
      </c>
      <c r="AA17" s="80">
        <f>-('1 - Marina'!AB35+'1 - Seaside'!AB35+'1 - County'!AB35+('HSC 33482.78 PTs'!$L$5*'1 - DRO'!AB28))</f>
        <v>87047.486225990695</v>
      </c>
      <c r="AB17" s="80">
        <f>-('1 - Marina'!AC35+'1 - Seaside'!AC35+'1 - County'!AC35+('HSC 33482.78 PTs'!$L$5*'1 - DRO'!AC28))</f>
        <v>94746.077685228753</v>
      </c>
      <c r="AC17" s="80">
        <f>-('1 - Marina'!AD35+'1 - Seaside'!AD35+'1 - County'!AD35+('HSC 33482.78 PTs'!$L$5*'1 - DRO'!AD28))</f>
        <v>102598.64097365146</v>
      </c>
      <c r="AD17" s="80">
        <f>-('1 - Marina'!AE35+'1 - Seaside'!AE35+'1 - County'!AE35+('HSC 33482.78 PTs'!$L$5*'1 - DRO'!AE28))</f>
        <v>110608.25552784267</v>
      </c>
      <c r="AE17" s="80">
        <f>-('1 - Marina'!AF35+'1 - Seaside'!AF35+'1 - County'!AF35+('HSC 33482.78 PTs'!$L$5*'1 - DRO'!AF28))</f>
        <v>118778.06237311772</v>
      </c>
    </row>
    <row r="19" spans="1:31" x14ac:dyDescent="0.25">
      <c r="A19" s="396" t="s">
        <v>334</v>
      </c>
      <c r="B19" s="80">
        <f>B10+B13+B16</f>
        <v>1429249.9797435307</v>
      </c>
      <c r="C19" s="80">
        <f t="shared" ref="C19:AE19" si="2">C10+C13+C16</f>
        <v>2134264.5260030976</v>
      </c>
      <c r="D19" s="80">
        <f t="shared" si="2"/>
        <v>2769958.6627297308</v>
      </c>
      <c r="E19" s="80">
        <f>E10+E13+E16</f>
        <v>3678948.2071119538</v>
      </c>
      <c r="F19" s="80">
        <f t="shared" si="2"/>
        <v>4401943.5112266587</v>
      </c>
      <c r="G19" s="80">
        <f t="shared" si="2"/>
        <v>5139727.2392164133</v>
      </c>
      <c r="H19" s="80">
        <f t="shared" si="2"/>
        <v>5930902.626387462</v>
      </c>
      <c r="I19" s="80">
        <f t="shared" si="2"/>
        <v>6502674.4413317181</v>
      </c>
      <c r="J19" s="80">
        <f>J10+J13+J16</f>
        <v>6980864.3591993097</v>
      </c>
      <c r="K19" s="80">
        <f>K10+K13+K16</f>
        <v>7394752.0326321786</v>
      </c>
      <c r="L19" s="80">
        <f t="shared" si="2"/>
        <v>7859279.5572561389</v>
      </c>
      <c r="M19" s="80">
        <f t="shared" si="2"/>
        <v>8232100.1547084786</v>
      </c>
      <c r="N19" s="80">
        <f t="shared" si="2"/>
        <v>8452808.1292858515</v>
      </c>
      <c r="O19" s="80">
        <f t="shared" si="2"/>
        <v>8677930.2633547708</v>
      </c>
      <c r="P19" s="80">
        <f t="shared" si="2"/>
        <v>8907554.8401050698</v>
      </c>
      <c r="Q19" s="80">
        <f t="shared" si="2"/>
        <v>9141771.908390373</v>
      </c>
      <c r="R19" s="80">
        <f t="shared" si="2"/>
        <v>9380673.3180413842</v>
      </c>
      <c r="S19" s="80">
        <f t="shared" si="2"/>
        <v>9624352.7558854129</v>
      </c>
      <c r="T19" s="80">
        <f t="shared" si="2"/>
        <v>9872905.7824863233</v>
      </c>
      <c r="U19" s="80">
        <f t="shared" si="2"/>
        <v>10126429.869619254</v>
      </c>
      <c r="V19" s="80">
        <f t="shared" si="2"/>
        <v>10397725.804022893</v>
      </c>
      <c r="W19" s="80">
        <f t="shared" si="2"/>
        <v>10674447.657114606</v>
      </c>
      <c r="X19" s="80">
        <f t="shared" si="2"/>
        <v>10956703.947268153</v>
      </c>
      <c r="Y19" s="80">
        <f t="shared" si="2"/>
        <v>11244605.363224771</v>
      </c>
      <c r="Z19" s="80">
        <f t="shared" si="2"/>
        <v>11538264.807500523</v>
      </c>
      <c r="AA19" s="80">
        <f t="shared" si="2"/>
        <v>11837797.440661786</v>
      </c>
      <c r="AB19" s="80">
        <f t="shared" si="2"/>
        <v>12143320.726486279</v>
      </c>
      <c r="AC19" s="80">
        <f t="shared" si="2"/>
        <v>12454954.478027256</v>
      </c>
      <c r="AD19" s="80">
        <f t="shared" si="2"/>
        <v>12772820.904599058</v>
      </c>
      <c r="AE19" s="80">
        <f t="shared" si="2"/>
        <v>13097044.659702297</v>
      </c>
    </row>
    <row r="20" spans="1:31" x14ac:dyDescent="0.25">
      <c r="A20" s="396" t="s">
        <v>328</v>
      </c>
      <c r="B20" s="402">
        <f>NPV(Assumptions!D4,'HSC 33482.78 PTs'!C19:AE19)+'HSC 33482.78 PTs'!B19</f>
        <v>124536313.2295597</v>
      </c>
    </row>
    <row r="21" spans="1:31" x14ac:dyDescent="0.25">
      <c r="A21" s="396"/>
    </row>
    <row r="22" spans="1:31" x14ac:dyDescent="0.25">
      <c r="A22" s="396" t="s">
        <v>335</v>
      </c>
      <c r="B22" s="80">
        <f>B11+B14+B17</f>
        <v>154346.86214657986</v>
      </c>
      <c r="C22" s="80">
        <f t="shared" ref="C22:AE22" si="3">C11+C14+C17</f>
        <v>230482.82883619471</v>
      </c>
      <c r="D22" s="80">
        <f t="shared" si="3"/>
        <v>299132.26449433091</v>
      </c>
      <c r="E22" s="80">
        <f t="shared" si="3"/>
        <v>397295.32280304376</v>
      </c>
      <c r="F22" s="80">
        <f t="shared" si="3"/>
        <v>475372.69657978788</v>
      </c>
      <c r="G22" s="80">
        <f t="shared" si="3"/>
        <v>555047.13350259513</v>
      </c>
      <c r="H22" s="80">
        <f t="shared" si="3"/>
        <v>640487.26303323847</v>
      </c>
      <c r="I22" s="80">
        <f t="shared" si="3"/>
        <v>702233.25754614896</v>
      </c>
      <c r="J22" s="80">
        <f t="shared" si="3"/>
        <v>753873.55976645695</v>
      </c>
      <c r="K22" s="80">
        <f t="shared" si="3"/>
        <v>798569.99087960366</v>
      </c>
      <c r="L22" s="80">
        <f t="shared" si="3"/>
        <v>848735.44464363507</v>
      </c>
      <c r="M22" s="80">
        <f t="shared" si="3"/>
        <v>888997.26914704673</v>
      </c>
      <c r="N22" s="80">
        <f t="shared" si="3"/>
        <v>912831.8563478085</v>
      </c>
      <c r="O22" s="80">
        <f t="shared" si="3"/>
        <v>937143.13529258582</v>
      </c>
      <c r="P22" s="80">
        <f t="shared" si="3"/>
        <v>961940.63981625834</v>
      </c>
      <c r="Q22" s="80">
        <f t="shared" si="3"/>
        <v>987234.09443040437</v>
      </c>
      <c r="R22" s="80">
        <f t="shared" si="3"/>
        <v>1013033.4181368335</v>
      </c>
      <c r="S22" s="80">
        <f t="shared" si="3"/>
        <v>1039348.7283173911</v>
      </c>
      <c r="T22" s="80">
        <f t="shared" si="3"/>
        <v>1066190.3447015597</v>
      </c>
      <c r="U22" s="80">
        <f t="shared" si="3"/>
        <v>1093568.7934134118</v>
      </c>
      <c r="V22" s="80">
        <f t="shared" si="3"/>
        <v>1122866.4886946108</v>
      </c>
      <c r="W22" s="80">
        <f t="shared" si="3"/>
        <v>1152750.1378814334</v>
      </c>
      <c r="X22" s="80">
        <f t="shared" si="3"/>
        <v>1183231.4600519927</v>
      </c>
      <c r="Y22" s="80">
        <f t="shared" si="3"/>
        <v>1214322.408665963</v>
      </c>
      <c r="Z22" s="80">
        <f t="shared" si="3"/>
        <v>1246035.1762522128</v>
      </c>
      <c r="AA22" s="80">
        <f t="shared" si="3"/>
        <v>1278382.1991901873</v>
      </c>
      <c r="AB22" s="80">
        <f t="shared" si="3"/>
        <v>1311376.1625869218</v>
      </c>
      <c r="AC22" s="80">
        <f t="shared" si="3"/>
        <v>1345030.0052515906</v>
      </c>
      <c r="AD22" s="80">
        <f t="shared" si="3"/>
        <v>1379356.9247695529</v>
      </c>
      <c r="AE22" s="80">
        <f t="shared" si="3"/>
        <v>1414370.3826778748</v>
      </c>
    </row>
    <row r="23" spans="1:31" x14ac:dyDescent="0.25">
      <c r="A23" s="396" t="s">
        <v>329</v>
      </c>
      <c r="B23" s="402">
        <f>NPV(Assumptions!D4,'HSC 33482.78 PTs'!C22:AE22)+'HSC 33482.78 PTs'!B22</f>
        <v>13448868.207988514</v>
      </c>
    </row>
    <row r="25" spans="1:31" ht="15.75" x14ac:dyDescent="0.25">
      <c r="A25" s="29" t="str">
        <f>'2 - Marina'!A2</f>
        <v>Scenario 2 - Assumes FORA Dissolution on 6/30/2020 and No Bond Issuance</v>
      </c>
    </row>
    <row r="26" spans="1:31" x14ac:dyDescent="0.25">
      <c r="B26" s="442" t="s">
        <v>59</v>
      </c>
      <c r="C26" s="442"/>
      <c r="D26" s="453" t="s">
        <v>60</v>
      </c>
      <c r="E26" s="453"/>
      <c r="F26" s="453"/>
      <c r="G26" s="453"/>
      <c r="H26" s="453"/>
      <c r="I26" s="453"/>
      <c r="J26" s="453"/>
      <c r="K26" s="453"/>
      <c r="L26" s="453"/>
      <c r="M26" s="400"/>
      <c r="N26" s="400"/>
      <c r="O26" s="400"/>
      <c r="P26" s="400"/>
      <c r="Q26" s="400"/>
      <c r="R26" s="400"/>
      <c r="S26" s="400"/>
      <c r="T26" s="400"/>
      <c r="U26" s="400"/>
      <c r="V26" s="400"/>
      <c r="W26" s="400"/>
      <c r="X26" s="400"/>
      <c r="Y26" s="400"/>
      <c r="Z26" s="400"/>
      <c r="AA26" s="400"/>
      <c r="AB26" s="400"/>
      <c r="AC26" s="400"/>
      <c r="AD26" s="400"/>
      <c r="AE26" s="400"/>
    </row>
    <row r="27" spans="1:31" x14ac:dyDescent="0.25">
      <c r="B27" s="339">
        <v>201819</v>
      </c>
      <c r="C27" s="339">
        <f t="shared" ref="C27" si="4">B27+101</f>
        <v>201920</v>
      </c>
      <c r="D27" s="401">
        <f t="shared" ref="D27" si="5">C27+101</f>
        <v>202021</v>
      </c>
      <c r="E27" s="401">
        <f t="shared" ref="E27" si="6">D27+101</f>
        <v>202122</v>
      </c>
      <c r="F27" s="401">
        <f t="shared" ref="F27" si="7">E27+101</f>
        <v>202223</v>
      </c>
      <c r="G27" s="401">
        <f t="shared" ref="G27" si="8">F27+101</f>
        <v>202324</v>
      </c>
      <c r="H27" s="401">
        <f t="shared" ref="H27" si="9">G27+101</f>
        <v>202425</v>
      </c>
      <c r="I27" s="401">
        <f t="shared" ref="I27" si="10">H27+101</f>
        <v>202526</v>
      </c>
      <c r="J27" s="401">
        <f>I27+101</f>
        <v>202627</v>
      </c>
      <c r="K27" s="401">
        <f t="shared" ref="K27" si="11">J27+101</f>
        <v>202728</v>
      </c>
      <c r="L27" s="401">
        <f t="shared" ref="L27" si="12">K27+101</f>
        <v>202829</v>
      </c>
      <c r="M27" s="401">
        <f t="shared" ref="M27" si="13">L27+101</f>
        <v>202930</v>
      </c>
      <c r="N27" s="401">
        <f t="shared" ref="N27" si="14">M27+101</f>
        <v>203031</v>
      </c>
      <c r="O27" s="401">
        <f t="shared" ref="O27" si="15">N27+101</f>
        <v>203132</v>
      </c>
      <c r="P27" s="401">
        <f t="shared" ref="P27" si="16">O27+101</f>
        <v>203233</v>
      </c>
      <c r="Q27" s="401">
        <f t="shared" ref="Q27" si="17">P27+101</f>
        <v>203334</v>
      </c>
      <c r="R27" s="401">
        <f t="shared" ref="R27" si="18">Q27+101</f>
        <v>203435</v>
      </c>
      <c r="S27" s="401">
        <f t="shared" ref="S27" si="19">R27+101</f>
        <v>203536</v>
      </c>
      <c r="T27" s="401">
        <f t="shared" ref="T27" si="20">S27+101</f>
        <v>203637</v>
      </c>
      <c r="U27" s="401">
        <f t="shared" ref="U27" si="21">T27+101</f>
        <v>203738</v>
      </c>
      <c r="V27" s="401">
        <f t="shared" ref="V27" si="22">U27+101</f>
        <v>203839</v>
      </c>
      <c r="W27" s="401">
        <f t="shared" ref="W27" si="23">V27+101</f>
        <v>203940</v>
      </c>
      <c r="X27" s="401">
        <f t="shared" ref="X27" si="24">W27+101</f>
        <v>204041</v>
      </c>
      <c r="Y27" s="401">
        <f t="shared" ref="Y27" si="25">X27+101</f>
        <v>204142</v>
      </c>
      <c r="Z27" s="401">
        <f t="shared" ref="Z27" si="26">Y27+101</f>
        <v>204243</v>
      </c>
      <c r="AA27" s="401">
        <f t="shared" ref="AA27" si="27">Z27+101</f>
        <v>204344</v>
      </c>
      <c r="AB27" s="401">
        <f t="shared" ref="AB27" si="28">AA27+101</f>
        <v>204445</v>
      </c>
      <c r="AC27" s="401">
        <f t="shared" ref="AC27" si="29">AB27+101</f>
        <v>204546</v>
      </c>
      <c r="AD27" s="401">
        <f t="shared" ref="AD27" si="30">AC27+101</f>
        <v>204647</v>
      </c>
      <c r="AE27" s="401">
        <f t="shared" ref="AE27" si="31">AD27+101</f>
        <v>204748</v>
      </c>
    </row>
    <row r="28" spans="1:31" x14ac:dyDescent="0.25">
      <c r="A28" s="19" t="s">
        <v>220</v>
      </c>
    </row>
    <row r="29" spans="1:31" x14ac:dyDescent="0.25">
      <c r="A29" s="395" t="s">
        <v>218</v>
      </c>
      <c r="B29" s="80">
        <f>-('2 - Marina'!C26+'2 - Seaside'!C26+'2 - County'!C26+((1-'HSC 33482.78 PTs'!$L$3)*'2 - DRO'!C25))</f>
        <v>1146325.1864055502</v>
      </c>
      <c r="C29" s="80">
        <f>-('2 - Marina'!D26+'2 - Seaside'!D26+'2 - County'!D26+((1-'HSC 33482.78 PTs'!$L$3)*'2 - DRO'!D25))</f>
        <v>1529485.2658944456</v>
      </c>
      <c r="D29" s="80">
        <f>-('2 - Marina'!E26+'2 - Seaside'!E26+'2 - County'!E26+((1-'HSC 33482.78 PTs'!$L$3)*'2 - DRO'!E25))</f>
        <v>1844236.6684375855</v>
      </c>
      <c r="E29" s="80">
        <f>-('2 - Marina'!F26+'2 - Seaside'!F26+'2 - County'!F26+((1-'HSC 33482.78 PTs'!$L$3)*'2 - DRO'!F25))</f>
        <v>2102213.7062474899</v>
      </c>
      <c r="F29" s="80">
        <f>-('2 - Marina'!G26+'2 - Seaside'!G26+'2 - County'!G26+((1-'HSC 33482.78 PTs'!$L$3)*'2 - DRO'!G25))</f>
        <v>2415781.8715977045</v>
      </c>
      <c r="G29" s="80">
        <f>-('2 - Marina'!H26+'2 - Seaside'!H26+'2 - County'!H26+((1-'HSC 33482.78 PTs'!$L$3)*'2 - DRO'!H25))</f>
        <v>2722974.0412648106</v>
      </c>
      <c r="H29" s="80">
        <f>-('2 - Marina'!I26+'2 - Seaside'!I26+'2 - County'!I26+((1-'HSC 33482.78 PTs'!$L$3)*'2 - DRO'!I25))</f>
        <v>3079599.9685991155</v>
      </c>
      <c r="I29" s="80">
        <f>-('2 - Marina'!J26+'2 - Seaside'!J26+'2 - County'!J26+((1-'HSC 33482.78 PTs'!$L$3)*'2 - DRO'!J25))</f>
        <v>3247807.8401611373</v>
      </c>
      <c r="J29" s="80">
        <f>-('2 - Marina'!K26+'2 - Seaside'!K26+'2 - County'!K26+((1-'HSC 33482.78 PTs'!$L$3)*'2 - DRO'!K25))</f>
        <v>3385525.4527992364</v>
      </c>
      <c r="K29" s="80">
        <f>-('2 - Marina'!L26+'2 - Seaside'!L26+'2 - County'!L26+((1-'HSC 33482.78 PTs'!$L$3)*'2 - DRO'!L25))</f>
        <v>3520203.0733688576</v>
      </c>
      <c r="L29" s="80">
        <f>-('2 - Marina'!M26+'2 - Seaside'!M26+'2 - County'!M26+((1-'HSC 33482.78 PTs'!$L$3)*'2 - DRO'!M25))</f>
        <v>3641765.1871962762</v>
      </c>
      <c r="M29" s="80">
        <f>-('2 - Marina'!N26+'2 - Seaside'!N26+'2 - County'!N26+((1-'HSC 33482.78 PTs'!$L$3)*'2 - DRO'!N25))</f>
        <v>3723720.7689274936</v>
      </c>
      <c r="N29" s="80">
        <f>-('2 - Marina'!O26+'2 - Seaside'!O26+'2 - County'!O26+((1-'HSC 33482.78 PTs'!$L$3)*'2 - DRO'!O25))</f>
        <v>3798195.1843060441</v>
      </c>
      <c r="O29" s="80">
        <f>-('2 - Marina'!P26+'2 - Seaside'!P26+'2 - County'!P26+((1-'HSC 33482.78 PTs'!$L$3)*'2 - DRO'!P25))</f>
        <v>3874159.0879921638</v>
      </c>
      <c r="P29" s="80">
        <f>-('2 - Marina'!Q26+'2 - Seaside'!Q26+'2 - County'!Q26+((1-'HSC 33482.78 PTs'!$L$3)*'2 - DRO'!Q25))</f>
        <v>3951642.2697520079</v>
      </c>
      <c r="Q29" s="80">
        <f>-('2 - Marina'!R26+'2 - Seaside'!R26+'2 - County'!R26+((1-'HSC 33482.78 PTs'!$L$3)*'2 - DRO'!R25))</f>
        <v>4030675.1151470481</v>
      </c>
      <c r="R29" s="80">
        <f>-('2 - Marina'!S26+'2 - Seaside'!S26+'2 - County'!S26+((1-'HSC 33482.78 PTs'!$L$3)*'2 - DRO'!S25))</f>
        <v>4111288.6174499895</v>
      </c>
      <c r="S29" s="80">
        <f>-('2 - Marina'!T26+'2 - Seaside'!T26+'2 - County'!T26+((1-'HSC 33482.78 PTs'!$L$3)*'2 - DRO'!T25))</f>
        <v>4193514.3897989886</v>
      </c>
      <c r="T29" s="80">
        <f>-('2 - Marina'!U26+'2 - Seaside'!U26+'2 - County'!U26+((1-'HSC 33482.78 PTs'!$L$3)*'2 - DRO'!U25))</f>
        <v>4277384.6775949681</v>
      </c>
      <c r="U29" s="80">
        <f>-('2 - Marina'!V26+'2 - Seaside'!V26+'2 - County'!V26+((1-'HSC 33482.78 PTs'!$L$3)*'2 - DRO'!V25))</f>
        <v>4362932.371146868</v>
      </c>
      <c r="V29" s="80">
        <f>-('2 - Marina'!W26+'2 - Seaside'!W26+'2 - County'!W26+((1-'HSC 33482.78 PTs'!$L$3)*'2 - DRO'!W25))</f>
        <v>4450191.0185698047</v>
      </c>
      <c r="W29" s="80">
        <f>-('2 - Marina'!X26+'2 - Seaside'!X26+'2 - County'!X26+((1-'HSC 33482.78 PTs'!$L$3)*'2 - DRO'!X25))</f>
        <v>4539194.8389412006</v>
      </c>
      <c r="X29" s="80">
        <f>-('2 - Marina'!Y26+'2 - Seaside'!Y26+'2 - County'!Y26+((1-'HSC 33482.78 PTs'!$L$3)*'2 - DRO'!Y25))</f>
        <v>4629978.7357200254</v>
      </c>
      <c r="Y29" s="80">
        <f>-('2 - Marina'!Z26+'2 - Seaside'!Z26+'2 - County'!Z26+((1-'HSC 33482.78 PTs'!$L$3)*'2 - DRO'!Z25))</f>
        <v>4722578.3104344252</v>
      </c>
      <c r="Z29" s="80">
        <f>-('2 - Marina'!AA26+'2 - Seaside'!AA26+'2 - County'!AA26+((1-'HSC 33482.78 PTs'!$L$3)*'2 - DRO'!AA25))</f>
        <v>4817029.8766431138</v>
      </c>
      <c r="AA29" s="80">
        <f>-('2 - Marina'!AB26+'2 - Seaside'!AB26+'2 - County'!AB26+((1-'HSC 33482.78 PTs'!$L$3)*'2 - DRO'!AB25))</f>
        <v>4913370.4741759757</v>
      </c>
      <c r="AB29" s="80">
        <f>-('2 - Marina'!AC26+'2 - Seaside'!AC26+'2 - County'!AC26+((1-'HSC 33482.78 PTs'!$L$3)*'2 - DRO'!AC25))</f>
        <v>5011637.883659496</v>
      </c>
      <c r="AC29" s="80">
        <f>-('2 - Marina'!AD26+'2 - Seaside'!AD26+'2 - County'!AD26+((1-'HSC 33482.78 PTs'!$L$3)*'2 - DRO'!AD25))</f>
        <v>5111870.6413326859</v>
      </c>
      <c r="AD29" s="80">
        <f>-('2 - Marina'!AE26+'2 - Seaside'!AE26+'2 - County'!AE26+((1-'HSC 33482.78 PTs'!$L$3)*'2 - DRO'!AE25))</f>
        <v>5214108.0541593395</v>
      </c>
      <c r="AE29" s="80">
        <f>-('2 - Marina'!AF26+'2 - Seaside'!AF26+'2 - County'!AF26+((1-'HSC 33482.78 PTs'!$L$3)*'2 - DRO'!AF25))</f>
        <v>5318390.2152425256</v>
      </c>
    </row>
    <row r="30" spans="1:31" x14ac:dyDescent="0.25">
      <c r="A30" s="395" t="s">
        <v>219</v>
      </c>
      <c r="B30" s="80">
        <f>-('2 - Marina'!C27+'2 - Seaside'!C27+'2 - County'!C27+('HSC 33482.78 PTs'!$L$4*'2 - DRO'!C25))</f>
        <v>123793.88372673761</v>
      </c>
      <c r="C30" s="80">
        <f>-('2 - Marina'!D27+'2 - Seaside'!D27+'2 - County'!D27+('HSC 33482.78 PTs'!$L$4*'2 - DRO'!D25))</f>
        <v>165172.12649283264</v>
      </c>
      <c r="D30" s="80">
        <f>-('2 - Marina'!E27+'2 - Seaside'!E27+'2 - County'!E27+('HSC 33482.78 PTs'!$L$4*'2 - DRO'!E25))</f>
        <v>199162.77715285239</v>
      </c>
      <c r="E30" s="80">
        <f>-('2 - Marina'!F27+'2 - Seaside'!F27+'2 - County'!F27+('HSC 33482.78 PTs'!$L$4*'2 - DRO'!F25))</f>
        <v>227022.17482381756</v>
      </c>
      <c r="F30" s="80">
        <f>-('2 - Marina'!G27+'2 - Seaside'!G27+'2 - County'!G27+('HSC 33482.78 PTs'!$L$4*'2 - DRO'!G25))</f>
        <v>260885.10505856865</v>
      </c>
      <c r="G30" s="80">
        <f>-('2 - Marina'!H27+'2 - Seaside'!H27+'2 - County'!H27+('HSC 33482.78 PTs'!$L$4*'2 - DRO'!H25))</f>
        <v>294059.41023357637</v>
      </c>
      <c r="H30" s="80">
        <f>-('2 - Marina'!I27+'2 - Seaside'!I27+'2 - County'!I27+('HSC 33482.78 PTs'!$L$4*'2 - DRO'!I25))</f>
        <v>332572.15909915965</v>
      </c>
      <c r="I30" s="80">
        <f>-('2 - Marina'!J27+'2 - Seaside'!J27+'2 - County'!J27+('HSC 33482.78 PTs'!$L$4*'2 - DRO'!J25))</f>
        <v>350737.18570479879</v>
      </c>
      <c r="J30" s="80">
        <f>-('2 - Marina'!K27+'2 - Seaside'!K27+'2 - County'!K27+('HSC 33482.78 PTs'!$L$4*'2 - DRO'!K25))</f>
        <v>365609.60925601859</v>
      </c>
      <c r="K30" s="80">
        <f>-('2 - Marina'!L27+'2 - Seaside'!L27+'2 - County'!L27+('HSC 33482.78 PTs'!$L$4*'2 - DRO'!L25))</f>
        <v>380153.73672750249</v>
      </c>
      <c r="L30" s="80">
        <f>-('2 - Marina'!M27+'2 - Seaside'!M27+'2 - County'!M27+('HSC 33482.78 PTs'!$L$4*'2 - DRO'!M25))</f>
        <v>393281.49110201118</v>
      </c>
      <c r="M30" s="80">
        <f>-('2 - Marina'!N27+'2 - Seaside'!N27+'2 - County'!N27+('HSC 33482.78 PTs'!$L$4*'2 - DRO'!N25))</f>
        <v>402132.0492880583</v>
      </c>
      <c r="N30" s="80">
        <f>-('2 - Marina'!O27+'2 - Seaside'!O27+'2 - County'!O27+('HSC 33482.78 PTs'!$L$4*'2 - DRO'!O25))</f>
        <v>410174.69027381943</v>
      </c>
      <c r="O30" s="80">
        <f>-('2 - Marina'!P27+'2 - Seaside'!P27+'2 - County'!P27+('HSC 33482.78 PTs'!$L$4*'2 - DRO'!P25))</f>
        <v>418378.18407929578</v>
      </c>
      <c r="P30" s="80">
        <f>-('2 - Marina'!Q27+'2 - Seaside'!Q27+'2 - County'!Q27+('HSC 33482.78 PTs'!$L$4*'2 - DRO'!Q25))</f>
        <v>426745.74776088173</v>
      </c>
      <c r="Q30" s="80">
        <f>-('2 - Marina'!R27+'2 - Seaside'!R27+'2 - County'!R27+('HSC 33482.78 PTs'!$L$4*'2 - DRO'!R25))</f>
        <v>435280.66271609935</v>
      </c>
      <c r="R30" s="80">
        <f>-('2 - Marina'!S27+'2 - Seaside'!S27+'2 - County'!S27+('HSC 33482.78 PTs'!$L$4*'2 - DRO'!S25))</f>
        <v>443986.27597042138</v>
      </c>
      <c r="S30" s="80">
        <f>-('2 - Marina'!T27+'2 - Seaside'!T27+'2 - County'!T27+('HSC 33482.78 PTs'!$L$4*'2 - DRO'!T25))</f>
        <v>452866.00148982974</v>
      </c>
      <c r="T30" s="80">
        <f>-('2 - Marina'!U27+'2 - Seaside'!U27+'2 - County'!U27+('HSC 33482.78 PTs'!$L$4*'2 - DRO'!U25))</f>
        <v>461923.32151962642</v>
      </c>
      <c r="U30" s="80">
        <f>-('2 - Marina'!V27+'2 - Seaside'!V27+'2 - County'!V27+('HSC 33482.78 PTs'!$L$4*'2 - DRO'!V25))</f>
        <v>471161.78795001889</v>
      </c>
      <c r="V30" s="80">
        <f>-('2 - Marina'!W27+'2 - Seaside'!W27+'2 - County'!W27+('HSC 33482.78 PTs'!$L$4*'2 - DRO'!W25))</f>
        <v>480585.0237090193</v>
      </c>
      <c r="W30" s="80">
        <f>-('2 - Marina'!X27+'2 - Seaside'!X27+'2 - County'!X27+('HSC 33482.78 PTs'!$L$4*'2 - DRO'!X25))</f>
        <v>490196.72418319958</v>
      </c>
      <c r="X30" s="80">
        <f>-('2 - Marina'!Y27+'2 - Seaside'!Y27+'2 - County'!Y27+('HSC 33482.78 PTs'!$L$4*'2 - DRO'!Y25))</f>
        <v>500000.65866686369</v>
      </c>
      <c r="Y30" s="80">
        <f>-('2 - Marina'!Z27+'2 - Seaside'!Z27+'2 - County'!Z27+('HSC 33482.78 PTs'!$L$4*'2 - DRO'!Z25))</f>
        <v>510000.67184020102</v>
      </c>
      <c r="Z30" s="80">
        <f>-('2 - Marina'!AA27+'2 - Seaside'!AA27+'2 - County'!AA27+('HSC 33482.78 PTs'!$L$4*'2 - DRO'!AA25))</f>
        <v>520200.6852770049</v>
      </c>
      <c r="AA30" s="80">
        <f>-('2 - Marina'!AB27+'2 - Seaside'!AB27+'2 - County'!AB27+('HSC 33482.78 PTs'!$L$4*'2 - DRO'!AB25))</f>
        <v>530604.69898254506</v>
      </c>
      <c r="AB30" s="80">
        <f>-('2 - Marina'!AC27+'2 - Seaside'!AC27+'2 - County'!AC27+('HSC 33482.78 PTs'!$L$4*'2 - DRO'!AC25))</f>
        <v>541216.79296219582</v>
      </c>
      <c r="AC30" s="80">
        <f>-('2 - Marina'!AD27+'2 - Seaside'!AD27+'2 - County'!AD27+('HSC 33482.78 PTs'!$L$4*'2 - DRO'!AD25))</f>
        <v>552041.12882143981</v>
      </c>
      <c r="AD30" s="80">
        <f>-('2 - Marina'!AE27+'2 - Seaside'!AE27+'2 - County'!AE27+('HSC 33482.78 PTs'!$L$4*'2 - DRO'!AE25))</f>
        <v>563081.95139786857</v>
      </c>
      <c r="AE30" s="80">
        <f>-('2 - Marina'!AF27+'2 - Seaside'!AF27+'2 - County'!AF27+('HSC 33482.78 PTs'!$L$4*'2 - DRO'!AF25))</f>
        <v>574343.59042582591</v>
      </c>
    </row>
    <row r="31" spans="1:31" x14ac:dyDescent="0.25">
      <c r="A31" s="317" t="s">
        <v>221</v>
      </c>
    </row>
    <row r="32" spans="1:31" x14ac:dyDescent="0.25">
      <c r="A32" s="395" t="s">
        <v>218</v>
      </c>
      <c r="B32" s="80">
        <f>-('2 - Marina'!C30+'2 - Seaside'!C30+'2 - County'!C30+((1-'HSC 33482.78 PTs'!$L$4)*('2 - DRO'!C26)))</f>
        <v>282924.79333798046</v>
      </c>
      <c r="C32" s="80">
        <f>-('2 - Marina'!D30+'2 - Seaside'!D30+'2 - County'!D30+((1-'HSC 33482.78 PTs'!$L$4)*('2 - DRO'!D26)))</f>
        <v>604779.26010865241</v>
      </c>
      <c r="D32" s="80">
        <f>-('2 - Marina'!E30+'2 - Seaside'!E30+'2 - County'!E30+((1-'HSC 33482.78 PTs'!$L$4)*('2 - DRO'!E26)))</f>
        <v>869170.43824489007</v>
      </c>
      <c r="E32" s="80">
        <f>-('2 - Marina'!F30+'2 - Seaside'!F30+'2 - County'!F30+((1-'HSC 33482.78 PTs'!$L$4)*('2 - DRO'!F26)))</f>
        <v>1085871.15000521</v>
      </c>
      <c r="F32" s="80">
        <f>-('2 - Marina'!G30+'2 - Seaside'!G30+'2 - County'!G30+((1-'HSC 33482.78 PTs'!$L$4)*('2 - DRO'!G26)))</f>
        <v>1349268.4088993897</v>
      </c>
      <c r="G32" s="80">
        <f>-('2 - Marina'!H30+'2 - Seaside'!H30+'2 - County'!H30+((1-'HSC 33482.78 PTs'!$L$4)*('2 - DRO'!H26)))</f>
        <v>1607309.8314197597</v>
      </c>
      <c r="H32" s="80">
        <f>-('2 - Marina'!I30+'2 - Seaside'!I30+'2 - County'!I30+((1-'HSC 33482.78 PTs'!$L$4)*('2 - DRO'!I26)))</f>
        <v>1906875.6103805753</v>
      </c>
      <c r="I32" s="80">
        <f>-('2 - Marina'!J30+'2 - Seaside'!J30+'2 - County'!J30+((1-'HSC 33482.78 PTs'!$L$4)*('2 - DRO'!J26)))</f>
        <v>2048170.2224926737</v>
      </c>
      <c r="J32" s="80">
        <f>-('2 - Marina'!K30+'2 - Seaside'!K30+'2 - County'!K30+((1-'HSC 33482.78 PTs'!$L$4)*('2 - DRO'!K26)))</f>
        <v>2163853.017108677</v>
      </c>
      <c r="K32" s="80">
        <f>-('2 - Marina'!L30+'2 - Seaside'!L30+'2 - County'!L30+((1-'HSC 33482.78 PTs'!$L$4)*('2 - DRO'!L26)))</f>
        <v>2276982.2183871586</v>
      </c>
      <c r="L32" s="80">
        <f>-('2 - Marina'!M30+'2 - Seaside'!M30+'2 - County'!M30+((1-'HSC 33482.78 PTs'!$L$4)*('2 - DRO'!M26)))</f>
        <v>2379094.3940021908</v>
      </c>
      <c r="M32" s="80">
        <f>-('2 - Marina'!N30+'2 - Seaside'!N30+'2 - County'!N30+((1-'HSC 33482.78 PTs'!$L$4)*('2 - DRO'!N26)))</f>
        <v>2447937.0826564133</v>
      </c>
      <c r="N32" s="80">
        <f>-('2 - Marina'!O30+'2 - Seaside'!O30+'2 - County'!O30+((1-'HSC 33482.78 PTs'!$L$4)*('2 - DRO'!O26)))</f>
        <v>2510495.5915743946</v>
      </c>
      <c r="O32" s="80">
        <f>-('2 - Marina'!P30+'2 - Seaside'!P30+'2 - County'!P30+((1-'HSC 33482.78 PTs'!$L$4)*('2 - DRO'!P26)))</f>
        <v>2574305.2706707362</v>
      </c>
      <c r="P32" s="80">
        <f>-('2 - Marina'!Q30+'2 - Seaside'!Q30+'2 - County'!Q30+((1-'HSC 33482.78 PTs'!$L$4)*('2 - DRO'!Q26)))</f>
        <v>2639391.1433490044</v>
      </c>
      <c r="Q32" s="80">
        <f>-('2 - Marina'!R30+'2 - Seaside'!R30+'2 - County'!R30+((1-'HSC 33482.78 PTs'!$L$4)*('2 - DRO'!R26)))</f>
        <v>2705778.7334808391</v>
      </c>
      <c r="R32" s="80">
        <f>-('2 - Marina'!S30+'2 - Seaside'!S30+'2 - County'!S30+((1-'HSC 33482.78 PTs'!$L$4)*('2 - DRO'!S26)))</f>
        <v>2773494.0754153091</v>
      </c>
      <c r="S32" s="80">
        <f>-('2 - Marina'!T30+'2 - Seaside'!T30+'2 - County'!T30+((1-'HSC 33482.78 PTs'!$L$4)*('2 - DRO'!T26)))</f>
        <v>2842563.7241884684</v>
      </c>
      <c r="T32" s="80">
        <f>-('2 - Marina'!U30+'2 - Seaside'!U30+'2 - County'!U30+((1-'HSC 33482.78 PTs'!$L$4)*('2 - DRO'!U26)))</f>
        <v>2913014.7659370918</v>
      </c>
      <c r="U32" s="80">
        <f>-('2 - Marina'!V30+'2 - Seaside'!V30+'2 - County'!V30+((1-'HSC 33482.78 PTs'!$L$4)*('2 - DRO'!V26)))</f>
        <v>2984874.8285206868</v>
      </c>
      <c r="V32" s="80">
        <f>-('2 - Marina'!W30+'2 - Seaside'!W30+'2 - County'!W30+((1-'HSC 33482.78 PTs'!$L$4)*('2 - DRO'!W26)))</f>
        <v>3058172.0923559545</v>
      </c>
      <c r="W32" s="80">
        <f>-('2 - Marina'!X30+'2 - Seaside'!X30+'2 - County'!X30+((1-'HSC 33482.78 PTs'!$L$4)*('2 - DRO'!X26)))</f>
        <v>3132935.3014679272</v>
      </c>
      <c r="X32" s="80">
        <f>-('2 - Marina'!Y30+'2 - Seaside'!Y30+'2 - County'!Y30+((1-'HSC 33482.78 PTs'!$L$4)*('2 - DRO'!Y26)))</f>
        <v>3209193.7747621392</v>
      </c>
      <c r="Y32" s="80">
        <f>-('2 - Marina'!Z30+'2 - Seaside'!Z30+'2 - County'!Z30+((1-'HSC 33482.78 PTs'!$L$4)*('2 - DRO'!Z26)))</f>
        <v>3286977.4175222358</v>
      </c>
      <c r="Z32" s="80">
        <f>-('2 - Marina'!AA30+'2 - Seaside'!AA30+'2 - County'!AA30+((1-'HSC 33482.78 PTs'!$L$4)*('2 - DRO'!AA26)))</f>
        <v>3366316.733137534</v>
      </c>
      <c r="AA32" s="80">
        <f>-('2 - Marina'!AB30+'2 - Seaside'!AB30+'2 - County'!AB30+((1-'HSC 33482.78 PTs'!$L$4)*('2 - DRO'!AB26)))</f>
        <v>3447242.835065139</v>
      </c>
      <c r="AB32" s="80">
        <f>-('2 - Marina'!AC30+'2 - Seaside'!AC30+'2 - County'!AC30+((1-'HSC 33482.78 PTs'!$L$4)*('2 - DRO'!AC26)))</f>
        <v>3529787.459031295</v>
      </c>
      <c r="AC32" s="80">
        <f>-('2 - Marina'!AD30+'2 - Seaside'!AD30+'2 - County'!AD30+((1-'HSC 33482.78 PTs'!$L$4)*('2 - DRO'!AD26)))</f>
        <v>3613982.9754767744</v>
      </c>
      <c r="AD32" s="80">
        <f>-('2 - Marina'!AE30+'2 - Seaside'!AE30+'2 - County'!AE30+((1-'HSC 33482.78 PTs'!$L$4)*('2 - DRO'!AE26)))</f>
        <v>3699862.4022511635</v>
      </c>
      <c r="AE32" s="80">
        <f>-('2 - Marina'!AF30+'2 - Seaside'!AF30+'2 - County'!AF30+((1-'HSC 33482.78 PTs'!$L$4)*('2 - DRO'!AF26)))</f>
        <v>3787459.4175610407</v>
      </c>
    </row>
    <row r="33" spans="1:31" x14ac:dyDescent="0.25">
      <c r="A33" s="395" t="s">
        <v>219</v>
      </c>
      <c r="B33" s="80">
        <f>-('2 - Marina'!C31+'2 - Seaside'!C31+'2 - County'!C31+('HSC 33482.78 PTs'!$L$4*'2 - DRO'!C26))</f>
        <v>30552.978419842249</v>
      </c>
      <c r="C33" s="80">
        <f>-('2 - Marina'!D31+'2 - Seaside'!D31+'2 - County'!D31+('HSC 33482.78 PTs'!$L$4*'2 - DRO'!D26))</f>
        <v>65310.702343362078</v>
      </c>
      <c r="D33" s="80">
        <f>-('2 - Marina'!E31+'2 - Seaside'!E31+'2 - County'!E31+('HSC 33482.78 PTs'!$L$4*'2 - DRO'!E26))</f>
        <v>93862.848897778691</v>
      </c>
      <c r="E33" s="80">
        <f>-('2 - Marina'!F31+'2 - Seaside'!F31+'2 - County'!F31+('HSC 33482.78 PTs'!$L$4*'2 - DRO'!F26))</f>
        <v>117264.74294138944</v>
      </c>
      <c r="F33" s="80">
        <f>-('2 - Marina'!G31+'2 - Seaside'!G31+'2 - County'!G31+('HSC 33482.78 PTs'!$L$4*'2 - DRO'!G26))</f>
        <v>145709.60433858034</v>
      </c>
      <c r="G33" s="80">
        <f>-('2 - Marina'!H31+'2 - Seaside'!H31+'2 - County'!H31+('HSC 33482.78 PTs'!$L$4*'2 - DRO'!H26))</f>
        <v>173576.02068558676</v>
      </c>
      <c r="H33" s="80">
        <f>-('2 - Marina'!I31+'2 - Seaside'!I31+'2 - County'!I31+('HSC 33482.78 PTs'!$L$4*'2 - DRO'!I26))</f>
        <v>205926.72973267676</v>
      </c>
      <c r="I33" s="80">
        <f>-('2 - Marina'!J31+'2 - Seaside'!J31+'2 - County'!J31+('HSC 33482.78 PTs'!$L$4*'2 - DRO'!J26))</f>
        <v>221185.35208141364</v>
      </c>
      <c r="J33" s="80">
        <f>-('2 - Marina'!K31+'2 - Seaside'!K31+'2 - County'!K31+('HSC 33482.78 PTs'!$L$4*'2 - DRO'!K26))</f>
        <v>233678.18786443831</v>
      </c>
      <c r="K33" s="80">
        <f>-('2 - Marina'!L31+'2 - Seaside'!L31+'2 - County'!L31+('HSC 33482.78 PTs'!$L$4*'2 - DRO'!L26))</f>
        <v>245895.25494048477</v>
      </c>
      <c r="L33" s="80">
        <f>-('2 - Marina'!M31+'2 - Seaside'!M31+'2 - County'!M31+('HSC 33482.78 PTs'!$L$4*'2 - DRO'!M26))</f>
        <v>256922.56861507206</v>
      </c>
      <c r="M33" s="80">
        <f>-('2 - Marina'!N31+'2 - Seaside'!N31+'2 - County'!N31+('HSC 33482.78 PTs'!$L$4*'2 - DRO'!N26))</f>
        <v>264357.0374913516</v>
      </c>
      <c r="N33" s="80">
        <f>-('2 - Marina'!O31+'2 - Seaside'!O31+'2 - County'!O31+('HSC 33482.78 PTs'!$L$4*'2 - DRO'!O26))</f>
        <v>271112.85591939103</v>
      </c>
      <c r="O33" s="80">
        <f>-('2 - Marina'!P31+'2 - Seaside'!P31+'2 - County'!P31+('HSC 33482.78 PTs'!$L$4*'2 - DRO'!P26))</f>
        <v>278003.79071599117</v>
      </c>
      <c r="P33" s="80">
        <f>-('2 - Marina'!Q31+'2 - Seaside'!Q31+'2 - County'!Q31+('HSC 33482.78 PTs'!$L$4*'2 - DRO'!Q26))</f>
        <v>285032.54420852329</v>
      </c>
      <c r="Q33" s="80">
        <f>-('2 - Marina'!R31+'2 - Seaside'!R31+'2 - County'!R31+('HSC 33482.78 PTs'!$L$4*'2 - DRO'!R26))</f>
        <v>292201.87277090613</v>
      </c>
      <c r="R33" s="80">
        <f>-('2 - Marina'!S31+'2 - Seaside'!S31+'2 - County'!S31+('HSC 33482.78 PTs'!$L$4*'2 - DRO'!S26))</f>
        <v>299514.58790453657</v>
      </c>
      <c r="S33" s="80">
        <f>-('2 - Marina'!T31+'2 - Seaside'!T31+'2 - County'!T31+('HSC 33482.78 PTs'!$L$4*'2 - DRO'!T26))</f>
        <v>306973.5573408397</v>
      </c>
      <c r="T33" s="80">
        <f>-('2 - Marina'!U31+'2 - Seaside'!U31+'2 - County'!U31+('HSC 33482.78 PTs'!$L$4*'2 - DRO'!U26))</f>
        <v>314581.70616586879</v>
      </c>
      <c r="U33" s="80">
        <f>-('2 - Marina'!V31+'2 - Seaside'!V31+'2 - County'!V31+('HSC 33482.78 PTs'!$L$4*'2 - DRO'!V26))</f>
        <v>322342.01796739851</v>
      </c>
      <c r="V33" s="80">
        <f>-('2 - Marina'!W31+'2 - Seaside'!W31+'2 - County'!W31+('HSC 33482.78 PTs'!$L$4*'2 - DRO'!W26))</f>
        <v>330257.53600495891</v>
      </c>
      <c r="W33" s="80">
        <f>-('2 - Marina'!X31+'2 - Seaside'!X31+'2 - County'!X31+('HSC 33482.78 PTs'!$L$4*'2 - DRO'!X26))</f>
        <v>338331.3644032703</v>
      </c>
      <c r="X33" s="80">
        <f>-('2 - Marina'!Y31+'2 - Seaside'!Y31+'2 - County'!Y31+('HSC 33482.78 PTs'!$L$4*'2 - DRO'!Y26))</f>
        <v>346566.66936954809</v>
      </c>
      <c r="Y33" s="80">
        <f>-('2 - Marina'!Z31+'2 - Seaside'!Z31+'2 - County'!Z31+('HSC 33482.78 PTs'!$L$4*'2 - DRO'!Z26))</f>
        <v>354966.68043515144</v>
      </c>
      <c r="Z33" s="80">
        <f>-('2 - Marina'!AA31+'2 - Seaside'!AA31+'2 - County'!AA31+('HSC 33482.78 PTs'!$L$4*'2 - DRO'!AA26))</f>
        <v>363534.69172206678</v>
      </c>
      <c r="AA33" s="80">
        <f>-('2 - Marina'!AB31+'2 - Seaside'!AB31+'2 - County'!AB31+('HSC 33482.78 PTs'!$L$4*'2 - DRO'!AB26))</f>
        <v>372274.0632347205</v>
      </c>
      <c r="AB33" s="80">
        <f>-('2 - Marina'!AC31+'2 - Seaside'!AC31+'2 - County'!AC31+('HSC 33482.78 PTs'!$L$4*'2 - DRO'!AC26))</f>
        <v>381188.22217762726</v>
      </c>
      <c r="AC33" s="80">
        <f>-('2 - Marina'!AD31+'2 - Seaside'!AD31+'2 - County'!AD31+('HSC 33482.78 PTs'!$L$4*'2 - DRO'!AD26))</f>
        <v>390280.66429939208</v>
      </c>
      <c r="AD33" s="80">
        <f>-('2 - Marina'!AE31+'2 - Seaside'!AE31+'2 - County'!AE31+('HSC 33482.78 PTs'!$L$4*'2 - DRO'!AE26))</f>
        <v>399554.9552635923</v>
      </c>
      <c r="AE33" s="80">
        <f>-('2 - Marina'!AF31+'2 - Seaside'!AF31+'2 - County'!AF31+('HSC 33482.78 PTs'!$L$4*'2 - DRO'!AF26))</f>
        <v>409014.73204707651</v>
      </c>
    </row>
    <row r="34" spans="1:31" x14ac:dyDescent="0.25">
      <c r="A34" s="317" t="s">
        <v>282</v>
      </c>
    </row>
    <row r="35" spans="1:31" x14ac:dyDescent="0.25">
      <c r="A35" s="395" t="s">
        <v>218</v>
      </c>
      <c r="B35" s="80">
        <f>-('2 - Marina'!C34+'2 - Seaside'!C34+'2 - County'!C34+((1-'HSC 33482.78 PTs'!$L$5)*('2 - DRO'!C28)))</f>
        <v>0</v>
      </c>
      <c r="C35" s="80">
        <f>-('2 - Marina'!D34+'2 - Seaside'!D34+'2 - County'!D34+((1-'HSC 33482.78 PTs'!$L$5)*('2 - DRO'!D28)))</f>
        <v>0</v>
      </c>
      <c r="D35" s="80">
        <f>-('2 - Marina'!E34+'2 - Seaside'!E34+'2 - County'!E34+((1-'HSC 33482.78 PTs'!$L$5)*('2 - DRO'!E28)))</f>
        <v>0</v>
      </c>
      <c r="E35" s="80">
        <f>-('2 - Marina'!F34+'2 - Seaside'!F34+'2 - County'!F34+((1-'HSC 33482.78 PTs'!$L$5)*('2 - DRO'!F28)))</f>
        <v>0</v>
      </c>
      <c r="F35" s="80">
        <f>-('2 - Marina'!G34+'2 - Seaside'!G34+'2 - County'!G34+((1-'HSC 33482.78 PTs'!$L$5)*('2 - DRO'!G28)))</f>
        <v>0</v>
      </c>
      <c r="G35" s="80">
        <f>-('2 - Marina'!H34+'2 - Seaside'!H34+'2 - County'!H34+((1-'HSC 33482.78 PTs'!$L$5)*('2 - DRO'!H28)))</f>
        <v>0</v>
      </c>
      <c r="H35" s="80">
        <f>-('2 - Marina'!I34+'2 - Seaside'!I34+'2 - County'!I34+((1-'HSC 33482.78 PTs'!$L$5)*('2 - DRO'!I28)))</f>
        <v>0</v>
      </c>
      <c r="I35" s="80">
        <f>-('2 - Marina'!J34+'2 - Seaside'!J34+'2 - County'!J34+((1-'HSC 33482.78 PTs'!$L$5)*('2 - DRO'!J28)))</f>
        <v>0</v>
      </c>
      <c r="J35" s="80">
        <f>-('2 - Marina'!K34+'2 - Seaside'!K34+'2 - County'!K34+((1-'HSC 33482.78 PTs'!$L$5)*('2 - DRO'!K28)))</f>
        <v>0</v>
      </c>
      <c r="K35" s="80">
        <f>-('2 - Marina'!L34+'2 - Seaside'!L34+'2 - County'!L34+((1-'HSC 33482.78 PTs'!$L$5)*('2 - DRO'!L28)))</f>
        <v>0</v>
      </c>
      <c r="L35" s="80">
        <f>-('2 - Marina'!M34+'2 - Seaside'!M34+'2 - County'!M34+((1-'HSC 33482.78 PTs'!$L$5)*('2 - DRO'!M28)))</f>
        <v>29519.801355986921</v>
      </c>
      <c r="M35" s="80">
        <f>-('2 - Marina'!N34+'2 - Seaside'!N34+'2 - County'!N34+((1-'HSC 33482.78 PTs'!$L$5)*('2 - DRO'!N28)))</f>
        <v>36063.920617470314</v>
      </c>
      <c r="N35" s="80">
        <f>-('2 - Marina'!O34+'2 - Seaside'!O34+'2 - County'!O34+((1-'HSC 33482.78 PTs'!$L$5)*('2 - DRO'!O28)))</f>
        <v>66929.100050299254</v>
      </c>
      <c r="O35" s="80">
        <f>-('2 - Marina'!P34+'2 - Seaside'!P34+'2 - County'!P34+((1-'HSC 33482.78 PTs'!$L$5)*('2 - DRO'!P28)))</f>
        <v>98411.583071784698</v>
      </c>
      <c r="P35" s="80">
        <f>-('2 - Marina'!Q34+'2 - Seaside'!Q34+'2 - County'!Q34+((1-'HSC 33482.78 PTs'!$L$5)*('2 - DRO'!Q28)))</f>
        <v>130523.71575369986</v>
      </c>
      <c r="Q35" s="80">
        <f>-('2 - Marina'!R34+'2 - Seaside'!R34+'2 - County'!R34+((1-'HSC 33482.78 PTs'!$L$5)*('2 - DRO'!R28)))</f>
        <v>163278.09108925337</v>
      </c>
      <c r="R35" s="80">
        <f>-('2 - Marina'!S34+'2 - Seaside'!S34+'2 - County'!S34+((1-'HSC 33482.78 PTs'!$L$5)*('2 - DRO'!S28)))</f>
        <v>196687.55393151799</v>
      </c>
      <c r="S35" s="80">
        <f>-('2 - Marina'!T34+'2 - Seaside'!T34+'2 - County'!T34+((1-'HSC 33482.78 PTs'!$L$5)*('2 - DRO'!T28)))</f>
        <v>230765.20603062765</v>
      </c>
      <c r="T35" s="80">
        <f>-('2 - Marina'!U34+'2 - Seaside'!U34+'2 - County'!U34+((1-'HSC 33482.78 PTs'!$L$5)*('2 - DRO'!U28)))</f>
        <v>265524.4111717199</v>
      </c>
      <c r="U35" s="80">
        <f>-('2 - Marina'!V34+'2 - Seaside'!V34+'2 - County'!V34+((1-'HSC 33482.78 PTs'!$L$5)*('2 - DRO'!V28)))</f>
        <v>300978.80041563371</v>
      </c>
      <c r="V35" s="80">
        <f>-('2 - Marina'!W34+'2 - Seaside'!W34+'2 - County'!W34+((1-'HSC 33482.78 PTs'!$L$5)*('2 - DRO'!W28)))</f>
        <v>349843.64297247876</v>
      </c>
      <c r="W35" s="80">
        <f>-('2 - Marina'!X34+'2 - Seaside'!X34+'2 - County'!X34+((1-'HSC 33482.78 PTs'!$L$5)*('2 - DRO'!X28)))</f>
        <v>399685.7823804603</v>
      </c>
      <c r="X35" s="80">
        <f>-('2 - Marina'!Y34+'2 - Seaside'!Y34+'2 - County'!Y34+((1-'HSC 33482.78 PTs'!$L$5)*('2 - DRO'!Y28)))</f>
        <v>450524.76457660209</v>
      </c>
      <c r="Y35" s="80">
        <f>-('2 - Marina'!Z34+'2 - Seaside'!Z34+'2 - County'!Z34+((1-'HSC 33482.78 PTs'!$L$5)*('2 - DRO'!Z28)))</f>
        <v>502380.52641666634</v>
      </c>
      <c r="Z35" s="80">
        <f>-('2 - Marina'!AA34+'2 - Seaside'!AA34+'2 - County'!AA34+((1-'HSC 33482.78 PTs'!$L$5)*('2 - DRO'!AA28)))</f>
        <v>555273.40349353186</v>
      </c>
      <c r="AA35" s="80">
        <f>-('2 - Marina'!AB34+'2 - Seaside'!AB34+'2 - County'!AB34+((1-'HSC 33482.78 PTs'!$L$5)*('2 - DRO'!AB28)))</f>
        <v>609224.13811193476</v>
      </c>
      <c r="AB35" s="80">
        <f>-('2 - Marina'!AC34+'2 - Seaside'!AC34+'2 - County'!AC34+((1-'HSC 33482.78 PTs'!$L$5)*('2 - DRO'!AC28)))</f>
        <v>664253.88742270577</v>
      </c>
      <c r="AC35" s="80">
        <f>-('2 - Marina'!AD34+'2 - Seaside'!AD34+'2 - County'!AD34+((1-'HSC 33482.78 PTs'!$L$5)*('2 - DRO'!AD28)))</f>
        <v>720384.23171969189</v>
      </c>
      <c r="AD35" s="80">
        <f>-('2 - Marina'!AE34+'2 - Seaside'!AE34+'2 - County'!AE34+((1-'HSC 33482.78 PTs'!$L$5)*('2 - DRO'!AE28)))</f>
        <v>777637.18290261796</v>
      </c>
      <c r="AE35" s="80">
        <f>-('2 - Marina'!AF34+'2 - Seaside'!AF34+'2 - County'!AF34+((1-'HSC 33482.78 PTs'!$L$5)*('2 - DRO'!AF28)))</f>
        <v>836035.19310920243</v>
      </c>
    </row>
    <row r="36" spans="1:31" x14ac:dyDescent="0.25">
      <c r="A36" s="395" t="s">
        <v>219</v>
      </c>
      <c r="B36" s="80">
        <f>-('2 - Marina'!C35+'2 - Seaside'!C35+'2 - County'!C35+('HSC 33482.78 PTs'!$L$5*'2 - DRO'!C28))</f>
        <v>0</v>
      </c>
      <c r="C36" s="80">
        <f>-('2 - Marina'!D35+'2 - Seaside'!D35+'2 - County'!D35+('HSC 33482.78 PTs'!$L$5*'2 - DRO'!D28))</f>
        <v>0</v>
      </c>
      <c r="D36" s="80">
        <f>-('2 - Marina'!E35+'2 - Seaside'!E35+'2 - County'!E35+('HSC 33482.78 PTs'!$L$5*'2 - DRO'!E28))</f>
        <v>0</v>
      </c>
      <c r="E36" s="80">
        <f>-('2 - Marina'!F35+'2 - Seaside'!F35+'2 - County'!F35+('HSC 33482.78 PTs'!$L$5*'2 - DRO'!F28))</f>
        <v>0</v>
      </c>
      <c r="F36" s="80">
        <f>-('2 - Marina'!G35+'2 - Seaside'!G35+'2 - County'!G35+('HSC 33482.78 PTs'!$L$5*'2 - DRO'!G28))</f>
        <v>0</v>
      </c>
      <c r="G36" s="80">
        <f>-('2 - Marina'!H35+'2 - Seaside'!H35+'2 - County'!H35+('HSC 33482.78 PTs'!$L$5*'2 - DRO'!H28))</f>
        <v>0</v>
      </c>
      <c r="H36" s="80">
        <f>-('2 - Marina'!I35+'2 - Seaside'!I35+'2 - County'!I35+('HSC 33482.78 PTs'!$L$5*'2 - DRO'!I28))</f>
        <v>0</v>
      </c>
      <c r="I36" s="80">
        <f>-('2 - Marina'!J35+'2 - Seaside'!J35+'2 - County'!J35+('HSC 33482.78 PTs'!$L$5*'2 - DRO'!J28))</f>
        <v>0</v>
      </c>
      <c r="J36" s="80">
        <f>-('2 - Marina'!K35+'2 - Seaside'!K35+'2 - County'!K35+('HSC 33482.78 PTs'!$L$5*'2 - DRO'!K28))</f>
        <v>0</v>
      </c>
      <c r="K36" s="80">
        <f>-('2 - Marina'!L35+'2 - Seaside'!L35+'2 - County'!L35+('HSC 33482.78 PTs'!$L$5*'2 - DRO'!L28))</f>
        <v>0</v>
      </c>
      <c r="L36" s="80">
        <f>-('2 - Marina'!M35+'2 - Seaside'!M35+'2 - County'!M35+('HSC 33482.78 PTs'!$L$5*'2 - DRO'!M28))</f>
        <v>3187.9078619033112</v>
      </c>
      <c r="M36" s="80">
        <f>-('2 - Marina'!N35+'2 - Seaside'!N35+'2 - County'!N35+('HSC 33482.78 PTs'!$L$5*'2 - DRO'!N28))</f>
        <v>3894.6216026678562</v>
      </c>
      <c r="N36" s="80">
        <f>-('2 - Marina'!O35+'2 - Seaside'!O35+'2 - County'!O35+('HSC 33482.78 PTs'!$L$5*'2 - DRO'!O28))</f>
        <v>7227.786934890858</v>
      </c>
      <c r="O36" s="80">
        <f>-('2 - Marina'!P35+'2 - Seaside'!P35+'2 - County'!P35+('HSC 33482.78 PTs'!$L$5*'2 - DRO'!P28))</f>
        <v>10627.61557375831</v>
      </c>
      <c r="P36" s="80">
        <f>-('2 - Marina'!Q35+'2 - Seaside'!Q35+'2 - County'!Q35+('HSC 33482.78 PTs'!$L$5*'2 - DRO'!Q28))</f>
        <v>14095.440785403118</v>
      </c>
      <c r="Q36" s="80">
        <f>-('2 - Marina'!R35+'2 - Seaside'!R35+'2 - County'!R35+('HSC 33482.78 PTs'!$L$5*'2 - DRO'!R28))</f>
        <v>17632.622501280821</v>
      </c>
      <c r="R36" s="80">
        <f>-('2 - Marina'!S35+'2 - Seaside'!S35+'2 - County'!S35+('HSC 33482.78 PTs'!$L$5*'2 - DRO'!S28))</f>
        <v>21240.547851476083</v>
      </c>
      <c r="S36" s="80">
        <f>-('2 - Marina'!T35+'2 - Seaside'!T35+'2 - County'!T35+('HSC 33482.78 PTs'!$L$5*'2 - DRO'!T28))</f>
        <v>24920.631708675224</v>
      </c>
      <c r="T36" s="80">
        <f>-('2 - Marina'!U35+'2 - Seaside'!U35+'2 - County'!U35+('HSC 33482.78 PTs'!$L$5*'2 - DRO'!U28))</f>
        <v>28674.317243018391</v>
      </c>
      <c r="U36" s="80">
        <f>-('2 - Marina'!V35+'2 - Seaside'!V35+'2 - County'!V35+('HSC 33482.78 PTs'!$L$5*'2 - DRO'!V28))</f>
        <v>32503.076488048395</v>
      </c>
      <c r="V36" s="80">
        <f>-('2 - Marina'!W35+'2 - Seaside'!W35+'2 - County'!W35+('HSC 33482.78 PTs'!$L$5*'2 - DRO'!W28))</f>
        <v>37780.088513088616</v>
      </c>
      <c r="W36" s="80">
        <f>-('2 - Marina'!X35+'2 - Seaside'!X35+'2 - County'!X35+('HSC 33482.78 PTs'!$L$5*'2 - DRO'!X28))</f>
        <v>43162.640778629604</v>
      </c>
      <c r="X36" s="80">
        <f>-('2 - Marina'!Y35+'2 - Seaside'!Y35+'2 - County'!Y35+('HSC 33482.78 PTs'!$L$5*'2 - DRO'!Y28))</f>
        <v>48652.84408948147</v>
      </c>
      <c r="Y36" s="80">
        <f>-('2 - Marina'!Z35+'2 - Seaside'!Z35+'2 - County'!Z35+('HSC 33482.78 PTs'!$L$5*'2 - DRO'!Z28))</f>
        <v>54252.851466550346</v>
      </c>
      <c r="Z36" s="80">
        <f>-('2 - Marina'!AA35+'2 - Seaside'!AA35+'2 - County'!AA35+('HSC 33482.78 PTs'!$L$5*'2 - DRO'!AA28))</f>
        <v>59964.858991160596</v>
      </c>
      <c r="AA36" s="80">
        <f>-('2 - Marina'!AB35+'2 - Seaside'!AB35+'2 - County'!AB35+('HSC 33482.78 PTs'!$L$5*'2 - DRO'!AB28))</f>
        <v>65791.106666263047</v>
      </c>
      <c r="AB36" s="80">
        <f>-('2 - Marina'!AC35+'2 - Seaside'!AC35+'2 - County'!AC35+('HSC 33482.78 PTs'!$L$5*'2 - DRO'!AC28))</f>
        <v>71733.879294867555</v>
      </c>
      <c r="AC36" s="80">
        <f>-('2 - Marina'!AD35+'2 - Seaside'!AD35+'2 - County'!AD35+('HSC 33482.78 PTs'!$L$5*'2 - DRO'!AD28))</f>
        <v>77795.50737604413</v>
      </c>
      <c r="AD36" s="80">
        <f>-('2 - Marina'!AE35+'2 - Seaside'!AE35+'2 - County'!AE35+('HSC 33482.78 PTs'!$L$5*'2 - DRO'!AE28))</f>
        <v>83978.368018844267</v>
      </c>
      <c r="AE36" s="80">
        <f>-('2 - Marina'!AF35+'2 - Seaside'!AF35+'2 - County'!AF35+('HSC 33482.78 PTs'!$L$5*'2 - DRO'!AF28))</f>
        <v>90284.885874500367</v>
      </c>
    </row>
    <row r="37" spans="1:31" x14ac:dyDescent="0.25"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</row>
    <row r="38" spans="1:31" x14ac:dyDescent="0.25">
      <c r="A38" s="396" t="s">
        <v>337</v>
      </c>
      <c r="B38" s="80">
        <f>SUM(B29,B32,B35)</f>
        <v>1429249.9797435307</v>
      </c>
      <c r="C38" s="80">
        <f t="shared" ref="C38:AE38" si="32">SUM(C29,C32,C35)</f>
        <v>2134264.5260030981</v>
      </c>
      <c r="D38" s="80">
        <f t="shared" si="32"/>
        <v>2713407.1066824757</v>
      </c>
      <c r="E38" s="80">
        <f t="shared" si="32"/>
        <v>3188084.8562527001</v>
      </c>
      <c r="F38" s="80">
        <f t="shared" si="32"/>
        <v>3765050.2804970942</v>
      </c>
      <c r="G38" s="80">
        <f t="shared" si="32"/>
        <v>4330283.87268457</v>
      </c>
      <c r="H38" s="80">
        <f t="shared" si="32"/>
        <v>4986475.5789796906</v>
      </c>
      <c r="I38" s="80">
        <f t="shared" si="32"/>
        <v>5295978.0626538107</v>
      </c>
      <c r="J38" s="80">
        <f t="shared" si="32"/>
        <v>5549378.4699079134</v>
      </c>
      <c r="K38" s="80">
        <f t="shared" si="32"/>
        <v>5797185.2917560162</v>
      </c>
      <c r="L38" s="80">
        <f t="shared" si="32"/>
        <v>6050379.3825544538</v>
      </c>
      <c r="M38" s="80">
        <f t="shared" si="32"/>
        <v>6207721.7722013779</v>
      </c>
      <c r="N38" s="80">
        <f t="shared" si="32"/>
        <v>6375619.8759307386</v>
      </c>
      <c r="O38" s="80">
        <f t="shared" si="32"/>
        <v>6546875.9417346846</v>
      </c>
      <c r="P38" s="80">
        <f t="shared" si="32"/>
        <v>6721557.1288547115</v>
      </c>
      <c r="Q38" s="80">
        <f t="shared" si="32"/>
        <v>6899731.939717141</v>
      </c>
      <c r="R38" s="80">
        <f t="shared" si="32"/>
        <v>7081470.2467968166</v>
      </c>
      <c r="S38" s="80">
        <f t="shared" si="32"/>
        <v>7266843.3200180847</v>
      </c>
      <c r="T38" s="80">
        <f t="shared" si="32"/>
        <v>7455923.8547037803</v>
      </c>
      <c r="U38" s="80">
        <f t="shared" si="32"/>
        <v>7648786.0000831876</v>
      </c>
      <c r="V38" s="80">
        <f t="shared" si="32"/>
        <v>7858206.7538982378</v>
      </c>
      <c r="W38" s="80">
        <f t="shared" si="32"/>
        <v>8071815.9227895886</v>
      </c>
      <c r="X38" s="80">
        <f t="shared" si="32"/>
        <v>8289697.2750587659</v>
      </c>
      <c r="Y38" s="80">
        <f t="shared" si="32"/>
        <v>8511936.2543733269</v>
      </c>
      <c r="Z38" s="80">
        <f t="shared" si="32"/>
        <v>8738620.0132741798</v>
      </c>
      <c r="AA38" s="80">
        <f t="shared" si="32"/>
        <v>8969837.4473530483</v>
      </c>
      <c r="AB38" s="80">
        <f t="shared" si="32"/>
        <v>9205679.230113497</v>
      </c>
      <c r="AC38" s="80">
        <f t="shared" si="32"/>
        <v>9446237.8485291526</v>
      </c>
      <c r="AD38" s="80">
        <f t="shared" si="32"/>
        <v>9691607.6393131204</v>
      </c>
      <c r="AE38" s="80">
        <f t="shared" si="32"/>
        <v>9941884.8259127699</v>
      </c>
    </row>
    <row r="39" spans="1:31" x14ac:dyDescent="0.25">
      <c r="A39" s="396" t="s">
        <v>328</v>
      </c>
      <c r="B39" s="402">
        <f>NPV(Assumptions!D4,'HSC 33482.78 PTs'!C38:AE38)+'HSC 33482.78 PTs'!B38</f>
        <v>97718616.36496906</v>
      </c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</row>
    <row r="40" spans="1:31" x14ac:dyDescent="0.25">
      <c r="A40" s="396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</row>
    <row r="41" spans="1:31" x14ac:dyDescent="0.25">
      <c r="A41" s="396" t="s">
        <v>338</v>
      </c>
      <c r="B41" s="80">
        <f>SUM(B30,B33,B36)</f>
        <v>154346.86214657986</v>
      </c>
      <c r="C41" s="80">
        <f>SUM(C30,C33,C36)</f>
        <v>230482.82883619471</v>
      </c>
      <c r="D41" s="80">
        <f>SUM(D30,D33,D36)</f>
        <v>293025.62605063105</v>
      </c>
      <c r="E41" s="80">
        <f t="shared" ref="E41:AE41" si="33">SUM(E30,E33,E36)</f>
        <v>344286.91776520701</v>
      </c>
      <c r="F41" s="80">
        <f t="shared" si="33"/>
        <v>406594.70939714898</v>
      </c>
      <c r="G41" s="80">
        <f t="shared" si="33"/>
        <v>467635.43091916316</v>
      </c>
      <c r="H41" s="80">
        <f t="shared" si="33"/>
        <v>538498.8888318364</v>
      </c>
      <c r="I41" s="80">
        <f t="shared" si="33"/>
        <v>571922.5377862124</v>
      </c>
      <c r="J41" s="80">
        <f t="shared" si="33"/>
        <v>599287.79712045693</v>
      </c>
      <c r="K41" s="80">
        <f t="shared" si="33"/>
        <v>626048.99166798731</v>
      </c>
      <c r="L41" s="80">
        <f t="shared" si="33"/>
        <v>653391.96757898654</v>
      </c>
      <c r="M41" s="80">
        <f t="shared" si="33"/>
        <v>670383.70838207775</v>
      </c>
      <c r="N41" s="80">
        <f t="shared" si="33"/>
        <v>688515.33312810131</v>
      </c>
      <c r="O41" s="80">
        <f t="shared" si="33"/>
        <v>707009.59036904527</v>
      </c>
      <c r="P41" s="80">
        <f t="shared" si="33"/>
        <v>725873.73275480815</v>
      </c>
      <c r="Q41" s="80">
        <f t="shared" si="33"/>
        <v>745115.15798828634</v>
      </c>
      <c r="R41" s="80">
        <f t="shared" si="33"/>
        <v>764741.41172643402</v>
      </c>
      <c r="S41" s="80">
        <f t="shared" si="33"/>
        <v>784760.19053934456</v>
      </c>
      <c r="T41" s="80">
        <f t="shared" si="33"/>
        <v>805179.34492851363</v>
      </c>
      <c r="U41" s="80">
        <f t="shared" si="33"/>
        <v>826006.88240546582</v>
      </c>
      <c r="V41" s="80">
        <f t="shared" si="33"/>
        <v>848622.64822706685</v>
      </c>
      <c r="W41" s="80">
        <f t="shared" si="33"/>
        <v>871690.72936509945</v>
      </c>
      <c r="X41" s="80">
        <f t="shared" si="33"/>
        <v>895220.1721258933</v>
      </c>
      <c r="Y41" s="80">
        <f t="shared" si="33"/>
        <v>919220.20374190283</v>
      </c>
      <c r="Z41" s="80">
        <f t="shared" si="33"/>
        <v>943700.23599023232</v>
      </c>
      <c r="AA41" s="80">
        <f t="shared" si="33"/>
        <v>968669.86888352863</v>
      </c>
      <c r="AB41" s="80">
        <f t="shared" si="33"/>
        <v>994138.89443469059</v>
      </c>
      <c r="AC41" s="80">
        <f t="shared" si="33"/>
        <v>1020117.3004968761</v>
      </c>
      <c r="AD41" s="80">
        <f t="shared" si="33"/>
        <v>1046615.2746803052</v>
      </c>
      <c r="AE41" s="80">
        <f t="shared" si="33"/>
        <v>1073643.2083474027</v>
      </c>
    </row>
    <row r="42" spans="1:31" x14ac:dyDescent="0.25">
      <c r="A42" s="396" t="s">
        <v>329</v>
      </c>
      <c r="B42" s="402">
        <f>NPV(Assumptions!D$4,'HSC 33482.78 PTs'!C41:AE41)+'HSC 33482.78 PTs'!B41</f>
        <v>10552816.912101246</v>
      </c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</row>
    <row r="43" spans="1:31" x14ac:dyDescent="0.25"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</row>
    <row r="44" spans="1:31" ht="15.75" x14ac:dyDescent="0.25">
      <c r="A44" s="29" t="str">
        <f>'3 - Marina'!A2</f>
        <v>Scenario 3 - Assumes FORA Extension through 6/30/2022 and Bond Issuance</v>
      </c>
    </row>
    <row r="45" spans="1:31" x14ac:dyDescent="0.25">
      <c r="B45" s="442" t="s">
        <v>59</v>
      </c>
      <c r="C45" s="442"/>
      <c r="D45" s="442"/>
      <c r="E45" s="442"/>
      <c r="F45" s="454" t="s">
        <v>60</v>
      </c>
      <c r="G45" s="454"/>
      <c r="H45" s="454"/>
      <c r="I45" s="454"/>
      <c r="J45" s="454"/>
      <c r="K45" s="454"/>
      <c r="L45" s="454"/>
      <c r="M45" s="454"/>
      <c r="N45" s="403"/>
      <c r="O45" s="403"/>
      <c r="P45" s="403"/>
      <c r="Q45" s="403"/>
      <c r="R45" s="404"/>
      <c r="S45" s="404"/>
      <c r="T45" s="404"/>
      <c r="U45" s="404"/>
      <c r="V45" s="404"/>
      <c r="W45" s="404"/>
      <c r="X45" s="404"/>
      <c r="Y45" s="404"/>
      <c r="Z45" s="404"/>
      <c r="AA45" s="404"/>
      <c r="AB45" s="404"/>
      <c r="AC45" s="404"/>
      <c r="AD45" s="404"/>
      <c r="AE45" s="404"/>
    </row>
    <row r="46" spans="1:31" x14ac:dyDescent="0.25">
      <c r="B46" s="339">
        <v>201819</v>
      </c>
      <c r="C46" s="339">
        <f t="shared" ref="C46:AE46" si="34">B46+101</f>
        <v>201920</v>
      </c>
      <c r="D46" s="339">
        <f t="shared" si="34"/>
        <v>202021</v>
      </c>
      <c r="E46" s="339">
        <f t="shared" si="34"/>
        <v>202122</v>
      </c>
      <c r="F46" s="405">
        <f t="shared" si="34"/>
        <v>202223</v>
      </c>
      <c r="G46" s="405">
        <f t="shared" si="34"/>
        <v>202324</v>
      </c>
      <c r="H46" s="405">
        <f t="shared" si="34"/>
        <v>202425</v>
      </c>
      <c r="I46" s="405">
        <f t="shared" si="34"/>
        <v>202526</v>
      </c>
      <c r="J46" s="405">
        <f>I46+101</f>
        <v>202627</v>
      </c>
      <c r="K46" s="405">
        <f t="shared" si="34"/>
        <v>202728</v>
      </c>
      <c r="L46" s="405">
        <f t="shared" si="34"/>
        <v>202829</v>
      </c>
      <c r="M46" s="405">
        <f t="shared" si="34"/>
        <v>202930</v>
      </c>
      <c r="N46" s="405">
        <f t="shared" si="34"/>
        <v>203031</v>
      </c>
      <c r="O46" s="405">
        <f t="shared" si="34"/>
        <v>203132</v>
      </c>
      <c r="P46" s="405">
        <f t="shared" si="34"/>
        <v>203233</v>
      </c>
      <c r="Q46" s="405">
        <f t="shared" si="34"/>
        <v>203334</v>
      </c>
      <c r="R46" s="405">
        <f t="shared" si="34"/>
        <v>203435</v>
      </c>
      <c r="S46" s="405">
        <f t="shared" si="34"/>
        <v>203536</v>
      </c>
      <c r="T46" s="405">
        <f t="shared" si="34"/>
        <v>203637</v>
      </c>
      <c r="U46" s="405">
        <f t="shared" si="34"/>
        <v>203738</v>
      </c>
      <c r="V46" s="405">
        <f t="shared" si="34"/>
        <v>203839</v>
      </c>
      <c r="W46" s="405">
        <f t="shared" si="34"/>
        <v>203940</v>
      </c>
      <c r="X46" s="405">
        <f t="shared" si="34"/>
        <v>204041</v>
      </c>
      <c r="Y46" s="405">
        <f t="shared" si="34"/>
        <v>204142</v>
      </c>
      <c r="Z46" s="405">
        <f t="shared" si="34"/>
        <v>204243</v>
      </c>
      <c r="AA46" s="405">
        <f t="shared" si="34"/>
        <v>204344</v>
      </c>
      <c r="AB46" s="405">
        <f t="shared" si="34"/>
        <v>204445</v>
      </c>
      <c r="AC46" s="405">
        <f t="shared" si="34"/>
        <v>204546</v>
      </c>
      <c r="AD46" s="405">
        <f t="shared" si="34"/>
        <v>204647</v>
      </c>
      <c r="AE46" s="405">
        <f t="shared" si="34"/>
        <v>204748</v>
      </c>
    </row>
    <row r="47" spans="1:31" x14ac:dyDescent="0.25">
      <c r="A47" s="19" t="s">
        <v>220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</row>
    <row r="48" spans="1:31" x14ac:dyDescent="0.25">
      <c r="A48" s="395" t="s">
        <v>218</v>
      </c>
      <c r="B48" s="80">
        <f>-('3 - Marina'!C26+'3 - Seaside'!C26+'3 - County'!C26+((1-'HSC 33482.78 PTs'!$L$3)*('3 - DRO'!C25)))</f>
        <v>1146325.1864055502</v>
      </c>
      <c r="C48" s="80">
        <f>-('3 - Marina'!D26+'3 - Seaside'!D26+'3 - County'!D26+((1-'HSC 33482.78 PTs'!$L$3)*('3 - DRO'!D25)))</f>
        <v>1529485.2658944456</v>
      </c>
      <c r="D48" s="80">
        <f>-('3 - Marina'!E26+'3 - Seaside'!E26+'3 - County'!E26+((1-'HSC 33482.78 PTs'!$L$3)*('3 - DRO'!E25)))</f>
        <v>1874971.2097676154</v>
      </c>
      <c r="E48" s="80">
        <f>-('3 - Marina'!F26+'3 - Seaside'!F26+'3 - County'!F26+((1-'HSC 33482.78 PTs'!$L$3)*('3 - DRO'!F25)))</f>
        <v>2368987.2664970844</v>
      </c>
      <c r="F48" s="80">
        <f>-('3 - Marina'!G26+'3 - Seaside'!G26+'3 - County'!G26+((1-'HSC 33482.78 PTs'!$L$3)*('3 - DRO'!G25)))</f>
        <v>2761919.4969942071</v>
      </c>
      <c r="G48" s="80">
        <f>-('3 - Marina'!H26+'3 - Seaside'!H26+'3 - County'!H26+((1-'HSC 33482.78 PTs'!$L$3)*('3 - DRO'!H25)))</f>
        <v>3162888.9143799427</v>
      </c>
      <c r="H48" s="80">
        <f>-('3 - Marina'!I26+'3 - Seaside'!I26+'3 - County'!I26+((1-'HSC 33482.78 PTs'!$L$3)*('3 - DRO'!I25)))</f>
        <v>3592875.5378424693</v>
      </c>
      <c r="I48" s="80">
        <f>-('3 - Marina'!J26+'3 - Seaside'!J26+'3 - County'!J26+((1-'HSC 33482.78 PTs'!$L$3)*('3 - DRO'!J25)))</f>
        <v>3903621.0894426089</v>
      </c>
      <c r="J48" s="80">
        <f>-('3 - Marina'!K26+'3 - Seaside'!K26+'3 - County'!K26+((1-'HSC 33482.78 PTs'!$L$3)*('3 - DRO'!K25)))</f>
        <v>4163506.9143706476</v>
      </c>
      <c r="K48" s="80">
        <f>-('3 - Marina'!L26+'3 - Seaside'!L26+'3 - County'!L26+((1-'HSC 33482.78 PTs'!$L$3)*('3 - DRO'!L25)))</f>
        <v>4388445.8673232934</v>
      </c>
      <c r="L48" s="80">
        <f>-('3 - Marina'!M26+'3 - Seaside'!M26+'3 - County'!M26+((1-'HSC 33482.78 PTs'!$L$3)*('3 - DRO'!M25)))</f>
        <v>4624863.1082298011</v>
      </c>
      <c r="M48" s="80">
        <f>-('3 - Marina'!N26+'3 - Seaside'!N26+'3 - County'!N26+((1-'HSC 33482.78 PTs'!$L$3)*('3 - DRO'!N25)))</f>
        <v>4823926.4115943965</v>
      </c>
      <c r="N48" s="80">
        <f>-('3 - Marina'!O26+'3 - Seaside'!O26+'3 - County'!O26+((1-'HSC 33482.78 PTs'!$L$3)*('3 - DRO'!O25)))</f>
        <v>4920404.9398262845</v>
      </c>
      <c r="O48" s="80">
        <f>-('3 - Marina'!P26+'3 - Seaside'!P26+'3 - County'!P26+((1-'HSC 33482.78 PTs'!$L$3)*('3 - DRO'!P25)))</f>
        <v>5018813.0386228114</v>
      </c>
      <c r="P48" s="80">
        <f>-('3 - Marina'!Q26+'3 - Seaside'!Q26+'3 - County'!Q26+((1-'HSC 33482.78 PTs'!$L$3)*('3 - DRO'!Q25)))</f>
        <v>5119189.2993952669</v>
      </c>
      <c r="Q48" s="80">
        <f>-('3 - Marina'!R26+'3 - Seaside'!R26+'3 - County'!R26+((1-'HSC 33482.78 PTs'!$L$3)*('3 - DRO'!R25)))</f>
        <v>5221573.0853831721</v>
      </c>
      <c r="R48" s="80">
        <f>-('3 - Marina'!S26+'3 - Seaside'!S26+'3 - County'!S26+((1-'HSC 33482.78 PTs'!$L$3)*('3 - DRO'!S25)))</f>
        <v>5326004.5470908368</v>
      </c>
      <c r="S48" s="80">
        <f>-('3 - Marina'!T26+'3 - Seaside'!T26+'3 - County'!T26+((1-'HSC 33482.78 PTs'!$L$3)*('3 - DRO'!T25)))</f>
        <v>5432524.6380326534</v>
      </c>
      <c r="T48" s="80">
        <f>-('3 - Marina'!U26+'3 - Seaside'!U26+'3 - County'!U26+((1-'HSC 33482.78 PTs'!$L$3)*('3 - DRO'!U25)))</f>
        <v>5541175.1307933051</v>
      </c>
      <c r="U48" s="80">
        <f>-('3 - Marina'!V26+'3 - Seaside'!V26+'3 - County'!V26+((1-'HSC 33482.78 PTs'!$L$3)*('3 - DRO'!V25)))</f>
        <v>5651998.6334091723</v>
      </c>
      <c r="V48" s="80">
        <f>-('3 - Marina'!W26+'3 - Seaside'!W26+'3 - County'!W26+((1-'HSC 33482.78 PTs'!$L$3)*('3 - DRO'!W25)))</f>
        <v>5765038.6060773563</v>
      </c>
      <c r="W48" s="80">
        <f>-('3 - Marina'!X26+'3 - Seaside'!X26+'3 - County'!X26+((1-'HSC 33482.78 PTs'!$L$3)*('3 - DRO'!X25)))</f>
        <v>5880339.3781989031</v>
      </c>
      <c r="X48" s="80">
        <f>-('3 - Marina'!Y26+'3 - Seaside'!Y26+'3 - County'!Y26+((1-'HSC 33482.78 PTs'!$L$3)*('3 - DRO'!Y25)))</f>
        <v>5997946.1657628808</v>
      </c>
      <c r="Y48" s="80">
        <f>-('3 - Marina'!Z26+'3 - Seaside'!Z26+'3 - County'!Z26+((1-'HSC 33482.78 PTs'!$L$3)*('3 - DRO'!Z25)))</f>
        <v>6117905.0890781386</v>
      </c>
      <c r="Z48" s="80">
        <f>-('3 - Marina'!AA26+'3 - Seaside'!AA26+'3 - County'!AA26+((1-'HSC 33482.78 PTs'!$L$3)*('3 - DRO'!AA25)))</f>
        <v>6240263.1908597006</v>
      </c>
      <c r="AA48" s="80">
        <f>-('3 - Marina'!AB26+'3 - Seaside'!AB26+'3 - County'!AB26+((1-'HSC 33482.78 PTs'!$L$3)*('3 - DRO'!AB25)))</f>
        <v>6365068.4546768935</v>
      </c>
      <c r="AB48" s="80">
        <f>-('3 - Marina'!AC26+'3 - Seaside'!AC26+'3 - County'!AC26+((1-'HSC 33482.78 PTs'!$L$3)*('3 - DRO'!AC25)))</f>
        <v>6492369.8237704327</v>
      </c>
      <c r="AC48" s="80">
        <f>-('3 - Marina'!AD26+'3 - Seaside'!AD26+'3 - County'!AD26+((1-'HSC 33482.78 PTs'!$L$3)*('3 - DRO'!AD25)))</f>
        <v>6622217.22024584</v>
      </c>
      <c r="AD48" s="80">
        <f>-('3 - Marina'!AE26+'3 - Seaside'!AE26+'3 - County'!AE26+((1-'HSC 33482.78 PTs'!$L$3)*('3 - DRO'!AE25)))</f>
        <v>6754661.5646507572</v>
      </c>
      <c r="AE48" s="80">
        <f>-('3 - Marina'!AF26+'3 - Seaside'!AF26+'3 - County'!AF26+((1-'HSC 33482.78 PTs'!$L$3)*('3 - DRO'!AF25)))</f>
        <v>6889754.7959437734</v>
      </c>
    </row>
    <row r="49" spans="1:31" x14ac:dyDescent="0.25">
      <c r="A49" s="395" t="s">
        <v>219</v>
      </c>
      <c r="B49" s="80">
        <f>-('3 - Marina'!C27+'3 - Seaside'!C27+'3 - County'!C27+('HSC 33482.78 PTs'!$L$3*'3 - DRO'!C25))</f>
        <v>123793.88372673761</v>
      </c>
      <c r="C49" s="80">
        <f>-('3 - Marina'!D27+'3 - Seaside'!D27+'3 - County'!D27+('HSC 33482.78 PTs'!$L$3*'3 - DRO'!D25))</f>
        <v>165172.12649283264</v>
      </c>
      <c r="D49" s="80">
        <f>-('3 - Marina'!E27+'3 - Seaside'!E27+'3 - County'!E27+('HSC 33482.78 PTs'!$L$3*'3 - DRO'!E25))</f>
        <v>202481.60239399361</v>
      </c>
      <c r="E49" s="80">
        <f>-('3 - Marina'!F27+'3 - Seaside'!F27+'3 - County'!F27+('HSC 33482.78 PTs'!$L$3*'3 - DRO'!F25))</f>
        <v>255831.09060525056</v>
      </c>
      <c r="F49" s="80">
        <f>-('3 - Marina'!G27+'3 - Seaside'!G27+'3 - County'!G27+('HSC 33482.78 PTs'!$L$3*'3 - DRO'!G25))</f>
        <v>298264.4459186985</v>
      </c>
      <c r="G49" s="80">
        <f>-('3 - Marina'!H27+'3 - Seaside'!H27+'3 - County'!H27+('HSC 33482.78 PTs'!$L$3*'3 - DRO'!H25))</f>
        <v>341565.77033326769</v>
      </c>
      <c r="H49" s="80">
        <f>-('3 - Marina'!I27+'3 - Seaside'!I27+'3 - County'!I27+('HSC 33482.78 PTs'!$L$3*'3 - DRO'!I25))</f>
        <v>388000.62333905208</v>
      </c>
      <c r="I49" s="80">
        <f>-('3 - Marina'!J27+'3 - Seaside'!J27+'3 - County'!J27+('HSC 33482.78 PTs'!$L$3*'3 - DRO'!J25))</f>
        <v>421558.22905259032</v>
      </c>
      <c r="J49" s="80">
        <f>-('3 - Marina'!K27+'3 - Seaside'!K27+'3 - County'!K27+('HSC 33482.78 PTs'!$L$3*'3 - DRO'!K25))</f>
        <v>449623.61069406214</v>
      </c>
      <c r="K49" s="80">
        <f>-('3 - Marina'!L27+'3 - Seaside'!L27+'3 - County'!L27+('HSC 33482.78 PTs'!$L$3*'3 - DRO'!L25))</f>
        <v>473915.14934251137</v>
      </c>
      <c r="L49" s="80">
        <f>-('3 - Marina'!M27+'3 - Seaside'!M27+'3 - County'!M27+('HSC 33482.78 PTs'!$L$3*'3 - DRO'!M25))</f>
        <v>499446.42428932013</v>
      </c>
      <c r="M49" s="80">
        <f>-('3 - Marina'!N27+'3 - Seaside'!N27+'3 - County'!N27+('HSC 33482.78 PTs'!$L$3*'3 - DRO'!N25))</f>
        <v>520943.7670951066</v>
      </c>
      <c r="N49" s="80">
        <f>-('3 - Marina'!O27+'3 - Seaside'!O27+'3 - County'!O27+('HSC 33482.78 PTs'!$L$3*'3 - DRO'!O25))</f>
        <v>531362.64243700868</v>
      </c>
      <c r="O49" s="80">
        <f>-('3 - Marina'!P27+'3 - Seaside'!P27+'3 - County'!P27+('HSC 33482.78 PTs'!$L$3*'3 - DRO'!P25))</f>
        <v>541989.89528574899</v>
      </c>
      <c r="P49" s="80">
        <f>-('3 - Marina'!Q27+'3 - Seaside'!Q27+'3 - County'!Q27+('HSC 33482.78 PTs'!$L$3*'3 - DRO'!Q25))</f>
        <v>552829.69319146394</v>
      </c>
      <c r="Q49" s="80">
        <f>-('3 - Marina'!R27+'3 - Seaside'!R27+'3 - County'!R27+('HSC 33482.78 PTs'!$L$3*'3 - DRO'!R25))</f>
        <v>563886.28705529321</v>
      </c>
      <c r="R49" s="80">
        <f>-('3 - Marina'!S27+'3 - Seaside'!S27+'3 - County'!S27+('HSC 33482.78 PTs'!$L$3*'3 - DRO'!S25))</f>
        <v>575164.01279639907</v>
      </c>
      <c r="S49" s="80">
        <f>-('3 - Marina'!T27+'3 - Seaside'!T27+'3 - County'!T27+('HSC 33482.78 PTs'!$L$3*'3 - DRO'!T25))</f>
        <v>586667.293052327</v>
      </c>
      <c r="T49" s="80">
        <f>-('3 - Marina'!U27+'3 - Seaside'!U27+'3 - County'!U27+('HSC 33482.78 PTs'!$L$3*'3 - DRO'!U25))</f>
        <v>598400.63891337358</v>
      </c>
      <c r="U49" s="80">
        <f>-('3 - Marina'!V27+'3 - Seaside'!V27+'3 - County'!V27+('HSC 33482.78 PTs'!$L$3*'3 - DRO'!V25))</f>
        <v>610368.65169164096</v>
      </c>
      <c r="V49" s="80">
        <f>-('3 - Marina'!W27+'3 - Seaside'!W27+'3 - County'!W27+('HSC 33482.78 PTs'!$L$3*'3 - DRO'!W25))</f>
        <v>622576.02472547395</v>
      </c>
      <c r="W49" s="80">
        <f>-('3 - Marina'!X27+'3 - Seaside'!X27+'3 - County'!X27+('HSC 33482.78 PTs'!$L$3*'3 - DRO'!X25))</f>
        <v>635027.54521998332</v>
      </c>
      <c r="X49" s="80">
        <f>-('3 - Marina'!Y27+'3 - Seaside'!Y27+'3 - County'!Y27+('HSC 33482.78 PTs'!$L$3*'3 - DRO'!Y25))</f>
        <v>647728.09612438304</v>
      </c>
      <c r="Y49" s="80">
        <f>-('3 - Marina'!Z27+'3 - Seaside'!Z27+'3 - County'!Z27+('HSC 33482.78 PTs'!$L$3*'3 - DRO'!Z25))</f>
        <v>660682.65804687073</v>
      </c>
      <c r="Z49" s="80">
        <f>-('3 - Marina'!AA27+'3 - Seaside'!AA27+'3 - County'!AA27+('HSC 33482.78 PTs'!$L$3*'3 - DRO'!AA25))</f>
        <v>673896.31120780809</v>
      </c>
      <c r="AA49" s="80">
        <f>-('3 - Marina'!AB27+'3 - Seaside'!AB27+'3 - County'!AB27+('HSC 33482.78 PTs'!$L$3*'3 - DRO'!AB25))</f>
        <v>687374.23743196414</v>
      </c>
      <c r="AB49" s="80">
        <f>-('3 - Marina'!AC27+'3 - Seaside'!AC27+'3 - County'!AC27+('HSC 33482.78 PTs'!$L$3*'3 - DRO'!AC25))</f>
        <v>701121.72218060354</v>
      </c>
      <c r="AC49" s="80">
        <f>-('3 - Marina'!AD27+'3 - Seaside'!AD27+'3 - County'!AD27+('HSC 33482.78 PTs'!$L$3*'3 - DRO'!AD25))</f>
        <v>715144.15662421542</v>
      </c>
      <c r="AD49" s="80">
        <f>-('3 - Marina'!AE27+'3 - Seaside'!AE27+'3 - County'!AE27+('HSC 33482.78 PTs'!$L$3*'3 - DRO'!AE25))</f>
        <v>729447.03975669981</v>
      </c>
      <c r="AE49" s="80">
        <f>-('3 - Marina'!AF27+'3 - Seaside'!AF27+'3 - County'!AF27+('HSC 33482.78 PTs'!$L$3*'3 - DRO'!AF25))</f>
        <v>744035.98055183387</v>
      </c>
    </row>
    <row r="50" spans="1:31" x14ac:dyDescent="0.25">
      <c r="A50" s="317" t="s">
        <v>221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</row>
    <row r="51" spans="1:31" x14ac:dyDescent="0.25">
      <c r="A51" s="395" t="s">
        <v>218</v>
      </c>
      <c r="B51" s="80">
        <f>-('3 - Marina'!C30+'3 - Seaside'!C30+'3 - County'!C30+((1-'HSC 33482.78 PTs'!$L$4)*('3 - DRO'!C26)))</f>
        <v>282924.79333798046</v>
      </c>
      <c r="C51" s="80">
        <f>-('3 - Marina'!D30+'3 - Seaside'!D30+'3 - County'!D30+((1-'HSC 33482.78 PTs'!$L$4)*('3 - DRO'!D26)))</f>
        <v>604779.26010865241</v>
      </c>
      <c r="D51" s="80">
        <f>-('3 - Marina'!E30+'3 - Seaside'!E30+'3 - County'!E30+((1-'HSC 33482.78 PTs'!$L$4)*('3 - DRO'!E26)))</f>
        <v>894987.45296211529</v>
      </c>
      <c r="E51" s="80">
        <f>-('3 - Marina'!F30+'3 - Seaside'!F30+'3 - County'!F30+((1-'HSC 33482.78 PTs'!$L$4)*('3 - DRO'!F26)))</f>
        <v>1309960.9406148694</v>
      </c>
      <c r="F51" s="80">
        <f>-('3 - Marina'!G30+'3 - Seaside'!G30+'3 - County'!G30+((1-'HSC 33482.78 PTs'!$L$4)*('3 - DRO'!G26)))</f>
        <v>1640024.014232452</v>
      </c>
      <c r="G51" s="80">
        <f>-('3 - Marina'!H30+'3 - Seaside'!H30+'3 - County'!H30+((1-'HSC 33482.78 PTs'!$L$4)*('3 - DRO'!H26)))</f>
        <v>1976838.32483647</v>
      </c>
      <c r="H51" s="80">
        <f>-('3 - Marina'!I30+'3 - Seaside'!I30+'3 - County'!I30+((1-'HSC 33482.78 PTs'!$L$4)*('3 - DRO'!I26)))</f>
        <v>2338027.0885449923</v>
      </c>
      <c r="I51" s="80">
        <f>-('3 - Marina'!J30+'3 - Seaside'!J30+'3 - County'!J30+((1-'HSC 33482.78 PTs'!$L$4)*('3 - DRO'!J26)))</f>
        <v>2599053.3518891097</v>
      </c>
      <c r="J51" s="80">
        <f>-('3 - Marina'!K30+'3 - Seaside'!K30+'3 - County'!K30+((1-'HSC 33482.78 PTs'!$L$4)*('3 - DRO'!K26)))</f>
        <v>2817357.4448286616</v>
      </c>
      <c r="K51" s="80">
        <f>-('3 - Marina'!L30+'3 - Seaside'!L30+'3 - County'!L30+((1-'HSC 33482.78 PTs'!$L$4)*('3 - DRO'!L26)))</f>
        <v>3006306.1653088853</v>
      </c>
      <c r="L51" s="80">
        <f>-('3 - Marina'!M30+'3 - Seaside'!M30+'3 - County'!M30+((1-'HSC 33482.78 PTs'!$L$4)*('3 - DRO'!M26)))</f>
        <v>3204896.6476703514</v>
      </c>
      <c r="M51" s="80">
        <f>-('3 - Marina'!N30+'3 - Seaside'!N30+'3 - County'!N30+((1-'HSC 33482.78 PTs'!$L$4)*('3 - DRO'!N26)))</f>
        <v>3372109.8224966112</v>
      </c>
      <c r="N51" s="80">
        <f>-('3 - Marina'!O30+'3 - Seaside'!O30+'3 - County'!O30+((1-'HSC 33482.78 PTs'!$L$4)*('3 - DRO'!O26)))</f>
        <v>3453151.7862113975</v>
      </c>
      <c r="O51" s="80">
        <f>-('3 - Marina'!P30+'3 - Seaside'!P30+'3 - County'!P30+((1-'HSC 33482.78 PTs'!$L$4)*('3 - DRO'!P26)))</f>
        <v>3535814.5892004794</v>
      </c>
      <c r="P51" s="80">
        <f>-('3 - Marina'!Q30+'3 - Seaside'!Q30+'3 - County'!Q30+((1-'HSC 33482.78 PTs'!$L$4)*('3 - DRO'!Q26)))</f>
        <v>3620130.648249343</v>
      </c>
      <c r="Q51" s="80">
        <f>-('3 - Marina'!R30+'3 - Seaside'!R30+'3 - County'!R30+((1-'HSC 33482.78 PTs'!$L$4)*('3 - DRO'!R26)))</f>
        <v>3706133.0284791831</v>
      </c>
      <c r="R51" s="80">
        <f>-('3 - Marina'!S30+'3 - Seaside'!S30+'3 - County'!S30+((1-'HSC 33482.78 PTs'!$L$4)*('3 - DRO'!S26)))</f>
        <v>3793855.4563136208</v>
      </c>
      <c r="S51" s="80">
        <f>-('3 - Marina'!T30+'3 - Seaside'!T30+'3 - County'!T30+((1-'HSC 33482.78 PTs'!$L$4)*('3 - DRO'!T26)))</f>
        <v>3883332.3327047466</v>
      </c>
      <c r="T51" s="80">
        <f>-('3 - Marina'!U30+'3 - Seaside'!U30+'3 - County'!U30+((1-'HSC 33482.78 PTs'!$L$4)*('3 - DRO'!U26)))</f>
        <v>3974598.7466236954</v>
      </c>
      <c r="U51" s="80">
        <f>-('3 - Marina'!V30+'3 - Seaside'!V30+'3 - County'!V30+((1-'HSC 33482.78 PTs'!$L$4)*('3 - DRO'!V26)))</f>
        <v>4067690.4888210227</v>
      </c>
      <c r="V51" s="80">
        <f>-('3 - Marina'!W30+'3 - Seaside'!W30+'3 - County'!W30+((1-'HSC 33482.78 PTs'!$L$4)*('3 - DRO'!W26)))</f>
        <v>4162644.0658622971</v>
      </c>
      <c r="W51" s="80">
        <f>-('3 - Marina'!X30+'3 - Seaside'!X30+'3 - County'!X30+((1-'HSC 33482.78 PTs'!$L$4)*('3 - DRO'!X26)))</f>
        <v>4259496.7144443961</v>
      </c>
      <c r="X51" s="80">
        <f>-('3 - Marina'!Y30+'3 - Seaside'!Y30+'3 - County'!Y30+((1-'HSC 33482.78 PTs'!$L$4)*('3 - DRO'!Y26)))</f>
        <v>4358286.4159981385</v>
      </c>
      <c r="Y51" s="80">
        <f>-('3 - Marina'!Z30+'3 - Seaside'!Z30+'3 - County'!Z30+((1-'HSC 33482.78 PTs'!$L$4)*('3 - DRO'!Z26)))</f>
        <v>4459051.9115829542</v>
      </c>
      <c r="Z51" s="80">
        <f>-('3 - Marina'!AA30+'3 - Seaside'!AA30+'3 - County'!AA30+((1-'HSC 33482.78 PTs'!$L$4)*('3 - DRO'!AA26)))</f>
        <v>4561832.7170794671</v>
      </c>
      <c r="AA51" s="80">
        <f>-('3 - Marina'!AB30+'3 - Seaside'!AB30+'3 - County'!AB30+((1-'HSC 33482.78 PTs'!$L$4)*('3 - DRO'!AB26)))</f>
        <v>4666669.1386859091</v>
      </c>
      <c r="AB51" s="80">
        <f>-('3 - Marina'!AC30+'3 - Seaside'!AC30+'3 - County'!AC30+((1-'HSC 33482.78 PTs'!$L$4)*('3 - DRO'!AC26)))</f>
        <v>4773602.2887244821</v>
      </c>
      <c r="AC51" s="80">
        <f>-('3 - Marina'!AD30+'3 - Seaside'!AD30+'3 - County'!AD30+((1-'HSC 33482.78 PTs'!$L$4)*('3 - DRO'!AD26)))</f>
        <v>4882674.1017638249</v>
      </c>
      <c r="AD51" s="80">
        <f>-('3 - Marina'!AE30+'3 - Seaside'!AE30+'3 - County'!AE30+((1-'HSC 33482.78 PTs'!$L$4)*('3 - DRO'!AE26)))</f>
        <v>4993927.3510639546</v>
      </c>
      <c r="AE51" s="80">
        <f>-('3 - Marina'!AF30+'3 - Seaside'!AF30+'3 - County'!AF30+((1-'HSC 33482.78 PTs'!$L$4)*('3 - DRO'!AF26)))</f>
        <v>5107405.665350087</v>
      </c>
    </row>
    <row r="52" spans="1:31" x14ac:dyDescent="0.25">
      <c r="A52" s="395" t="s">
        <v>219</v>
      </c>
      <c r="B52" s="80">
        <f>-('3 - Marina'!C31+'3 - Seaside'!C31+'3 - County'!C31+('HSC 33482.78 PTs'!$L$4*'3 - DRO'!C26))</f>
        <v>30552.978419842249</v>
      </c>
      <c r="C52" s="80">
        <f>-('3 - Marina'!D31+'3 - Seaside'!D31+'3 - County'!D31+('HSC 33482.78 PTs'!$L$4*'3 - DRO'!D26))</f>
        <v>65310.702343362078</v>
      </c>
      <c r="D52" s="80">
        <f>-('3 - Marina'!E31+'3 - Seaside'!E31+'3 - County'!E31+('HSC 33482.78 PTs'!$L$4*'3 - DRO'!E26))</f>
        <v>96650.662100337286</v>
      </c>
      <c r="E52" s="80">
        <f>-('3 - Marina'!F31+'3 - Seaside'!F31+'3 - County'!F31+('HSC 33482.78 PTs'!$L$4*'3 - DRO'!F26))</f>
        <v>141464.23219779317</v>
      </c>
      <c r="F52" s="80">
        <f>-('3 - Marina'!G31+'3 - Seaside'!G31+'3 - County'!G31+('HSC 33482.78 PTs'!$L$4*'3 - DRO'!G26))</f>
        <v>177108.25066108941</v>
      </c>
      <c r="G52" s="80">
        <f>-('3 - Marina'!H31+'3 - Seaside'!H31+'3 - County'!H31+('HSC 33482.78 PTs'!$L$4*'3 - DRO'!H26))</f>
        <v>213481.36316932747</v>
      </c>
      <c r="H52" s="80">
        <f>-('3 - Marina'!I31+'3 - Seaside'!I31+'3 - County'!I31+('HSC 33482.78 PTs'!$L$4*'3 - DRO'!I26))</f>
        <v>252486.63969418645</v>
      </c>
      <c r="I52" s="80">
        <f>-('3 - Marina'!J31+'3 - Seaside'!J31+'3 - County'!J31+('HSC 33482.78 PTs'!$L$4*'3 - DRO'!J26))</f>
        <v>280675.02849355858</v>
      </c>
      <c r="J52" s="80">
        <f>-('3 - Marina'!K31+'3 - Seaside'!K31+'3 - County'!K31+('HSC 33482.78 PTs'!$L$4*'3 - DRO'!K26))</f>
        <v>304249.94907239487</v>
      </c>
      <c r="K52" s="80">
        <f>-('3 - Marina'!L31+'3 - Seaside'!L31+'3 - County'!L31+('HSC 33482.78 PTs'!$L$4*'3 - DRO'!L26))</f>
        <v>324654.84153709223</v>
      </c>
      <c r="L52" s="80">
        <f>-('3 - Marina'!M31+'3 - Seaside'!M31+'3 - County'!M31+('HSC 33482.78 PTs'!$L$4*'3 - DRO'!M26))</f>
        <v>346101.11249241163</v>
      </c>
      <c r="M52" s="80">
        <f>-('3 - Marina'!N31+'3 - Seaside'!N31+'3 - County'!N31+('HSC 33482.78 PTs'!$L$4*'3 - DRO'!N26))</f>
        <v>364158.88044927223</v>
      </c>
      <c r="N52" s="80">
        <f>-('3 - Marina'!O31+'3 - Seaside'!O31+'3 - County'!O31+('HSC 33482.78 PTs'!$L$4*'3 - DRO'!O26))</f>
        <v>372910.73573647003</v>
      </c>
      <c r="O52" s="80">
        <f>-('3 - Marina'!P31+'3 - Seaside'!P31+'3 - County'!P31+('HSC 33482.78 PTs'!$L$4*'3 - DRO'!P26))</f>
        <v>381837.62812941178</v>
      </c>
      <c r="P52" s="80">
        <f>-('3 - Marina'!Q31+'3 - Seaside'!Q31+'3 - County'!Q31+('HSC 33482.78 PTs'!$L$4*'3 - DRO'!Q26))</f>
        <v>390943.05837021233</v>
      </c>
      <c r="Q52" s="80">
        <f>-('3 - Marina'!R31+'3 - Seaside'!R31+'3 - County'!R31+('HSC 33482.78 PTs'!$L$4*'3 - DRO'!R26))</f>
        <v>400230.59721582889</v>
      </c>
      <c r="R52" s="80">
        <f>-('3 - Marina'!S31+'3 - Seaside'!S31+'3 - County'!S31+('HSC 33482.78 PTs'!$L$4*'3 - DRO'!S26))</f>
        <v>409703.88683835784</v>
      </c>
      <c r="S52" s="80">
        <f>-('3 - Marina'!T31+'3 - Seaside'!T31+'3 - County'!T31+('HSC 33482.78 PTs'!$L$4*'3 - DRO'!T26))</f>
        <v>419366.64225333743</v>
      </c>
      <c r="T52" s="80">
        <f>-('3 - Marina'!U31+'3 - Seaside'!U31+'3 - County'!U31+('HSC 33482.78 PTs'!$L$4*'3 - DRO'!U26))</f>
        <v>429222.65277661639</v>
      </c>
      <c r="U52" s="80">
        <f>-('3 - Marina'!V31+'3 - Seaside'!V31+'3 - County'!V31+('HSC 33482.78 PTs'!$L$4*'3 - DRO'!V26))</f>
        <v>439275.78351036116</v>
      </c>
      <c r="V52" s="80">
        <f>-('3 - Marina'!W31+'3 - Seaside'!W31+'3 - County'!W31+('HSC 33482.78 PTs'!$L$4*'3 - DRO'!W26))</f>
        <v>449529.97685878072</v>
      </c>
      <c r="W52" s="80">
        <f>-('3 - Marina'!X31+'3 - Seaside'!X31+'3 - County'!X31+('HSC 33482.78 PTs'!$L$4*'3 - DRO'!X26))</f>
        <v>459989.25407416862</v>
      </c>
      <c r="X52" s="80">
        <f>-('3 - Marina'!Y31+'3 - Seaside'!Y31+'3 - County'!Y31+('HSC 33482.78 PTs'!$L$4*'3 - DRO'!Y26))</f>
        <v>470657.71683386446</v>
      </c>
      <c r="Y52" s="80">
        <f>-('3 - Marina'!Z31+'3 - Seaside'!Z31+'3 - County'!Z31+('HSC 33482.78 PTs'!$L$4*'3 - DRO'!Z26))</f>
        <v>481539.54884875403</v>
      </c>
      <c r="Z52" s="80">
        <f>-('3 - Marina'!AA31+'3 - Seaside'!AA31+'3 - County'!AA31+('HSC 33482.78 PTs'!$L$4*'3 - DRO'!AA26))</f>
        <v>492639.01750394143</v>
      </c>
      <c r="AA52" s="80">
        <f>-('3 - Marina'!AB31+'3 - Seaside'!AB31+'3 - County'!AB31+('HSC 33482.78 PTs'!$L$4*'3 - DRO'!AB26))</f>
        <v>503960.47553223255</v>
      </c>
      <c r="AB52" s="80">
        <f>-('3 - Marina'!AC31+'3 - Seaside'!AC31+'3 - County'!AC31+('HSC 33482.78 PTs'!$L$4*'3 - DRO'!AC26))</f>
        <v>515508.36272108956</v>
      </c>
      <c r="AC52" s="80">
        <f>-('3 - Marina'!AD31+'3 - Seaside'!AD31+'3 - County'!AD31+('HSC 33482.78 PTs'!$L$4*'3 - DRO'!AD26))</f>
        <v>527287.20765372366</v>
      </c>
      <c r="AD52" s="80">
        <f>-('3 - Marina'!AE31+'3 - Seaside'!AE31+'3 - County'!AE31+('HSC 33482.78 PTs'!$L$4*'3 - DRO'!AE26))</f>
        <v>539301.62948501052</v>
      </c>
      <c r="AE52" s="80">
        <f>-('3 - Marina'!AF31+'3 - Seaside'!AF31+'3 - County'!AF31+('HSC 33482.78 PTs'!$L$4*'3 - DRO'!AF26))</f>
        <v>551556.339752923</v>
      </c>
    </row>
    <row r="53" spans="1:31" x14ac:dyDescent="0.25">
      <c r="A53" s="317" t="s">
        <v>282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</row>
    <row r="54" spans="1:31" x14ac:dyDescent="0.25">
      <c r="A54" s="395" t="s">
        <v>218</v>
      </c>
      <c r="B54" s="80">
        <f>-('3 - Marina'!C34+'3 - Seaside'!C34+'3 - County'!C34+((1-'HSC 33482.78 PTs'!$L$5)*('3 - DRO'!C28)))</f>
        <v>0</v>
      </c>
      <c r="C54" s="80">
        <f>-('3 - Marina'!D34+'3 - Seaside'!D34+'3 - County'!D34+((1-'HSC 33482.78 PTs'!$L$5)*('3 - DRO'!D28)))</f>
        <v>0</v>
      </c>
      <c r="D54" s="80">
        <f>-('3 - Marina'!E34+'3 - Seaside'!E34+'3 - County'!E34+((1-'HSC 33482.78 PTs'!$L$5)*('3 - DRO'!E28)))</f>
        <v>0</v>
      </c>
      <c r="E54" s="80">
        <f>-('3 - Marina'!F34+'3 - Seaside'!F34+'3 - County'!F34+((1-'HSC 33482.78 PTs'!$L$5)*('3 - DRO'!F28)))</f>
        <v>0</v>
      </c>
      <c r="F54" s="80">
        <f>-('3 - Marina'!G34+'3 - Seaside'!G34+'3 - County'!G34+((1-'HSC 33482.78 PTs'!$L$5)*('3 - DRO'!G28)))</f>
        <v>0</v>
      </c>
      <c r="G54" s="80">
        <f>-('3 - Marina'!H34+'3 - Seaside'!H34+'3 - County'!H34+((1-'HSC 33482.78 PTs'!$L$5)*('3 - DRO'!H28)))</f>
        <v>0</v>
      </c>
      <c r="H54" s="80">
        <f>-('3 - Marina'!I34+'3 - Seaside'!I34+'3 - County'!I34+((1-'HSC 33482.78 PTs'!$L$5)*('3 - DRO'!I28)))</f>
        <v>0</v>
      </c>
      <c r="I54" s="80">
        <f>-('3 - Marina'!J34+'3 - Seaside'!J34+'3 - County'!J34+((1-'HSC 33482.78 PTs'!$L$5)*('3 - DRO'!J28)))</f>
        <v>0</v>
      </c>
      <c r="J54" s="80">
        <f>-('3 - Marina'!K34+'3 - Seaside'!K34+'3 - County'!K34+((1-'HSC 33482.78 PTs'!$L$5)*('3 - DRO'!K28)))</f>
        <v>0</v>
      </c>
      <c r="K54" s="80">
        <f>-('3 - Marina'!L34+'3 - Seaside'!L34+'3 - County'!L34+((1-'HSC 33482.78 PTs'!$L$5)*('3 - DRO'!L28)))</f>
        <v>0</v>
      </c>
      <c r="L54" s="80">
        <f>-('3 - Marina'!M34+'3 - Seaside'!M34+'3 - County'!M34+((1-'HSC 33482.78 PTs'!$L$5)*('3 - DRO'!M28)))</f>
        <v>29519.801355986921</v>
      </c>
      <c r="M54" s="80">
        <f>-('3 - Marina'!N34+'3 - Seaside'!N34+'3 - County'!N34+((1-'HSC 33482.78 PTs'!$L$5)*('3 - DRO'!N28)))</f>
        <v>36063.920617470314</v>
      </c>
      <c r="N54" s="80">
        <f>-('3 - Marina'!O34+'3 - Seaside'!O34+'3 - County'!O34+((1-'HSC 33482.78 PTs'!$L$5)*('3 - DRO'!O28)))</f>
        <v>79251.403248168557</v>
      </c>
      <c r="O54" s="80">
        <f>-('3 - Marina'!P34+'3 - Seaside'!P34+'3 - County'!P34+((1-'HSC 33482.78 PTs'!$L$5)*('3 - DRO'!P28)))</f>
        <v>123302.63553148121</v>
      </c>
      <c r="P54" s="80">
        <f>-('3 - Marina'!Q34+'3 - Seaside'!Q34+'3 - County'!Q34+((1-'HSC 33482.78 PTs'!$L$5)*('3 - DRO'!Q28)))</f>
        <v>168234.89246045949</v>
      </c>
      <c r="Q54" s="80">
        <f>-('3 - Marina'!R34+'3 - Seaside'!R34+'3 - County'!R34+((1-'HSC 33482.78 PTs'!$L$5)*('3 - DRO'!R28)))</f>
        <v>214065.79452801772</v>
      </c>
      <c r="R54" s="80">
        <f>-('3 - Marina'!S34+'3 - Seaside'!S34+'3 - County'!S34+((1-'HSC 33482.78 PTs'!$L$5)*('3 - DRO'!S28)))</f>
        <v>260813.31463692689</v>
      </c>
      <c r="S54" s="80">
        <f>-('3 - Marina'!T34+'3 - Seaside'!T34+'3 - County'!T34+((1-'HSC 33482.78 PTs'!$L$5)*('3 - DRO'!T28)))</f>
        <v>308495.78514801408</v>
      </c>
      <c r="T54" s="80">
        <f>-('3 - Marina'!U34+'3 - Seaside'!U34+'3 - County'!U34+((1-'HSC 33482.78 PTs'!$L$5)*('3 - DRO'!U28)))</f>
        <v>357131.90506932314</v>
      </c>
      <c r="U54" s="80">
        <f>-('3 - Marina'!V34+'3 - Seaside'!V34+'3 - County'!V34+((1-'HSC 33482.78 PTs'!$L$5)*('3 - DRO'!V28)))</f>
        <v>406740.74738905882</v>
      </c>
      <c r="V54" s="80">
        <f>-('3 - Marina'!W34+'3 - Seaside'!W34+'3 - County'!W34+((1-'HSC 33482.78 PTs'!$L$5)*('3 - DRO'!W28)))</f>
        <v>470043.13208324159</v>
      </c>
      <c r="W54" s="80">
        <f>-('3 - Marina'!X34+'3 - Seaside'!X34+'3 - County'!X34+((1-'HSC 33482.78 PTs'!$L$5)*('3 - DRO'!X28)))</f>
        <v>534611.56447130779</v>
      </c>
      <c r="X54" s="80">
        <f>-('3 - Marina'!Y34+'3 - Seaside'!Y34+'3 - County'!Y34+((1-'HSC 33482.78 PTs'!$L$5)*('3 - DRO'!Y28)))</f>
        <v>600471.3655071354</v>
      </c>
      <c r="Y54" s="80">
        <f>-('3 - Marina'!Z34+'3 - Seaside'!Z34+'3 - County'!Z34+((1-'HSC 33482.78 PTs'!$L$5)*('3 - DRO'!Z28)))</f>
        <v>667648.36256367958</v>
      </c>
      <c r="Z54" s="80">
        <f>-('3 - Marina'!AA34+'3 - Seaside'!AA34+'3 - County'!AA34+((1-'HSC 33482.78 PTs'!$L$5)*('3 - DRO'!AA28)))</f>
        <v>736168.89956135489</v>
      </c>
      <c r="AA54" s="80">
        <f>-('3 - Marina'!AB34+'3 - Seaside'!AB34+'3 - County'!AB34+((1-'HSC 33482.78 PTs'!$L$5)*('3 - DRO'!AB28)))</f>
        <v>806059.8472989829</v>
      </c>
      <c r="AB54" s="80">
        <f>-('3 - Marina'!AC34+'3 - Seaside'!AC34+'3 - County'!AC34+((1-'HSC 33482.78 PTs'!$L$5)*('3 - DRO'!AC28)))</f>
        <v>877348.6139913646</v>
      </c>
      <c r="AC54" s="80">
        <f>-('3 - Marina'!AD34+'3 - Seaside'!AD34+'3 - County'!AD34+((1-'HSC 33482.78 PTs'!$L$5)*('3 - DRO'!AD28)))</f>
        <v>950063.15601759288</v>
      </c>
      <c r="AD54" s="80">
        <f>-('3 - Marina'!AE34+'3 - Seaside'!AE34+'3 - County'!AE34+((1-'HSC 33482.78 PTs'!$L$5)*('3 - DRO'!AE28)))</f>
        <v>1024231.9888843463</v>
      </c>
      <c r="AE54" s="80">
        <f>-('3 - Marina'!AF34+'3 - Seaside'!AF34+'3 - County'!AF34+((1-'HSC 33482.78 PTs'!$L$5)*('3 - DRO'!AF28)))</f>
        <v>1099884.1984084351</v>
      </c>
    </row>
    <row r="55" spans="1:31" x14ac:dyDescent="0.25">
      <c r="A55" s="395" t="s">
        <v>219</v>
      </c>
      <c r="B55" s="80">
        <f>-('3 - Marina'!C35+'3 - Seaside'!C35+'3 - County'!C35+('HSC 33482.78 PTs'!$L$5*'3 - DRO'!C28))</f>
        <v>0</v>
      </c>
      <c r="C55" s="80">
        <f>-('3 - Marina'!D35+'3 - Seaside'!D35+'3 - County'!D35+('HSC 33482.78 PTs'!$L$5*'3 - DRO'!D28))</f>
        <v>0</v>
      </c>
      <c r="D55" s="80">
        <f>-('3 - Marina'!E35+'3 - Seaside'!E35+'3 - County'!E35+('HSC 33482.78 PTs'!$L$5*'3 - DRO'!E28))</f>
        <v>0</v>
      </c>
      <c r="E55" s="80">
        <f>-('3 - Marina'!F35+'3 - Seaside'!F35+'3 - County'!F35+('HSC 33482.78 PTs'!$L$5*'3 - DRO'!F28))</f>
        <v>0</v>
      </c>
      <c r="F55" s="80">
        <f>-('3 - Marina'!G35+'3 - Seaside'!G35+'3 - County'!G35+('HSC 33482.78 PTs'!$L$5*'3 - DRO'!G28))</f>
        <v>0</v>
      </c>
      <c r="G55" s="80">
        <f>-('3 - Marina'!H35+'3 - Seaside'!H35+'3 - County'!H35+('HSC 33482.78 PTs'!$L$5*'3 - DRO'!H28))</f>
        <v>0</v>
      </c>
      <c r="H55" s="80">
        <f>-('3 - Marina'!I35+'3 - Seaside'!I35+'3 - County'!I35+('HSC 33482.78 PTs'!$L$5*'3 - DRO'!I28))</f>
        <v>0</v>
      </c>
      <c r="I55" s="80">
        <f>-('3 - Marina'!J35+'3 - Seaside'!J35+'3 - County'!J35+('HSC 33482.78 PTs'!$L$5*'3 - DRO'!J28))</f>
        <v>0</v>
      </c>
      <c r="J55" s="80">
        <f>-('3 - Marina'!K35+'3 - Seaside'!K35+'3 - County'!K35+('HSC 33482.78 PTs'!$L$5*'3 - DRO'!K28))</f>
        <v>0</v>
      </c>
      <c r="K55" s="80">
        <f>-('3 - Marina'!L35+'3 - Seaside'!L35+'3 - County'!L35+('HSC 33482.78 PTs'!$L$5*'3 - DRO'!L28))</f>
        <v>0</v>
      </c>
      <c r="L55" s="80">
        <f>-('3 - Marina'!M35+'3 - Seaside'!M35+'3 - County'!M35+('HSC 33482.78 PTs'!$L$5*'3 - DRO'!M28))</f>
        <v>3187.9078619033112</v>
      </c>
      <c r="M55" s="80">
        <f>-('3 - Marina'!N35+'3 - Seaside'!N35+'3 - County'!N35+('HSC 33482.78 PTs'!$L$5*'3 - DRO'!N28))</f>
        <v>3894.6216026678562</v>
      </c>
      <c r="N55" s="80">
        <f>-('3 - Marina'!O35+'3 - Seaside'!O35+'3 - County'!O35+('HSC 33482.78 PTs'!$L$5*'3 - DRO'!O28))</f>
        <v>8558.4781743297972</v>
      </c>
      <c r="O55" s="80">
        <f>-('3 - Marina'!P35+'3 - Seaside'!P35+'3 - County'!P35+('HSC 33482.78 PTs'!$L$5*'3 - DRO'!P28))</f>
        <v>13315.611877425024</v>
      </c>
      <c r="P55" s="80">
        <f>-('3 - Marina'!Q35+'3 - Seaside'!Q35+'3 - County'!Q35+('HSC 33482.78 PTs'!$L$5*'3 - DRO'!Q28))</f>
        <v>18167.888254582089</v>
      </c>
      <c r="Q55" s="80">
        <f>-('3 - Marina'!R35+'3 - Seaside'!R35+'3 - County'!R35+('HSC 33482.78 PTs'!$L$5*'3 - DRO'!R28))</f>
        <v>23117.210159282338</v>
      </c>
      <c r="R55" s="80">
        <f>-('3 - Marina'!S35+'3 - Seaside'!S35+'3 - County'!S35+('HSC 33482.78 PTs'!$L$5*'3 - DRO'!S28))</f>
        <v>28165.518502076564</v>
      </c>
      <c r="S55" s="80">
        <f>-('3 - Marina'!T35+'3 - Seaside'!T35+'3 - County'!T35+('HSC 33482.78 PTs'!$L$5*'3 - DRO'!T28))</f>
        <v>33314.793011726659</v>
      </c>
      <c r="T55" s="80">
        <f>-('3 - Marina'!U35+'3 - Seaside'!U35+'3 - County'!U35+('HSC 33482.78 PTs'!$L$5*'3 - DRO'!U28))</f>
        <v>38567.053011569769</v>
      </c>
      <c r="U55" s="80">
        <f>-('3 - Marina'!V35+'3 - Seaside'!V35+'3 - County'!V35+('HSC 33482.78 PTs'!$L$5*'3 - DRO'!V28))</f>
        <v>43924.358211409788</v>
      </c>
      <c r="V55" s="80">
        <f>-('3 - Marina'!W35+'3 - Seaside'!W35+'3 - County'!W35+('HSC 33482.78 PTs'!$L$5*'3 - DRO'!W28))</f>
        <v>50760.487110356182</v>
      </c>
      <c r="W55" s="80">
        <f>-('3 - Marina'!X35+'3 - Seaside'!X35+'3 - County'!X35+('HSC 33482.78 PTs'!$L$5*'3 - DRO'!X28))</f>
        <v>57733.338587281469</v>
      </c>
      <c r="X55" s="80">
        <f>-('3 - Marina'!Y35+'3 - Seaside'!Y35+'3 - County'!Y35+('HSC 33482.78 PTs'!$L$5*'3 - DRO'!Y28))</f>
        <v>64845.647093745269</v>
      </c>
      <c r="Y55" s="80">
        <f>-('3 - Marina'!Z35+'3 - Seaside'!Z35+'3 - County'!Z35+('HSC 33482.78 PTs'!$L$5*'3 - DRO'!Z28))</f>
        <v>72100.201770338346</v>
      </c>
      <c r="Z55" s="80">
        <f>-('3 - Marina'!AA35+'3 - Seaside'!AA35+'3 - County'!AA35+('HSC 33482.78 PTs'!$L$5*'3 - DRO'!AA28))</f>
        <v>79499.847540463306</v>
      </c>
      <c r="AA55" s="80">
        <f>-('3 - Marina'!AB35+'3 - Seaside'!AB35+'3 - County'!AB35+('HSC 33482.78 PTs'!$L$5*'3 - DRO'!AB28))</f>
        <v>87047.486225990695</v>
      </c>
      <c r="AB55" s="80">
        <f>-('3 - Marina'!AC35+'3 - Seaside'!AC35+'3 - County'!AC35+('HSC 33482.78 PTs'!$L$5*'3 - DRO'!AC28))</f>
        <v>94746.077685228753</v>
      </c>
      <c r="AC55" s="80">
        <f>-('3 - Marina'!AD35+'3 - Seaside'!AD35+'3 - County'!AD35+('HSC 33482.78 PTs'!$L$5*'3 - DRO'!AD28))</f>
        <v>102598.64097365146</v>
      </c>
      <c r="AD55" s="80">
        <f>-('3 - Marina'!AE35+'3 - Seaside'!AE35+'3 - County'!AE35+('HSC 33482.78 PTs'!$L$5*'3 - DRO'!AE28))</f>
        <v>110608.25552784267</v>
      </c>
      <c r="AE55" s="80">
        <f>-('3 - Marina'!AF35+'3 - Seaside'!AF35+'3 - County'!AF35+('HSC 33482.78 PTs'!$L$5*'3 - DRO'!AF28))</f>
        <v>118778.06237311772</v>
      </c>
    </row>
    <row r="56" spans="1:31" x14ac:dyDescent="0.25"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</row>
    <row r="57" spans="1:31" x14ac:dyDescent="0.25">
      <c r="A57" s="396" t="s">
        <v>337</v>
      </c>
      <c r="B57" s="80">
        <f>B48+B51+B54</f>
        <v>1429249.9797435307</v>
      </c>
      <c r="C57" s="80">
        <f t="shared" ref="C57:AE57" si="35">C48+C51+C54</f>
        <v>2134264.5260030981</v>
      </c>
      <c r="D57" s="80">
        <f t="shared" si="35"/>
        <v>2769958.6627297308</v>
      </c>
      <c r="E57" s="80">
        <f t="shared" si="35"/>
        <v>3678948.2071119538</v>
      </c>
      <c r="F57" s="80">
        <f t="shared" si="35"/>
        <v>4401943.5112266596</v>
      </c>
      <c r="G57" s="80">
        <f t="shared" si="35"/>
        <v>5139727.2392164124</v>
      </c>
      <c r="H57" s="80">
        <f t="shared" si="35"/>
        <v>5930902.626387462</v>
      </c>
      <c r="I57" s="80">
        <f t="shared" si="35"/>
        <v>6502674.4413317181</v>
      </c>
      <c r="J57" s="80">
        <f t="shared" si="35"/>
        <v>6980864.3591993097</v>
      </c>
      <c r="K57" s="80">
        <f t="shared" si="35"/>
        <v>7394752.0326321786</v>
      </c>
      <c r="L57" s="80">
        <f t="shared" si="35"/>
        <v>7859279.5572561389</v>
      </c>
      <c r="M57" s="80">
        <f t="shared" si="35"/>
        <v>8232100.1547084786</v>
      </c>
      <c r="N57" s="80">
        <f t="shared" si="35"/>
        <v>8452808.1292858515</v>
      </c>
      <c r="O57" s="80">
        <f t="shared" si="35"/>
        <v>8677930.2633547727</v>
      </c>
      <c r="P57" s="80">
        <f t="shared" si="35"/>
        <v>8907554.8401050698</v>
      </c>
      <c r="Q57" s="80">
        <f t="shared" si="35"/>
        <v>9141771.9083903711</v>
      </c>
      <c r="R57" s="80">
        <f t="shared" si="35"/>
        <v>9380673.3180413842</v>
      </c>
      <c r="S57" s="80">
        <f t="shared" si="35"/>
        <v>9624352.7558854129</v>
      </c>
      <c r="T57" s="80">
        <f t="shared" si="35"/>
        <v>9872905.7824863233</v>
      </c>
      <c r="U57" s="80">
        <f t="shared" si="35"/>
        <v>10126429.869619254</v>
      </c>
      <c r="V57" s="80">
        <f t="shared" si="35"/>
        <v>10397725.804022893</v>
      </c>
      <c r="W57" s="80">
        <f t="shared" si="35"/>
        <v>10674447.657114606</v>
      </c>
      <c r="X57" s="80">
        <f t="shared" si="35"/>
        <v>10956703.947268154</v>
      </c>
      <c r="Y57" s="80">
        <f t="shared" si="35"/>
        <v>11244605.363224773</v>
      </c>
      <c r="Z57" s="80">
        <f t="shared" si="35"/>
        <v>11538264.807500523</v>
      </c>
      <c r="AA57" s="80">
        <f t="shared" si="35"/>
        <v>11837797.440661786</v>
      </c>
      <c r="AB57" s="80">
        <f t="shared" si="35"/>
        <v>12143320.726486281</v>
      </c>
      <c r="AC57" s="80">
        <f t="shared" si="35"/>
        <v>12454954.478027256</v>
      </c>
      <c r="AD57" s="80">
        <f t="shared" si="35"/>
        <v>12772820.904599058</v>
      </c>
      <c r="AE57" s="80">
        <f t="shared" si="35"/>
        <v>13097044.659702297</v>
      </c>
    </row>
    <row r="58" spans="1:31" x14ac:dyDescent="0.25">
      <c r="A58" s="396" t="s">
        <v>328</v>
      </c>
      <c r="B58" s="402">
        <f>NPV(Assumptions!D$4,'HSC 33482.78 PTs'!C57:AE57)+'HSC 33482.78 PTs'!B57</f>
        <v>124536313.2295597</v>
      </c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</row>
    <row r="59" spans="1:31" x14ac:dyDescent="0.25">
      <c r="A59" s="396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</row>
    <row r="60" spans="1:31" x14ac:dyDescent="0.25">
      <c r="A60" s="396" t="s">
        <v>338</v>
      </c>
      <c r="B60" s="80">
        <f>SUM(B49,B52,B55)</f>
        <v>154346.86214657986</v>
      </c>
      <c r="C60" s="80">
        <f t="shared" ref="C60:AE60" si="36">SUM(C49,C52,C55)</f>
        <v>230482.82883619471</v>
      </c>
      <c r="D60" s="80">
        <f t="shared" si="36"/>
        <v>299132.26449433091</v>
      </c>
      <c r="E60" s="80">
        <f t="shared" si="36"/>
        <v>397295.32280304376</v>
      </c>
      <c r="F60" s="80">
        <f t="shared" si="36"/>
        <v>475372.69657978788</v>
      </c>
      <c r="G60" s="80">
        <f t="shared" si="36"/>
        <v>555047.13350259513</v>
      </c>
      <c r="H60" s="80">
        <f t="shared" si="36"/>
        <v>640487.26303323847</v>
      </c>
      <c r="I60" s="80">
        <f t="shared" si="36"/>
        <v>702233.25754614896</v>
      </c>
      <c r="J60" s="80">
        <f t="shared" si="36"/>
        <v>753873.55976645695</v>
      </c>
      <c r="K60" s="80">
        <f t="shared" si="36"/>
        <v>798569.99087960366</v>
      </c>
      <c r="L60" s="80">
        <f t="shared" si="36"/>
        <v>848735.44464363507</v>
      </c>
      <c r="M60" s="80">
        <f t="shared" si="36"/>
        <v>888997.26914704673</v>
      </c>
      <c r="N60" s="80">
        <f t="shared" si="36"/>
        <v>912831.8563478085</v>
      </c>
      <c r="O60" s="80">
        <f t="shared" si="36"/>
        <v>937143.13529258582</v>
      </c>
      <c r="P60" s="80">
        <f t="shared" si="36"/>
        <v>961940.63981625834</v>
      </c>
      <c r="Q60" s="80">
        <f t="shared" si="36"/>
        <v>987234.09443040437</v>
      </c>
      <c r="R60" s="80">
        <f t="shared" si="36"/>
        <v>1013033.4181368335</v>
      </c>
      <c r="S60" s="80">
        <f t="shared" si="36"/>
        <v>1039348.7283173911</v>
      </c>
      <c r="T60" s="80">
        <f t="shared" si="36"/>
        <v>1066190.3447015597</v>
      </c>
      <c r="U60" s="80">
        <f t="shared" si="36"/>
        <v>1093568.7934134118</v>
      </c>
      <c r="V60" s="80">
        <f t="shared" si="36"/>
        <v>1122866.4886946108</v>
      </c>
      <c r="W60" s="80">
        <f t="shared" si="36"/>
        <v>1152750.1378814334</v>
      </c>
      <c r="X60" s="80">
        <f t="shared" si="36"/>
        <v>1183231.4600519927</v>
      </c>
      <c r="Y60" s="80">
        <f t="shared" si="36"/>
        <v>1214322.408665963</v>
      </c>
      <c r="Z60" s="80">
        <f t="shared" si="36"/>
        <v>1246035.1762522128</v>
      </c>
      <c r="AA60" s="80">
        <f t="shared" si="36"/>
        <v>1278382.1991901873</v>
      </c>
      <c r="AB60" s="80">
        <f t="shared" si="36"/>
        <v>1311376.1625869218</v>
      </c>
      <c r="AC60" s="80">
        <f t="shared" si="36"/>
        <v>1345030.0052515906</v>
      </c>
      <c r="AD60" s="80">
        <f t="shared" si="36"/>
        <v>1379356.9247695529</v>
      </c>
      <c r="AE60" s="80">
        <f t="shared" si="36"/>
        <v>1414370.3826778748</v>
      </c>
    </row>
    <row r="61" spans="1:31" x14ac:dyDescent="0.25">
      <c r="A61" s="396" t="s">
        <v>329</v>
      </c>
      <c r="B61" s="402">
        <f>NPV(Assumptions!D$4,'HSC 33482.78 PTs'!C60:AE60)+'HSC 33482.78 PTs'!B60</f>
        <v>13448868.207988514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</row>
    <row r="62" spans="1:31" x14ac:dyDescent="0.25"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</row>
    <row r="63" spans="1:31" ht="15.75" x14ac:dyDescent="0.25">
      <c r="A63" s="29" t="str">
        <f>'4 - Marina'!A2</f>
        <v>Scenario 4 - Assumes FORA Extension through 6/30/2022 and No Bond Issuance</v>
      </c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</row>
    <row r="64" spans="1:31" x14ac:dyDescent="0.25">
      <c r="B64" s="442" t="s">
        <v>59</v>
      </c>
      <c r="C64" s="442"/>
      <c r="D64" s="442"/>
      <c r="E64" s="442"/>
      <c r="F64" s="451" t="s">
        <v>60</v>
      </c>
      <c r="G64" s="451"/>
      <c r="H64" s="451"/>
      <c r="I64" s="451"/>
      <c r="J64" s="451"/>
      <c r="K64" s="451"/>
      <c r="L64" s="451"/>
      <c r="M64" s="451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406"/>
      <c r="AC64" s="406"/>
      <c r="AD64" s="406"/>
      <c r="AE64" s="406"/>
    </row>
    <row r="65" spans="1:31" x14ac:dyDescent="0.25">
      <c r="B65" s="339">
        <v>201819</v>
      </c>
      <c r="C65" s="339">
        <f t="shared" ref="C65:AE65" si="37">B65+101</f>
        <v>201920</v>
      </c>
      <c r="D65" s="339">
        <f t="shared" si="37"/>
        <v>202021</v>
      </c>
      <c r="E65" s="339">
        <f t="shared" si="37"/>
        <v>202122</v>
      </c>
      <c r="F65" s="407">
        <f t="shared" si="37"/>
        <v>202223</v>
      </c>
      <c r="G65" s="407">
        <f t="shared" si="37"/>
        <v>202324</v>
      </c>
      <c r="H65" s="407">
        <f t="shared" si="37"/>
        <v>202425</v>
      </c>
      <c r="I65" s="407">
        <f t="shared" si="37"/>
        <v>202526</v>
      </c>
      <c r="J65" s="407">
        <f>I65+101</f>
        <v>202627</v>
      </c>
      <c r="K65" s="407">
        <f t="shared" si="37"/>
        <v>202728</v>
      </c>
      <c r="L65" s="407">
        <f t="shared" si="37"/>
        <v>202829</v>
      </c>
      <c r="M65" s="407">
        <f t="shared" si="37"/>
        <v>202930</v>
      </c>
      <c r="N65" s="407">
        <f t="shared" si="37"/>
        <v>203031</v>
      </c>
      <c r="O65" s="407">
        <f t="shared" si="37"/>
        <v>203132</v>
      </c>
      <c r="P65" s="407">
        <f t="shared" si="37"/>
        <v>203233</v>
      </c>
      <c r="Q65" s="407">
        <f t="shared" si="37"/>
        <v>203334</v>
      </c>
      <c r="R65" s="407">
        <f t="shared" si="37"/>
        <v>203435</v>
      </c>
      <c r="S65" s="407">
        <f t="shared" si="37"/>
        <v>203536</v>
      </c>
      <c r="T65" s="407">
        <f t="shared" si="37"/>
        <v>203637</v>
      </c>
      <c r="U65" s="407">
        <f t="shared" si="37"/>
        <v>203738</v>
      </c>
      <c r="V65" s="407">
        <f t="shared" si="37"/>
        <v>203839</v>
      </c>
      <c r="W65" s="407">
        <f t="shared" si="37"/>
        <v>203940</v>
      </c>
      <c r="X65" s="407">
        <f t="shared" si="37"/>
        <v>204041</v>
      </c>
      <c r="Y65" s="407">
        <f t="shared" si="37"/>
        <v>204142</v>
      </c>
      <c r="Z65" s="407">
        <f t="shared" si="37"/>
        <v>204243</v>
      </c>
      <c r="AA65" s="407">
        <f t="shared" si="37"/>
        <v>204344</v>
      </c>
      <c r="AB65" s="407">
        <f t="shared" si="37"/>
        <v>204445</v>
      </c>
      <c r="AC65" s="407">
        <f t="shared" si="37"/>
        <v>204546</v>
      </c>
      <c r="AD65" s="407">
        <f t="shared" si="37"/>
        <v>204647</v>
      </c>
      <c r="AE65" s="407">
        <f t="shared" si="37"/>
        <v>204748</v>
      </c>
    </row>
    <row r="66" spans="1:31" x14ac:dyDescent="0.25">
      <c r="A66" s="19" t="s">
        <v>220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</row>
    <row r="67" spans="1:31" x14ac:dyDescent="0.25">
      <c r="A67" s="395" t="s">
        <v>218</v>
      </c>
      <c r="B67" s="80">
        <f>-('4 - Marina'!C26+'4 - Seaside'!C26+'4 - County'!C26+((1-'HSC 33482.78 PTs'!$L$3)*('4 - DRO'!C25)))</f>
        <v>1146325.1864055502</v>
      </c>
      <c r="C67" s="80">
        <f>-('4 - Marina'!D26+'4 - Seaside'!D26+'4 - County'!D26+((1-'HSC 33482.78 PTs'!$L$3)*('4 - DRO'!D25)))</f>
        <v>1529485.2658944456</v>
      </c>
      <c r="D67" s="80">
        <f>-('4 - Marina'!E26+'4 - Seaside'!E26+'4 - County'!E26+((1-'HSC 33482.78 PTs'!$L$3)*('4 - DRO'!E25)))</f>
        <v>1844236.6684375855</v>
      </c>
      <c r="E67" s="80">
        <f>-('4 - Marina'!F26+'4 - Seaside'!F26+'4 - County'!F26+((1-'HSC 33482.78 PTs'!$L$3)*('4 - DRO'!F25)))</f>
        <v>2102213.7062474899</v>
      </c>
      <c r="F67" s="80">
        <f>-('4 - Marina'!G26+'4 - Seaside'!G26+'4 - County'!G26+((1-'HSC 33482.78 PTs'!$L$3)*('4 - DRO'!G25)))</f>
        <v>2415781.8715977045</v>
      </c>
      <c r="G67" s="80">
        <f>-('4 - Marina'!H26+'4 - Seaside'!H26+'4 - County'!H26+((1-'HSC 33482.78 PTs'!$L$3)*('4 - DRO'!H25)))</f>
        <v>2722974.0412648106</v>
      </c>
      <c r="H67" s="80">
        <f>-('4 - Marina'!I26+'4 - Seaside'!I26+'4 - County'!I26+((1-'HSC 33482.78 PTs'!$L$3)*('4 - DRO'!I25)))</f>
        <v>3079599.9685991155</v>
      </c>
      <c r="I67" s="80">
        <f>-('4 - Marina'!J26+'4 - Seaside'!J26+'4 - County'!J26+((1-'HSC 33482.78 PTs'!$L$3)*('4 - DRO'!J25)))</f>
        <v>3247807.8401611373</v>
      </c>
      <c r="J67" s="80">
        <f>-('4 - Marina'!K26+'4 - Seaside'!K26+'4 - County'!K26+((1-'HSC 33482.78 PTs'!$L$3)*('4 - DRO'!K25)))</f>
        <v>3385525.4527992364</v>
      </c>
      <c r="K67" s="80">
        <f>-('4 - Marina'!L26+'4 - Seaside'!L26+'4 - County'!L26+((1-'HSC 33482.78 PTs'!$L$3)*('4 - DRO'!L25)))</f>
        <v>3520203.0733688576</v>
      </c>
      <c r="L67" s="80">
        <f>-('4 - Marina'!M26+'4 - Seaside'!M26+'4 - County'!M26+((1-'HSC 33482.78 PTs'!$L$3)*('4 - DRO'!M25)))</f>
        <v>3641765.1871962762</v>
      </c>
      <c r="M67" s="80">
        <f>-('4 - Marina'!N26+'4 - Seaside'!N26+'4 - County'!N26+((1-'HSC 33482.78 PTs'!$L$3)*('4 - DRO'!N25)))</f>
        <v>3723720.7689274936</v>
      </c>
      <c r="N67" s="80">
        <f>-('4 - Marina'!O26+'4 - Seaside'!O26+'4 - County'!O26+((1-'HSC 33482.78 PTs'!$L$3)*('4 - DRO'!O25)))</f>
        <v>3798195.1843060441</v>
      </c>
      <c r="O67" s="80">
        <f>-('4 - Marina'!P26+'4 - Seaside'!P26+'4 - County'!P26+((1-'HSC 33482.78 PTs'!$L$3)*('4 - DRO'!P25)))</f>
        <v>3874159.0879921638</v>
      </c>
      <c r="P67" s="80">
        <f>-('4 - Marina'!Q26+'4 - Seaside'!Q26+'4 - County'!Q26+((1-'HSC 33482.78 PTs'!$L$3)*('4 - DRO'!Q25)))</f>
        <v>3951642.2697520079</v>
      </c>
      <c r="Q67" s="80">
        <f>-('4 - Marina'!R26+'4 - Seaside'!R26+'4 - County'!R26+((1-'HSC 33482.78 PTs'!$L$3)*('4 - DRO'!R25)))</f>
        <v>4030675.1151470481</v>
      </c>
      <c r="R67" s="80">
        <f>-('4 - Marina'!S26+'4 - Seaside'!S26+'4 - County'!S26+((1-'HSC 33482.78 PTs'!$L$3)*('4 - DRO'!S25)))</f>
        <v>4111288.6174499895</v>
      </c>
      <c r="S67" s="80">
        <f>-('4 - Marina'!T26+'4 - Seaside'!T26+'4 - County'!T26+((1-'HSC 33482.78 PTs'!$L$3)*('4 - DRO'!T25)))</f>
        <v>4193514.3897989886</v>
      </c>
      <c r="T67" s="80">
        <f>-('4 - Marina'!U26+'4 - Seaside'!U26+'4 - County'!U26+((1-'HSC 33482.78 PTs'!$L$3)*('4 - DRO'!U25)))</f>
        <v>4277384.6775949681</v>
      </c>
      <c r="U67" s="80">
        <f>-('4 - Marina'!V26+'4 - Seaside'!V26+'4 - County'!V26+((1-'HSC 33482.78 PTs'!$L$3)*('4 - DRO'!V25)))</f>
        <v>4362932.371146868</v>
      </c>
      <c r="V67" s="80">
        <f>-('4 - Marina'!W26+'4 - Seaside'!W26+'4 - County'!W26+((1-'HSC 33482.78 PTs'!$L$3)*('4 - DRO'!W25)))</f>
        <v>4450191.0185698047</v>
      </c>
      <c r="W67" s="80">
        <f>-('4 - Marina'!X26+'4 - Seaside'!X26+'4 - County'!X26+((1-'HSC 33482.78 PTs'!$L$3)*('4 - DRO'!X25)))</f>
        <v>4539194.8389412006</v>
      </c>
      <c r="X67" s="80">
        <f>-('4 - Marina'!Y26+'4 - Seaside'!Y26+'4 - County'!Y26+((1-'HSC 33482.78 PTs'!$L$3)*('4 - DRO'!Y25)))</f>
        <v>4629978.7357200254</v>
      </c>
      <c r="Y67" s="80">
        <f>-('4 - Marina'!Z26+'4 - Seaside'!Z26+'4 - County'!Z26+((1-'HSC 33482.78 PTs'!$L$3)*('4 - DRO'!Z25)))</f>
        <v>4722578.3104344252</v>
      </c>
      <c r="Z67" s="80">
        <f>-('4 - Marina'!AA26+'4 - Seaside'!AA26+'4 - County'!AA26+((1-'HSC 33482.78 PTs'!$L$3)*('4 - DRO'!AA25)))</f>
        <v>4817029.8766431138</v>
      </c>
      <c r="AA67" s="80">
        <f>-('4 - Marina'!AB26+'4 - Seaside'!AB26+'4 - County'!AB26+((1-'HSC 33482.78 PTs'!$L$3)*('4 - DRO'!AB25)))</f>
        <v>4913370.4741759757</v>
      </c>
      <c r="AB67" s="80">
        <f>-('4 - Marina'!AC26+'4 - Seaside'!AC26+'4 - County'!AC26+((1-'HSC 33482.78 PTs'!$L$3)*('4 - DRO'!AC25)))</f>
        <v>5011637.883659496</v>
      </c>
      <c r="AC67" s="80">
        <f>-('4 - Marina'!AD26+'4 - Seaside'!AD26+'4 - County'!AD26+((1-'HSC 33482.78 PTs'!$L$3)*('4 - DRO'!AD25)))</f>
        <v>5111870.6413326859</v>
      </c>
      <c r="AD67" s="80">
        <f>-('4 - Marina'!AE26+'4 - Seaside'!AE26+'4 - County'!AE26+((1-'HSC 33482.78 PTs'!$L$3)*('4 - DRO'!AE25)))</f>
        <v>5214108.0541593395</v>
      </c>
      <c r="AE67" s="80">
        <f>-('4 - Marina'!AF26+'4 - Seaside'!AF26+'4 - County'!AF26+((1-'HSC 33482.78 PTs'!$L$3)*('4 - DRO'!AF25)))</f>
        <v>5318390.2152425256</v>
      </c>
    </row>
    <row r="68" spans="1:31" x14ac:dyDescent="0.25">
      <c r="A68" s="395" t="s">
        <v>219</v>
      </c>
      <c r="B68" s="80">
        <f>-('4 - Marina'!C27+'4 - Seaside'!C27+'4 - County'!C27+('HSC 33482.78 PTs'!$L$3*'4 - DRO'!C25))</f>
        <v>123793.88372673761</v>
      </c>
      <c r="C68" s="80">
        <f>-('4 - Marina'!D27+'4 - Seaside'!D27+'4 - County'!D27+('HSC 33482.78 PTs'!$L$3*'4 - DRO'!D25))</f>
        <v>165172.12649283264</v>
      </c>
      <c r="D68" s="80">
        <f>-('4 - Marina'!E27+'4 - Seaside'!E27+'4 - County'!E27+('HSC 33482.78 PTs'!$L$3*'4 - DRO'!E25))</f>
        <v>199162.77715285239</v>
      </c>
      <c r="E68" s="80">
        <f>-('4 - Marina'!F27+'4 - Seaside'!F27+'4 - County'!F27+('HSC 33482.78 PTs'!$L$3*'4 - DRO'!F25))</f>
        <v>227022.17482381756</v>
      </c>
      <c r="F68" s="80">
        <f>-('4 - Marina'!G27+'4 - Seaside'!G27+'4 - County'!G27+('HSC 33482.78 PTs'!$L$3*'4 - DRO'!G25))</f>
        <v>260885.10505856865</v>
      </c>
      <c r="G68" s="80">
        <f>-('4 - Marina'!H27+'4 - Seaside'!H27+'4 - County'!H27+('HSC 33482.78 PTs'!$L$3*'4 - DRO'!H25))</f>
        <v>294059.41023357637</v>
      </c>
      <c r="H68" s="80">
        <f>-('4 - Marina'!I27+'4 - Seaside'!I27+'4 - County'!I27+('HSC 33482.78 PTs'!$L$3*'4 - DRO'!I25))</f>
        <v>332572.15909915965</v>
      </c>
      <c r="I68" s="80">
        <f>-('4 - Marina'!J27+'4 - Seaside'!J27+'4 - County'!J27+('HSC 33482.78 PTs'!$L$3*'4 - DRO'!J25))</f>
        <v>350737.18570479879</v>
      </c>
      <c r="J68" s="80">
        <f>-('4 - Marina'!K27+'4 - Seaside'!K27+'4 - County'!K27+('HSC 33482.78 PTs'!$L$3*'4 - DRO'!K25))</f>
        <v>365609.60925601859</v>
      </c>
      <c r="K68" s="80">
        <f>-('4 - Marina'!L27+'4 - Seaside'!L27+'4 - County'!L27+('HSC 33482.78 PTs'!$L$3*'4 - DRO'!L25))</f>
        <v>380153.73672750249</v>
      </c>
      <c r="L68" s="80">
        <f>-('4 - Marina'!M27+'4 - Seaside'!M27+'4 - County'!M27+('HSC 33482.78 PTs'!$L$3*'4 - DRO'!M25))</f>
        <v>393281.49110201118</v>
      </c>
      <c r="M68" s="80">
        <f>-('4 - Marina'!N27+'4 - Seaside'!N27+'4 - County'!N27+('HSC 33482.78 PTs'!$L$3*'4 - DRO'!N25))</f>
        <v>402132.0492880583</v>
      </c>
      <c r="N68" s="80">
        <f>-('4 - Marina'!O27+'4 - Seaside'!O27+'4 - County'!O27+('HSC 33482.78 PTs'!$L$3*'4 - DRO'!O25))</f>
        <v>410174.69027381943</v>
      </c>
      <c r="O68" s="80">
        <f>-('4 - Marina'!P27+'4 - Seaside'!P27+'4 - County'!P27+('HSC 33482.78 PTs'!$L$3*'4 - DRO'!P25))</f>
        <v>418378.18407929578</v>
      </c>
      <c r="P68" s="80">
        <f>-('4 - Marina'!Q27+'4 - Seaside'!Q27+'4 - County'!Q27+('HSC 33482.78 PTs'!$L$3*'4 - DRO'!Q25))</f>
        <v>426745.74776088173</v>
      </c>
      <c r="Q68" s="80">
        <f>-('4 - Marina'!R27+'4 - Seaside'!R27+'4 - County'!R27+('HSC 33482.78 PTs'!$L$3*'4 - DRO'!R25))</f>
        <v>435280.66271609935</v>
      </c>
      <c r="R68" s="80">
        <f>-('4 - Marina'!S27+'4 - Seaside'!S27+'4 - County'!S27+('HSC 33482.78 PTs'!$L$3*'4 - DRO'!S25))</f>
        <v>443986.27597042138</v>
      </c>
      <c r="S68" s="80">
        <f>-('4 - Marina'!T27+'4 - Seaside'!T27+'4 - County'!T27+('HSC 33482.78 PTs'!$L$3*'4 - DRO'!T25))</f>
        <v>452866.00148982974</v>
      </c>
      <c r="T68" s="80">
        <f>-('4 - Marina'!U27+'4 - Seaside'!U27+'4 - County'!U27+('HSC 33482.78 PTs'!$L$3*'4 - DRO'!U25))</f>
        <v>461923.32151962642</v>
      </c>
      <c r="U68" s="80">
        <f>-('4 - Marina'!V27+'4 - Seaside'!V27+'4 - County'!V27+('HSC 33482.78 PTs'!$L$3*'4 - DRO'!V25))</f>
        <v>471161.78795001889</v>
      </c>
      <c r="V68" s="80">
        <f>-('4 - Marina'!W27+'4 - Seaside'!W27+'4 - County'!W27+('HSC 33482.78 PTs'!$L$3*'4 - DRO'!W25))</f>
        <v>480585.0237090193</v>
      </c>
      <c r="W68" s="80">
        <f>-('4 - Marina'!X27+'4 - Seaside'!X27+'4 - County'!X27+('HSC 33482.78 PTs'!$L$3*'4 - DRO'!X25))</f>
        <v>490196.72418319958</v>
      </c>
      <c r="X68" s="80">
        <f>-('4 - Marina'!Y27+'4 - Seaside'!Y27+'4 - County'!Y27+('HSC 33482.78 PTs'!$L$3*'4 - DRO'!Y25))</f>
        <v>500000.65866686369</v>
      </c>
      <c r="Y68" s="80">
        <f>-('4 - Marina'!Z27+'4 - Seaside'!Z27+'4 - County'!Z27+('HSC 33482.78 PTs'!$L$3*'4 - DRO'!Z25))</f>
        <v>510000.67184020102</v>
      </c>
      <c r="Z68" s="80">
        <f>-('4 - Marina'!AA27+'4 - Seaside'!AA27+'4 - County'!AA27+('HSC 33482.78 PTs'!$L$3*'4 - DRO'!AA25))</f>
        <v>520200.6852770049</v>
      </c>
      <c r="AA68" s="80">
        <f>-('4 - Marina'!AB27+'4 - Seaside'!AB27+'4 - County'!AB27+('HSC 33482.78 PTs'!$L$3*'4 - DRO'!AB25))</f>
        <v>530604.69898254506</v>
      </c>
      <c r="AB68" s="80">
        <f>-('4 - Marina'!AC27+'4 - Seaside'!AC27+'4 - County'!AC27+('HSC 33482.78 PTs'!$L$3*'4 - DRO'!AC25))</f>
        <v>541216.79296219582</v>
      </c>
      <c r="AC68" s="80">
        <f>-('4 - Marina'!AD27+'4 - Seaside'!AD27+'4 - County'!AD27+('HSC 33482.78 PTs'!$L$3*'4 - DRO'!AD25))</f>
        <v>552041.12882143981</v>
      </c>
      <c r="AD68" s="80">
        <f>-('4 - Marina'!AE27+'4 - Seaside'!AE27+'4 - County'!AE27+('HSC 33482.78 PTs'!$L$3*'4 - DRO'!AE25))</f>
        <v>563081.95139786857</v>
      </c>
      <c r="AE68" s="80">
        <f>-('4 - Marina'!AF27+'4 - Seaside'!AF27+'4 - County'!AF27+('HSC 33482.78 PTs'!$L$3*'4 - DRO'!AF25))</f>
        <v>574343.59042582591</v>
      </c>
    </row>
    <row r="69" spans="1:31" x14ac:dyDescent="0.25">
      <c r="A69" s="317" t="s">
        <v>221</v>
      </c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</row>
    <row r="70" spans="1:31" x14ac:dyDescent="0.25">
      <c r="A70" s="395" t="s">
        <v>218</v>
      </c>
      <c r="B70" s="80">
        <f>-('4 - Marina'!C30+'4 - Seaside'!C30+'4 - County'!C30+((1-'HSC 33482.78 PTs'!$L$4)*('4 - DRO'!C26)))</f>
        <v>282924.79333798046</v>
      </c>
      <c r="C70" s="80">
        <f>-('4 - Marina'!D30+'4 - Seaside'!D30+'4 - County'!D30+((1-'HSC 33482.78 PTs'!$L$4)*('4 - DRO'!D26)))</f>
        <v>604779.26010865241</v>
      </c>
      <c r="D70" s="80">
        <f>-('4 - Marina'!E30+'4 - Seaside'!E30+'4 - County'!E30+((1-'HSC 33482.78 PTs'!$L$4)*('4 - DRO'!E26)))</f>
        <v>869170.43824489007</v>
      </c>
      <c r="E70" s="80">
        <f>-('4 - Marina'!F30+'4 - Seaside'!F30+'4 - County'!F30+((1-'HSC 33482.78 PTs'!$L$4)*('4 - DRO'!F26)))</f>
        <v>1085871.15000521</v>
      </c>
      <c r="F70" s="80">
        <f>-('4 - Marina'!G30+'4 - Seaside'!G30+'4 - County'!G30+((1-'HSC 33482.78 PTs'!$L$4)*('4 - DRO'!G26)))</f>
        <v>1349268.4088993897</v>
      </c>
      <c r="G70" s="80">
        <f>-('4 - Marina'!H30+'4 - Seaside'!H30+'4 - County'!H30+((1-'HSC 33482.78 PTs'!$L$4)*('4 - DRO'!H26)))</f>
        <v>1607309.8314197597</v>
      </c>
      <c r="H70" s="80">
        <f>-('4 - Marina'!I30+'4 - Seaside'!I30+'4 - County'!I30+((1-'HSC 33482.78 PTs'!$L$4)*('4 - DRO'!I26)))</f>
        <v>1906875.6103805753</v>
      </c>
      <c r="I70" s="80">
        <f>-('4 - Marina'!J30+'4 - Seaside'!J30+'4 - County'!J30+((1-'HSC 33482.78 PTs'!$L$4)*('4 - DRO'!J26)))</f>
        <v>2048170.2224926737</v>
      </c>
      <c r="J70" s="80">
        <f>-('4 - Marina'!K30+'4 - Seaside'!K30+'4 - County'!K30+((1-'HSC 33482.78 PTs'!$L$4)*('4 - DRO'!K26)))</f>
        <v>2163853.017108677</v>
      </c>
      <c r="K70" s="80">
        <f>-('4 - Marina'!L30+'4 - Seaside'!L30+'4 - County'!L30+((1-'HSC 33482.78 PTs'!$L$4)*('4 - DRO'!L26)))</f>
        <v>2276982.2183871586</v>
      </c>
      <c r="L70" s="80">
        <f>-('4 - Marina'!M30+'4 - Seaside'!M30+'4 - County'!M30+((1-'HSC 33482.78 PTs'!$L$4)*('4 - DRO'!M26)))</f>
        <v>2379094.3940021908</v>
      </c>
      <c r="M70" s="80">
        <f>-('4 - Marina'!N30+'4 - Seaside'!N30+'4 - County'!N30+((1-'HSC 33482.78 PTs'!$L$4)*('4 - DRO'!N26)))</f>
        <v>2447937.0826564133</v>
      </c>
      <c r="N70" s="80">
        <f>-('4 - Marina'!O30+'4 - Seaside'!O30+'4 - County'!O30+((1-'HSC 33482.78 PTs'!$L$4)*('4 - DRO'!O26)))</f>
        <v>2510495.5915743946</v>
      </c>
      <c r="O70" s="80">
        <f>-('4 - Marina'!P30+'4 - Seaside'!P30+'4 - County'!P30+((1-'HSC 33482.78 PTs'!$L$4)*('4 - DRO'!P26)))</f>
        <v>2574305.2706707362</v>
      </c>
      <c r="P70" s="80">
        <f>-('4 - Marina'!Q30+'4 - Seaside'!Q30+'4 - County'!Q30+((1-'HSC 33482.78 PTs'!$L$4)*('4 - DRO'!Q26)))</f>
        <v>2639391.1433490044</v>
      </c>
      <c r="Q70" s="80">
        <f>-('4 - Marina'!R30+'4 - Seaside'!R30+'4 - County'!R30+((1-'HSC 33482.78 PTs'!$L$4)*('4 - DRO'!R26)))</f>
        <v>2705778.7334808391</v>
      </c>
      <c r="R70" s="80">
        <f>-('4 - Marina'!S30+'4 - Seaside'!S30+'4 - County'!S30+((1-'HSC 33482.78 PTs'!$L$4)*('4 - DRO'!S26)))</f>
        <v>2773494.0754153091</v>
      </c>
      <c r="S70" s="80">
        <f>-('4 - Marina'!T30+'4 - Seaside'!T30+'4 - County'!T30+((1-'HSC 33482.78 PTs'!$L$4)*('4 - DRO'!T26)))</f>
        <v>2842563.7241884684</v>
      </c>
      <c r="T70" s="80">
        <f>-('4 - Marina'!U30+'4 - Seaside'!U30+'4 - County'!U30+((1-'HSC 33482.78 PTs'!$L$4)*('4 - DRO'!U26)))</f>
        <v>2913014.7659370918</v>
      </c>
      <c r="U70" s="80">
        <f>-('4 - Marina'!V30+'4 - Seaside'!V30+'4 - County'!V30+((1-'HSC 33482.78 PTs'!$L$4)*('4 - DRO'!V26)))</f>
        <v>2984874.8285206868</v>
      </c>
      <c r="V70" s="80">
        <f>-('4 - Marina'!W30+'4 - Seaside'!W30+'4 - County'!W30+((1-'HSC 33482.78 PTs'!$L$4)*('4 - DRO'!W26)))</f>
        <v>3058172.0923559545</v>
      </c>
      <c r="W70" s="80">
        <f>-('4 - Marina'!X30+'4 - Seaside'!X30+'4 - County'!X30+((1-'HSC 33482.78 PTs'!$L$4)*('4 - DRO'!X26)))</f>
        <v>3132935.3014679272</v>
      </c>
      <c r="X70" s="80">
        <f>-('4 - Marina'!Y30+'4 - Seaside'!Y30+'4 - County'!Y30+((1-'HSC 33482.78 PTs'!$L$4)*('4 - DRO'!Y26)))</f>
        <v>3209193.7747621392</v>
      </c>
      <c r="Y70" s="80">
        <f>-('4 - Marina'!Z30+'4 - Seaside'!Z30+'4 - County'!Z30+((1-'HSC 33482.78 PTs'!$L$4)*('4 - DRO'!Z26)))</f>
        <v>3286977.4175222358</v>
      </c>
      <c r="Z70" s="80">
        <f>-('4 - Marina'!AA30+'4 - Seaside'!AA30+'4 - County'!AA30+((1-'HSC 33482.78 PTs'!$L$4)*('4 - DRO'!AA26)))</f>
        <v>3366316.733137534</v>
      </c>
      <c r="AA70" s="80">
        <f>-('4 - Marina'!AB30+'4 - Seaside'!AB30+'4 - County'!AB30+((1-'HSC 33482.78 PTs'!$L$4)*('4 - DRO'!AB26)))</f>
        <v>3447242.835065139</v>
      </c>
      <c r="AB70" s="80">
        <f>-('4 - Marina'!AC30+'4 - Seaside'!AC30+'4 - County'!AC30+((1-'HSC 33482.78 PTs'!$L$4)*('4 - DRO'!AC26)))</f>
        <v>3529787.459031295</v>
      </c>
      <c r="AC70" s="80">
        <f>-('4 - Marina'!AD30+'4 - Seaside'!AD30+'4 - County'!AD30+((1-'HSC 33482.78 PTs'!$L$4)*('4 - DRO'!AD26)))</f>
        <v>3613982.9754767744</v>
      </c>
      <c r="AD70" s="80">
        <f>-('4 - Marina'!AE30+'4 - Seaside'!AE30+'4 - County'!AE30+((1-'HSC 33482.78 PTs'!$L$4)*('4 - DRO'!AE26)))</f>
        <v>3699862.4022511635</v>
      </c>
      <c r="AE70" s="80">
        <f>-('4 - Marina'!AF30+'4 - Seaside'!AF30+'4 - County'!AF30+((1-'HSC 33482.78 PTs'!$L$4)*('4 - DRO'!AF26)))</f>
        <v>3787459.4175610407</v>
      </c>
    </row>
    <row r="71" spans="1:31" x14ac:dyDescent="0.25">
      <c r="A71" s="395" t="s">
        <v>219</v>
      </c>
      <c r="B71" s="80">
        <f>-('4 - Marina'!C31+'4 - Seaside'!C31+'4 - County'!C31+('HSC 33482.78 PTs'!$L$4*'4 - DRO'!C26))</f>
        <v>30552.978419842249</v>
      </c>
      <c r="C71" s="80">
        <f>-('4 - Marina'!D31+'4 - Seaside'!D31+'4 - County'!D31+('HSC 33482.78 PTs'!$L$4*'4 - DRO'!D26))</f>
        <v>65310.702343362078</v>
      </c>
      <c r="D71" s="80">
        <f>-('4 - Marina'!E31+'4 - Seaside'!E31+'4 - County'!E31+('HSC 33482.78 PTs'!$L$4*'4 - DRO'!E26))</f>
        <v>93862.848897778691</v>
      </c>
      <c r="E71" s="80">
        <f>-('4 - Marina'!F31+'4 - Seaside'!F31+'4 - County'!F31+('HSC 33482.78 PTs'!$L$4*'4 - DRO'!F26))</f>
        <v>117264.74294138944</v>
      </c>
      <c r="F71" s="80">
        <f>-('4 - Marina'!G31+'4 - Seaside'!G31+'4 - County'!G31+('HSC 33482.78 PTs'!$L$4*'4 - DRO'!G26))</f>
        <v>145709.60433858034</v>
      </c>
      <c r="G71" s="80">
        <f>-('4 - Marina'!H31+'4 - Seaside'!H31+'4 - County'!H31+('HSC 33482.78 PTs'!$L$4*'4 - DRO'!H26))</f>
        <v>173576.02068558676</v>
      </c>
      <c r="H71" s="80">
        <f>-('4 - Marina'!I31+'4 - Seaside'!I31+'4 - County'!I31+('HSC 33482.78 PTs'!$L$4*'4 - DRO'!I26))</f>
        <v>205926.72973267676</v>
      </c>
      <c r="I71" s="80">
        <f>-('4 - Marina'!J31+'4 - Seaside'!J31+'4 - County'!J31+('HSC 33482.78 PTs'!$L$4*'4 - DRO'!J26))</f>
        <v>221185.35208141364</v>
      </c>
      <c r="J71" s="80">
        <f>-('4 - Marina'!K31+'4 - Seaside'!K31+'4 - County'!K31+('HSC 33482.78 PTs'!$L$4*'4 - DRO'!K26))</f>
        <v>233678.18786443831</v>
      </c>
      <c r="K71" s="80">
        <f>-('4 - Marina'!L31+'4 - Seaside'!L31+'4 - County'!L31+('HSC 33482.78 PTs'!$L$4*'4 - DRO'!L26))</f>
        <v>245895.25494048477</v>
      </c>
      <c r="L71" s="80">
        <f>-('4 - Marina'!M31+'4 - Seaside'!M31+'4 - County'!M31+('HSC 33482.78 PTs'!$L$4*'4 - DRO'!M26))</f>
        <v>256922.56861507206</v>
      </c>
      <c r="M71" s="80">
        <f>-('4 - Marina'!N31+'4 - Seaside'!N31+'4 - County'!N31+('HSC 33482.78 PTs'!$L$4*'4 - DRO'!N26))</f>
        <v>264357.0374913516</v>
      </c>
      <c r="N71" s="80">
        <f>-('4 - Marina'!O31+'4 - Seaside'!O31+'4 - County'!O31+('HSC 33482.78 PTs'!$L$4*'4 - DRO'!O26))</f>
        <v>271112.85591939103</v>
      </c>
      <c r="O71" s="80">
        <f>-('4 - Marina'!P31+'4 - Seaside'!P31+'4 - County'!P31+('HSC 33482.78 PTs'!$L$4*'4 - DRO'!P26))</f>
        <v>278003.79071599117</v>
      </c>
      <c r="P71" s="80">
        <f>-('4 - Marina'!Q31+'4 - Seaside'!Q31+'4 - County'!Q31+('HSC 33482.78 PTs'!$L$4*'4 - DRO'!Q26))</f>
        <v>285032.54420852329</v>
      </c>
      <c r="Q71" s="80">
        <f>-('4 - Marina'!R31+'4 - Seaside'!R31+'4 - County'!R31+('HSC 33482.78 PTs'!$L$4*'4 - DRO'!R26))</f>
        <v>292201.87277090613</v>
      </c>
      <c r="R71" s="80">
        <f>-('4 - Marina'!S31+'4 - Seaside'!S31+'4 - County'!S31+('HSC 33482.78 PTs'!$L$4*'4 - DRO'!S26))</f>
        <v>299514.58790453657</v>
      </c>
      <c r="S71" s="80">
        <f>-('4 - Marina'!T31+'4 - Seaside'!T31+'4 - County'!T31+('HSC 33482.78 PTs'!$L$4*'4 - DRO'!T26))</f>
        <v>306973.5573408397</v>
      </c>
      <c r="T71" s="80">
        <f>-('4 - Marina'!U31+'4 - Seaside'!U31+'4 - County'!U31+('HSC 33482.78 PTs'!$L$4*'4 - DRO'!U26))</f>
        <v>314581.70616586879</v>
      </c>
      <c r="U71" s="80">
        <f>-('4 - Marina'!V31+'4 - Seaside'!V31+'4 - County'!V31+('HSC 33482.78 PTs'!$L$4*'4 - DRO'!V26))</f>
        <v>322342.01796739851</v>
      </c>
      <c r="V71" s="80">
        <f>-('4 - Marina'!W31+'4 - Seaside'!W31+'4 - County'!W31+('HSC 33482.78 PTs'!$L$4*'4 - DRO'!W26))</f>
        <v>330257.53600495891</v>
      </c>
      <c r="W71" s="80">
        <f>-('4 - Marina'!X31+'4 - Seaside'!X31+'4 - County'!X31+('HSC 33482.78 PTs'!$L$4*'4 - DRO'!X26))</f>
        <v>338331.3644032703</v>
      </c>
      <c r="X71" s="80">
        <f>-('4 - Marina'!Y31+'4 - Seaside'!Y31+'4 - County'!Y31+('HSC 33482.78 PTs'!$L$4*'4 - DRO'!Y26))</f>
        <v>346566.66936954809</v>
      </c>
      <c r="Y71" s="80">
        <f>-('4 - Marina'!Z31+'4 - Seaside'!Z31+'4 - County'!Z31+('HSC 33482.78 PTs'!$L$4*'4 - DRO'!Z26))</f>
        <v>354966.68043515144</v>
      </c>
      <c r="Z71" s="80">
        <f>-('4 - Marina'!AA31+'4 - Seaside'!AA31+'4 - County'!AA31+('HSC 33482.78 PTs'!$L$4*'4 - DRO'!AA26))</f>
        <v>363534.69172206678</v>
      </c>
      <c r="AA71" s="80">
        <f>-('4 - Marina'!AB31+'4 - Seaside'!AB31+'4 - County'!AB31+('HSC 33482.78 PTs'!$L$4*'4 - DRO'!AB26))</f>
        <v>372274.0632347205</v>
      </c>
      <c r="AB71" s="80">
        <f>-('4 - Marina'!AC31+'4 - Seaside'!AC31+'4 - County'!AC31+('HSC 33482.78 PTs'!$L$4*'4 - DRO'!AC26))</f>
        <v>381188.22217762726</v>
      </c>
      <c r="AC71" s="80">
        <f>-('4 - Marina'!AD31+'4 - Seaside'!AD31+'4 - County'!AD31+('HSC 33482.78 PTs'!$L$4*'4 - DRO'!AD26))</f>
        <v>390280.66429939208</v>
      </c>
      <c r="AD71" s="80">
        <f>-('4 - Marina'!AE31+'4 - Seaside'!AE31+'4 - County'!AE31+('HSC 33482.78 PTs'!$L$4*'4 - DRO'!AE26))</f>
        <v>399554.9552635923</v>
      </c>
      <c r="AE71" s="80">
        <f>-('4 - Marina'!AF31+'4 - Seaside'!AF31+'4 - County'!AF31+('HSC 33482.78 PTs'!$L$4*'4 - DRO'!AF26))</f>
        <v>409014.73204707651</v>
      </c>
    </row>
    <row r="72" spans="1:31" x14ac:dyDescent="0.25">
      <c r="A72" s="317" t="s">
        <v>282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</row>
    <row r="73" spans="1:31" x14ac:dyDescent="0.25">
      <c r="A73" s="395" t="s">
        <v>218</v>
      </c>
      <c r="B73" s="80">
        <f>-('4 - Marina'!C34+'4 - Seaside'!C34+'4 - County'!C34+((1-'HSC 33482.78 PTs'!$L$5)*('4 - DRO'!C28)))</f>
        <v>0</v>
      </c>
      <c r="C73" s="80">
        <f>-('4 - Marina'!D34+'4 - Seaside'!D34+'4 - County'!D34+((1-'HSC 33482.78 PTs'!$L$5)*('4 - DRO'!D28)))</f>
        <v>0</v>
      </c>
      <c r="D73" s="80">
        <f>-('4 - Marina'!E34+'4 - Seaside'!E34+'4 - County'!E34+((1-'HSC 33482.78 PTs'!$L$5)*('4 - DRO'!E28)))</f>
        <v>0</v>
      </c>
      <c r="E73" s="80">
        <f>-('4 - Marina'!F34+'4 - Seaside'!F34+'4 - County'!F34+((1-'HSC 33482.78 PTs'!$L$5)*('4 - DRO'!F28)))</f>
        <v>0</v>
      </c>
      <c r="F73" s="80">
        <f>-('4 - Marina'!G34+'4 - Seaside'!G34+'4 - County'!G34+((1-'HSC 33482.78 PTs'!$L$5)*('4 - DRO'!G28)))</f>
        <v>0</v>
      </c>
      <c r="G73" s="80">
        <f>-('4 - Marina'!H34+'4 - Seaside'!H34+'4 - County'!H34+((1-'HSC 33482.78 PTs'!$L$5)*('4 - DRO'!H28)))</f>
        <v>0</v>
      </c>
      <c r="H73" s="80">
        <f>-('4 - Marina'!I34+'4 - Seaside'!I34+'4 - County'!I34+((1-'HSC 33482.78 PTs'!$L$5)*('4 - DRO'!I28)))</f>
        <v>0</v>
      </c>
      <c r="I73" s="80">
        <f>-('4 - Marina'!J34+'4 - Seaside'!J34+'4 - County'!J34+((1-'HSC 33482.78 PTs'!$L$5)*('4 - DRO'!J28)))</f>
        <v>0</v>
      </c>
      <c r="J73" s="80">
        <f>-('4 - Marina'!K34+'4 - Seaside'!K34+'4 - County'!K34+((1-'HSC 33482.78 PTs'!$L$5)*('4 - DRO'!K28)))</f>
        <v>0</v>
      </c>
      <c r="K73" s="80">
        <f>-('4 - Marina'!L34+'4 - Seaside'!L34+'4 - County'!L34+((1-'HSC 33482.78 PTs'!$L$5)*('4 - DRO'!L28)))</f>
        <v>0</v>
      </c>
      <c r="L73" s="80">
        <f>-('4 - Marina'!M34+'4 - Seaside'!M34+'4 - County'!M34+((1-'HSC 33482.78 PTs'!$L$5)*('4 - DRO'!M28)))</f>
        <v>29519.801355986921</v>
      </c>
      <c r="M73" s="80">
        <f>-('4 - Marina'!N34+'4 - Seaside'!N34+'4 - County'!N34+((1-'HSC 33482.78 PTs'!$L$5)*('4 - DRO'!N28)))</f>
        <v>36063.920617470314</v>
      </c>
      <c r="N73" s="80">
        <f>-('4 - Marina'!O34+'4 - Seaside'!O34+'4 - County'!O34+((1-'HSC 33482.78 PTs'!$L$5)*('4 - DRO'!O28)))</f>
        <v>66929.100050299254</v>
      </c>
      <c r="O73" s="80">
        <f>-('4 - Marina'!P34+'4 - Seaside'!P34+'4 - County'!P34+((1-'HSC 33482.78 PTs'!$L$5)*('4 - DRO'!P28)))</f>
        <v>98411.583071784698</v>
      </c>
      <c r="P73" s="80">
        <f>-('4 - Marina'!Q34+'4 - Seaside'!Q34+'4 - County'!Q34+((1-'HSC 33482.78 PTs'!$L$5)*('4 - DRO'!Q28)))</f>
        <v>130523.71575369986</v>
      </c>
      <c r="Q73" s="80">
        <f>-('4 - Marina'!R34+'4 - Seaside'!R34+'4 - County'!R34+((1-'HSC 33482.78 PTs'!$L$5)*('4 - DRO'!R28)))</f>
        <v>163278.09108925337</v>
      </c>
      <c r="R73" s="80">
        <f>-('4 - Marina'!S34+'4 - Seaside'!S34+'4 - County'!S34+((1-'HSC 33482.78 PTs'!$L$5)*('4 - DRO'!S28)))</f>
        <v>196687.55393151799</v>
      </c>
      <c r="S73" s="80">
        <f>-('4 - Marina'!T34+'4 - Seaside'!T34+'4 - County'!T34+((1-'HSC 33482.78 PTs'!$L$5)*('4 - DRO'!T28)))</f>
        <v>230765.20603062765</v>
      </c>
      <c r="T73" s="80">
        <f>-('4 - Marina'!U34+'4 - Seaside'!U34+'4 - County'!U34+((1-'HSC 33482.78 PTs'!$L$5)*('4 - DRO'!U28)))</f>
        <v>265524.4111717199</v>
      </c>
      <c r="U73" s="80">
        <f>-('4 - Marina'!V34+'4 - Seaside'!V34+'4 - County'!V34+((1-'HSC 33482.78 PTs'!$L$5)*('4 - DRO'!V28)))</f>
        <v>300978.80041563371</v>
      </c>
      <c r="V73" s="80">
        <f>-('4 - Marina'!W34+'4 - Seaside'!W34+'4 - County'!W34+((1-'HSC 33482.78 PTs'!$L$5)*('4 - DRO'!W28)))</f>
        <v>349843.64297247876</v>
      </c>
      <c r="W73" s="80">
        <f>-('4 - Marina'!X34+'4 - Seaside'!X34+'4 - County'!X34+((1-'HSC 33482.78 PTs'!$L$5)*('4 - DRO'!X28)))</f>
        <v>399685.7823804603</v>
      </c>
      <c r="X73" s="80">
        <f>-('4 - Marina'!Y34+'4 - Seaside'!Y34+'4 - County'!Y34+((1-'HSC 33482.78 PTs'!$L$5)*('4 - DRO'!Y28)))</f>
        <v>450524.76457660209</v>
      </c>
      <c r="Y73" s="80">
        <f>-('4 - Marina'!Z34+'4 - Seaside'!Z34+'4 - County'!Z34+((1-'HSC 33482.78 PTs'!$L$5)*('4 - DRO'!Z28)))</f>
        <v>502380.52641666634</v>
      </c>
      <c r="Z73" s="80">
        <f>-('4 - Marina'!AA34+'4 - Seaside'!AA34+'4 - County'!AA34+((1-'HSC 33482.78 PTs'!$L$5)*('4 - DRO'!AA28)))</f>
        <v>555273.40349353186</v>
      </c>
      <c r="AA73" s="80">
        <f>-('4 - Marina'!AB34+'4 - Seaside'!AB34+'4 - County'!AB34+((1-'HSC 33482.78 PTs'!$L$5)*('4 - DRO'!AB28)))</f>
        <v>609224.13811193476</v>
      </c>
      <c r="AB73" s="80">
        <f>-('4 - Marina'!AC34+'4 - Seaside'!AC34+'4 - County'!AC34+((1-'HSC 33482.78 PTs'!$L$5)*('4 - DRO'!AC28)))</f>
        <v>664253.88742270577</v>
      </c>
      <c r="AC73" s="80">
        <f>-('4 - Marina'!AD34+'4 - Seaside'!AD34+'4 - County'!AD34+((1-'HSC 33482.78 PTs'!$L$5)*('4 - DRO'!AD28)))</f>
        <v>720384.23171969189</v>
      </c>
      <c r="AD73" s="80">
        <f>-('4 - Marina'!AE34+'4 - Seaside'!AE34+'4 - County'!AE34+((1-'HSC 33482.78 PTs'!$L$5)*('4 - DRO'!AE28)))</f>
        <v>777637.18290261796</v>
      </c>
      <c r="AE73" s="80">
        <f>-('4 - Marina'!AF34+'4 - Seaside'!AF34+'4 - County'!AF34+((1-'HSC 33482.78 PTs'!$L$5)*('4 - DRO'!AF28)))</f>
        <v>836035.19310920243</v>
      </c>
    </row>
    <row r="74" spans="1:31" x14ac:dyDescent="0.25">
      <c r="A74" s="395" t="s">
        <v>219</v>
      </c>
      <c r="B74" s="80">
        <f>-('4 - Marina'!C35+'4 - Seaside'!C35+'4 - County'!C35+('HSC 33482.78 PTs'!$L$5*'4 - DRO'!C28))</f>
        <v>0</v>
      </c>
      <c r="C74" s="80">
        <f>-('4 - Marina'!D35+'4 - Seaside'!D35+'4 - County'!D35+('HSC 33482.78 PTs'!$L$5*'4 - DRO'!D28))</f>
        <v>0</v>
      </c>
      <c r="D74" s="80">
        <f>-('4 - Marina'!E35+'4 - Seaside'!E35+'4 - County'!E35+('HSC 33482.78 PTs'!$L$5*'4 - DRO'!E28))</f>
        <v>0</v>
      </c>
      <c r="E74" s="80">
        <f>-('4 - Marina'!F35+'4 - Seaside'!F35+'4 - County'!F35+('HSC 33482.78 PTs'!$L$5*'4 - DRO'!F28))</f>
        <v>0</v>
      </c>
      <c r="F74" s="80">
        <f>-('4 - Marina'!G35+'4 - Seaside'!G35+'4 - County'!G35+('HSC 33482.78 PTs'!$L$5*'4 - DRO'!G28))</f>
        <v>0</v>
      </c>
      <c r="G74" s="80">
        <f>-('4 - Marina'!H35+'4 - Seaside'!H35+'4 - County'!H35+('HSC 33482.78 PTs'!$L$5*'4 - DRO'!H28))</f>
        <v>0</v>
      </c>
      <c r="H74" s="80">
        <f>-('4 - Marina'!I35+'4 - Seaside'!I35+'4 - County'!I35+('HSC 33482.78 PTs'!$L$5*'4 - DRO'!I28))</f>
        <v>0</v>
      </c>
      <c r="I74" s="80">
        <f>-('4 - Marina'!J35+'4 - Seaside'!J35+'4 - County'!J35+('HSC 33482.78 PTs'!$L$5*'4 - DRO'!J28))</f>
        <v>0</v>
      </c>
      <c r="J74" s="80">
        <f>-('4 - Marina'!K35+'4 - Seaside'!K35+'4 - County'!K35+('HSC 33482.78 PTs'!$L$5*'4 - DRO'!K28))</f>
        <v>0</v>
      </c>
      <c r="K74" s="80">
        <f>-('4 - Marina'!L35+'4 - Seaside'!L35+'4 - County'!L35+('HSC 33482.78 PTs'!$L$5*'4 - DRO'!L28))</f>
        <v>0</v>
      </c>
      <c r="L74" s="80">
        <f>-('4 - Marina'!M35+'4 - Seaside'!M35+'4 - County'!M35+('HSC 33482.78 PTs'!$L$5*'4 - DRO'!M28))</f>
        <v>3187.9078619033112</v>
      </c>
      <c r="M74" s="80">
        <f>-('4 - Marina'!N35+'4 - Seaside'!N35+'4 - County'!N35+('HSC 33482.78 PTs'!$L$5*'4 - DRO'!N28))</f>
        <v>3894.6216026678562</v>
      </c>
      <c r="N74" s="80">
        <f>-('4 - Marina'!O35+'4 - Seaside'!O35+'4 - County'!O35+('HSC 33482.78 PTs'!$L$5*'4 - DRO'!O28))</f>
        <v>7227.786934890858</v>
      </c>
      <c r="O74" s="80">
        <f>-('4 - Marina'!P35+'4 - Seaside'!P35+'4 - County'!P35+('HSC 33482.78 PTs'!$L$5*'4 - DRO'!P28))</f>
        <v>10627.61557375831</v>
      </c>
      <c r="P74" s="80">
        <f>-('4 - Marina'!Q35+'4 - Seaside'!Q35+'4 - County'!Q35+('HSC 33482.78 PTs'!$L$5*'4 - DRO'!Q28))</f>
        <v>14095.440785403118</v>
      </c>
      <c r="Q74" s="80">
        <f>-('4 - Marina'!R35+'4 - Seaside'!R35+'4 - County'!R35+('HSC 33482.78 PTs'!$L$5*'4 - DRO'!R28))</f>
        <v>17632.622501280821</v>
      </c>
      <c r="R74" s="80">
        <f>-('4 - Marina'!S35+'4 - Seaside'!S35+'4 - County'!S35+('HSC 33482.78 PTs'!$L$5*'4 - DRO'!S28))</f>
        <v>21240.547851476083</v>
      </c>
      <c r="S74" s="80">
        <f>-('4 - Marina'!T35+'4 - Seaside'!T35+'4 - County'!T35+('HSC 33482.78 PTs'!$L$5*'4 - DRO'!T28))</f>
        <v>24920.631708675224</v>
      </c>
      <c r="T74" s="80">
        <f>-('4 - Marina'!U35+'4 - Seaside'!U35+'4 - County'!U35+('HSC 33482.78 PTs'!$L$5*'4 - DRO'!U28))</f>
        <v>28674.317243018391</v>
      </c>
      <c r="U74" s="80">
        <f>-('4 - Marina'!V35+'4 - Seaside'!V35+'4 - County'!V35+('HSC 33482.78 PTs'!$L$5*'4 - DRO'!V28))</f>
        <v>32503.076488048395</v>
      </c>
      <c r="V74" s="80">
        <f>-('4 - Marina'!W35+'4 - Seaside'!W35+'4 - County'!W35+('HSC 33482.78 PTs'!$L$5*'4 - DRO'!W28))</f>
        <v>37780.088513088616</v>
      </c>
      <c r="W74" s="80">
        <f>-('4 - Marina'!X35+'4 - Seaside'!X35+'4 - County'!X35+('HSC 33482.78 PTs'!$L$5*'4 - DRO'!X28))</f>
        <v>43162.640778629604</v>
      </c>
      <c r="X74" s="80">
        <f>-('4 - Marina'!Y35+'4 - Seaside'!Y35+'4 - County'!Y35+('HSC 33482.78 PTs'!$L$5*'4 - DRO'!Y28))</f>
        <v>48652.84408948147</v>
      </c>
      <c r="Y74" s="80">
        <f>-('4 - Marina'!Z35+'4 - Seaside'!Z35+'4 - County'!Z35+('HSC 33482.78 PTs'!$L$5*'4 - DRO'!Z28))</f>
        <v>54252.851466550346</v>
      </c>
      <c r="Z74" s="80">
        <f>-('4 - Marina'!AA35+'4 - Seaside'!AA35+'4 - County'!AA35+('HSC 33482.78 PTs'!$L$5*'4 - DRO'!AA28))</f>
        <v>59964.858991160596</v>
      </c>
      <c r="AA74" s="80">
        <f>-('4 - Marina'!AB35+'4 - Seaside'!AB35+'4 - County'!AB35+('HSC 33482.78 PTs'!$L$5*'4 - DRO'!AB28))</f>
        <v>65791.106666263047</v>
      </c>
      <c r="AB74" s="80">
        <f>-('4 - Marina'!AC35+'4 - Seaside'!AC35+'4 - County'!AC35+('HSC 33482.78 PTs'!$L$5*'4 - DRO'!AC28))</f>
        <v>71733.879294867555</v>
      </c>
      <c r="AC74" s="80">
        <f>-('4 - Marina'!AD35+'4 - Seaside'!AD35+'4 - County'!AD35+('HSC 33482.78 PTs'!$L$5*'4 - DRO'!AD28))</f>
        <v>77795.50737604413</v>
      </c>
      <c r="AD74" s="80">
        <f>-('4 - Marina'!AE35+'4 - Seaside'!AE35+'4 - County'!AE35+('HSC 33482.78 PTs'!$L$5*'4 - DRO'!AE28))</f>
        <v>83978.368018844267</v>
      </c>
      <c r="AE74" s="80">
        <f>-('4 - Marina'!AF35+'4 - Seaside'!AF35+'4 - County'!AF35+('HSC 33482.78 PTs'!$L$5*'4 - DRO'!AF28))</f>
        <v>90284.885874500367</v>
      </c>
    </row>
    <row r="75" spans="1:31" x14ac:dyDescent="0.25"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</row>
    <row r="76" spans="1:31" x14ac:dyDescent="0.25">
      <c r="A76" s="396" t="s">
        <v>337</v>
      </c>
      <c r="B76" s="80">
        <f>SUM(B67,B70,B73)</f>
        <v>1429249.9797435307</v>
      </c>
      <c r="C76" s="80">
        <f t="shared" ref="C76:AE76" si="38">SUM(C67,C70,C73)</f>
        <v>2134264.5260030981</v>
      </c>
      <c r="D76" s="80">
        <f t="shared" si="38"/>
        <v>2713407.1066824757</v>
      </c>
      <c r="E76" s="80">
        <f t="shared" si="38"/>
        <v>3188084.8562527001</v>
      </c>
      <c r="F76" s="80">
        <f t="shared" si="38"/>
        <v>3765050.2804970942</v>
      </c>
      <c r="G76" s="80">
        <f t="shared" si="38"/>
        <v>4330283.87268457</v>
      </c>
      <c r="H76" s="80">
        <f t="shared" si="38"/>
        <v>4986475.5789796906</v>
      </c>
      <c r="I76" s="80">
        <f t="shared" si="38"/>
        <v>5295978.0626538107</v>
      </c>
      <c r="J76" s="80">
        <f t="shared" si="38"/>
        <v>5549378.4699079134</v>
      </c>
      <c r="K76" s="80">
        <f t="shared" si="38"/>
        <v>5797185.2917560162</v>
      </c>
      <c r="L76" s="80">
        <f t="shared" si="38"/>
        <v>6050379.3825544538</v>
      </c>
      <c r="M76" s="80">
        <f t="shared" si="38"/>
        <v>6207721.7722013779</v>
      </c>
      <c r="N76" s="80">
        <f t="shared" si="38"/>
        <v>6375619.8759307386</v>
      </c>
      <c r="O76" s="80">
        <f t="shared" si="38"/>
        <v>6546875.9417346846</v>
      </c>
      <c r="P76" s="80">
        <f t="shared" si="38"/>
        <v>6721557.1288547115</v>
      </c>
      <c r="Q76" s="80">
        <f t="shared" si="38"/>
        <v>6899731.939717141</v>
      </c>
      <c r="R76" s="80">
        <f t="shared" si="38"/>
        <v>7081470.2467968166</v>
      </c>
      <c r="S76" s="80">
        <f t="shared" si="38"/>
        <v>7266843.3200180847</v>
      </c>
      <c r="T76" s="80">
        <f t="shared" si="38"/>
        <v>7455923.8547037803</v>
      </c>
      <c r="U76" s="80">
        <f t="shared" si="38"/>
        <v>7648786.0000831876</v>
      </c>
      <c r="V76" s="80">
        <f t="shared" si="38"/>
        <v>7858206.7538982378</v>
      </c>
      <c r="W76" s="80">
        <f t="shared" si="38"/>
        <v>8071815.9227895886</v>
      </c>
      <c r="X76" s="80">
        <f t="shared" si="38"/>
        <v>8289697.2750587659</v>
      </c>
      <c r="Y76" s="80">
        <f t="shared" si="38"/>
        <v>8511936.2543733269</v>
      </c>
      <c r="Z76" s="80">
        <f t="shared" si="38"/>
        <v>8738620.0132741798</v>
      </c>
      <c r="AA76" s="80">
        <f t="shared" si="38"/>
        <v>8969837.4473530483</v>
      </c>
      <c r="AB76" s="80">
        <f t="shared" si="38"/>
        <v>9205679.230113497</v>
      </c>
      <c r="AC76" s="80">
        <f t="shared" si="38"/>
        <v>9446237.8485291526</v>
      </c>
      <c r="AD76" s="80">
        <f t="shared" si="38"/>
        <v>9691607.6393131204</v>
      </c>
      <c r="AE76" s="80">
        <f t="shared" si="38"/>
        <v>9941884.8259127699</v>
      </c>
    </row>
    <row r="77" spans="1:31" x14ac:dyDescent="0.25">
      <c r="A77" s="396" t="s">
        <v>328</v>
      </c>
      <c r="B77" s="402">
        <f>NPV(Assumptions!D$4,'HSC 33482.78 PTs'!C76:AE76)+'HSC 33482.78 PTs'!B76</f>
        <v>97718616.36496906</v>
      </c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</row>
    <row r="78" spans="1:31" x14ac:dyDescent="0.25">
      <c r="A78" s="396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</row>
    <row r="79" spans="1:31" x14ac:dyDescent="0.25">
      <c r="A79" s="396" t="s">
        <v>338</v>
      </c>
      <c r="B79" s="80">
        <f>B68+B71+B74</f>
        <v>154346.86214657986</v>
      </c>
      <c r="C79" s="80">
        <f t="shared" ref="C79:AE79" si="39">C68+C71+C74</f>
        <v>230482.82883619471</v>
      </c>
      <c r="D79" s="80">
        <f t="shared" si="39"/>
        <v>293025.62605063105</v>
      </c>
      <c r="E79" s="80">
        <f t="shared" si="39"/>
        <v>344286.91776520701</v>
      </c>
      <c r="F79" s="80">
        <f t="shared" si="39"/>
        <v>406594.70939714898</v>
      </c>
      <c r="G79" s="80">
        <f t="shared" si="39"/>
        <v>467635.43091916316</v>
      </c>
      <c r="H79" s="80">
        <f t="shared" si="39"/>
        <v>538498.8888318364</v>
      </c>
      <c r="I79" s="80">
        <f t="shared" si="39"/>
        <v>571922.5377862124</v>
      </c>
      <c r="J79" s="80">
        <f t="shared" si="39"/>
        <v>599287.79712045693</v>
      </c>
      <c r="K79" s="80">
        <f t="shared" si="39"/>
        <v>626048.99166798731</v>
      </c>
      <c r="L79" s="80">
        <f t="shared" si="39"/>
        <v>653391.96757898654</v>
      </c>
      <c r="M79" s="80">
        <f t="shared" si="39"/>
        <v>670383.70838207775</v>
      </c>
      <c r="N79" s="80">
        <f t="shared" si="39"/>
        <v>688515.33312810131</v>
      </c>
      <c r="O79" s="80">
        <f t="shared" si="39"/>
        <v>707009.59036904527</v>
      </c>
      <c r="P79" s="80">
        <f t="shared" si="39"/>
        <v>725873.73275480815</v>
      </c>
      <c r="Q79" s="80">
        <f t="shared" si="39"/>
        <v>745115.15798828634</v>
      </c>
      <c r="R79" s="80">
        <f t="shared" si="39"/>
        <v>764741.41172643402</v>
      </c>
      <c r="S79" s="80">
        <f t="shared" si="39"/>
        <v>784760.19053934456</v>
      </c>
      <c r="T79" s="80">
        <f t="shared" si="39"/>
        <v>805179.34492851363</v>
      </c>
      <c r="U79" s="80">
        <f t="shared" si="39"/>
        <v>826006.88240546582</v>
      </c>
      <c r="V79" s="80">
        <f t="shared" si="39"/>
        <v>848622.64822706685</v>
      </c>
      <c r="W79" s="80">
        <f t="shared" si="39"/>
        <v>871690.72936509945</v>
      </c>
      <c r="X79" s="80">
        <f t="shared" si="39"/>
        <v>895220.1721258933</v>
      </c>
      <c r="Y79" s="80">
        <f t="shared" si="39"/>
        <v>919220.20374190283</v>
      </c>
      <c r="Z79" s="80">
        <f t="shared" si="39"/>
        <v>943700.23599023232</v>
      </c>
      <c r="AA79" s="80">
        <f t="shared" si="39"/>
        <v>968669.86888352863</v>
      </c>
      <c r="AB79" s="80">
        <f t="shared" si="39"/>
        <v>994138.89443469059</v>
      </c>
      <c r="AC79" s="80">
        <f t="shared" si="39"/>
        <v>1020117.3004968761</v>
      </c>
      <c r="AD79" s="80">
        <f t="shared" si="39"/>
        <v>1046615.2746803052</v>
      </c>
      <c r="AE79" s="80">
        <f t="shared" si="39"/>
        <v>1073643.2083474027</v>
      </c>
    </row>
    <row r="80" spans="1:31" x14ac:dyDescent="0.25">
      <c r="A80" s="396" t="s">
        <v>329</v>
      </c>
      <c r="B80" s="402">
        <f>NPV(Assumptions!D$4,'HSC 33482.78 PTs'!C79:AE79)+'HSC 33482.78 PTs'!B79</f>
        <v>10552816.912101246</v>
      </c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</row>
    <row r="81" spans="2:31" x14ac:dyDescent="0.25"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</row>
    <row r="82" spans="2:31" x14ac:dyDescent="0.25"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</row>
    <row r="83" spans="2:31" x14ac:dyDescent="0.25"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</row>
    <row r="84" spans="2:31" x14ac:dyDescent="0.25"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</row>
    <row r="85" spans="2:31" x14ac:dyDescent="0.25"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</row>
    <row r="86" spans="2:31" x14ac:dyDescent="0.25"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</row>
    <row r="87" spans="2:31" x14ac:dyDescent="0.25"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</row>
    <row r="88" spans="2:31" x14ac:dyDescent="0.25"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</row>
    <row r="89" spans="2:31" x14ac:dyDescent="0.25"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</row>
    <row r="90" spans="2:31" x14ac:dyDescent="0.25"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</row>
    <row r="91" spans="2:31" x14ac:dyDescent="0.25"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</row>
    <row r="92" spans="2:31" x14ac:dyDescent="0.25"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</row>
    <row r="93" spans="2:31" x14ac:dyDescent="0.25"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</row>
    <row r="94" spans="2:31" x14ac:dyDescent="0.25"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</row>
    <row r="95" spans="2:31" x14ac:dyDescent="0.25"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</row>
    <row r="96" spans="2:31" x14ac:dyDescent="0.25"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</row>
    <row r="97" spans="2:31" x14ac:dyDescent="0.25"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</row>
    <row r="98" spans="2:31" x14ac:dyDescent="0.25"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</row>
    <row r="99" spans="2:31" x14ac:dyDescent="0.25"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</row>
    <row r="100" spans="2:31" x14ac:dyDescent="0.25"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</row>
    <row r="101" spans="2:31" x14ac:dyDescent="0.25"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</row>
    <row r="102" spans="2:31" x14ac:dyDescent="0.25"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</row>
    <row r="103" spans="2:31" x14ac:dyDescent="0.25"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</row>
    <row r="104" spans="2:31" x14ac:dyDescent="0.25"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</row>
    <row r="105" spans="2:31" x14ac:dyDescent="0.25"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</row>
    <row r="106" spans="2:31" x14ac:dyDescent="0.25"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</row>
    <row r="107" spans="2:31" x14ac:dyDescent="0.25"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</row>
    <row r="108" spans="2:31" x14ac:dyDescent="0.25"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</row>
    <row r="109" spans="2:31" x14ac:dyDescent="0.25"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</row>
    <row r="110" spans="2:31" x14ac:dyDescent="0.25"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</row>
    <row r="111" spans="2:31" x14ac:dyDescent="0.25"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</row>
    <row r="112" spans="2:31" x14ac:dyDescent="0.25"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</row>
    <row r="113" spans="2:31" x14ac:dyDescent="0.25"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</row>
    <row r="114" spans="2:31" x14ac:dyDescent="0.25"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</row>
    <row r="115" spans="2:31" x14ac:dyDescent="0.25"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</row>
    <row r="116" spans="2:31" x14ac:dyDescent="0.25"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</row>
    <row r="117" spans="2:31" x14ac:dyDescent="0.25"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</row>
    <row r="118" spans="2:31" x14ac:dyDescent="0.25"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</row>
    <row r="119" spans="2:31" x14ac:dyDescent="0.25"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</row>
    <row r="120" spans="2:31" x14ac:dyDescent="0.25"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</row>
    <row r="121" spans="2:31" x14ac:dyDescent="0.25"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</row>
    <row r="122" spans="2:31" x14ac:dyDescent="0.25"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</row>
    <row r="123" spans="2:31" x14ac:dyDescent="0.25"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</row>
    <row r="124" spans="2:31" x14ac:dyDescent="0.25"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</row>
    <row r="125" spans="2:31" x14ac:dyDescent="0.25"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</row>
    <row r="126" spans="2:31" x14ac:dyDescent="0.25"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</row>
    <row r="127" spans="2:31" x14ac:dyDescent="0.25"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</row>
    <row r="128" spans="2:31" x14ac:dyDescent="0.25"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</row>
    <row r="129" spans="2:31" x14ac:dyDescent="0.25"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</row>
    <row r="130" spans="2:31" x14ac:dyDescent="0.25"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</row>
    <row r="131" spans="2:31" x14ac:dyDescent="0.25"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</row>
    <row r="132" spans="2:31" x14ac:dyDescent="0.25"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</row>
    <row r="133" spans="2:31" x14ac:dyDescent="0.25"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</row>
    <row r="134" spans="2:31" x14ac:dyDescent="0.25"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</row>
    <row r="135" spans="2:31" x14ac:dyDescent="0.25"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</row>
    <row r="136" spans="2:31" x14ac:dyDescent="0.25"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</row>
    <row r="137" spans="2:31" x14ac:dyDescent="0.25"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</row>
    <row r="138" spans="2:31" x14ac:dyDescent="0.25"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</row>
    <row r="139" spans="2:31" x14ac:dyDescent="0.25"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</row>
    <row r="140" spans="2:31" x14ac:dyDescent="0.25"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</row>
    <row r="141" spans="2:31" x14ac:dyDescent="0.25"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</row>
    <row r="142" spans="2:31" x14ac:dyDescent="0.25"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</row>
    <row r="143" spans="2:31" x14ac:dyDescent="0.25"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</row>
    <row r="144" spans="2:31" x14ac:dyDescent="0.25"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</row>
    <row r="145" spans="2:31" x14ac:dyDescent="0.25"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</row>
    <row r="146" spans="2:31" x14ac:dyDescent="0.25"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</row>
    <row r="147" spans="2:31" x14ac:dyDescent="0.25"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</row>
    <row r="148" spans="2:31" x14ac:dyDescent="0.25"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</row>
    <row r="149" spans="2:31" x14ac:dyDescent="0.25"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</row>
    <row r="150" spans="2:31" x14ac:dyDescent="0.25"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</row>
    <row r="151" spans="2:31" x14ac:dyDescent="0.25"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</row>
    <row r="152" spans="2:31" x14ac:dyDescent="0.25"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</row>
    <row r="153" spans="2:31" x14ac:dyDescent="0.25"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</row>
    <row r="154" spans="2:31" x14ac:dyDescent="0.25"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</row>
    <row r="155" spans="2:31" x14ac:dyDescent="0.25"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</row>
    <row r="156" spans="2:31" x14ac:dyDescent="0.25"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</row>
    <row r="157" spans="2:31" x14ac:dyDescent="0.25"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</row>
    <row r="158" spans="2:31" x14ac:dyDescent="0.25"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</row>
    <row r="159" spans="2:31" x14ac:dyDescent="0.25"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</row>
    <row r="160" spans="2:31" x14ac:dyDescent="0.25"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</row>
    <row r="161" spans="2:31" x14ac:dyDescent="0.25"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</row>
    <row r="162" spans="2:31" x14ac:dyDescent="0.25"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</row>
    <row r="163" spans="2:31" x14ac:dyDescent="0.25"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</row>
    <row r="164" spans="2:31" x14ac:dyDescent="0.25"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</row>
    <row r="165" spans="2:31" x14ac:dyDescent="0.25"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</row>
    <row r="166" spans="2:31" x14ac:dyDescent="0.25"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</row>
    <row r="167" spans="2:31" x14ac:dyDescent="0.25"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</row>
    <row r="168" spans="2:31" x14ac:dyDescent="0.25"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</row>
    <row r="169" spans="2:31" x14ac:dyDescent="0.25"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</row>
    <row r="170" spans="2:31" x14ac:dyDescent="0.25"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</row>
    <row r="171" spans="2:31" x14ac:dyDescent="0.25">
      <c r="B171" s="80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</row>
    <row r="172" spans="2:31" x14ac:dyDescent="0.25"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</row>
    <row r="173" spans="2:31" x14ac:dyDescent="0.25"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</row>
    <row r="174" spans="2:31" x14ac:dyDescent="0.25"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</row>
    <row r="175" spans="2:31" x14ac:dyDescent="0.25"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</row>
    <row r="176" spans="2:31" x14ac:dyDescent="0.25"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</row>
    <row r="177" spans="2:31" x14ac:dyDescent="0.25"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</row>
    <row r="178" spans="2:31" x14ac:dyDescent="0.25"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</row>
    <row r="179" spans="2:31" x14ac:dyDescent="0.25">
      <c r="B179" s="80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</row>
    <row r="180" spans="2:31" x14ac:dyDescent="0.25">
      <c r="B180" s="80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</row>
    <row r="181" spans="2:31" x14ac:dyDescent="0.25"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</row>
    <row r="182" spans="2:31" x14ac:dyDescent="0.25"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</row>
    <row r="183" spans="2:31" x14ac:dyDescent="0.25"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</row>
    <row r="184" spans="2:31" x14ac:dyDescent="0.25"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</row>
    <row r="185" spans="2:31" x14ac:dyDescent="0.25"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</row>
    <row r="186" spans="2:31" x14ac:dyDescent="0.25"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</row>
    <row r="187" spans="2:31" x14ac:dyDescent="0.25"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</row>
    <row r="188" spans="2:31" x14ac:dyDescent="0.25"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</row>
    <row r="189" spans="2:31" x14ac:dyDescent="0.25"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</row>
    <row r="190" spans="2:31" x14ac:dyDescent="0.25"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</row>
    <row r="191" spans="2:31" x14ac:dyDescent="0.25"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</row>
    <row r="192" spans="2:31" x14ac:dyDescent="0.25"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</row>
    <row r="193" spans="2:31" x14ac:dyDescent="0.25">
      <c r="B193" s="80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</row>
    <row r="194" spans="2:31" x14ac:dyDescent="0.25">
      <c r="B194" s="80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</row>
    <row r="195" spans="2:31" x14ac:dyDescent="0.25">
      <c r="B195" s="80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</row>
    <row r="196" spans="2:31" x14ac:dyDescent="0.25">
      <c r="B196" s="80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</row>
    <row r="197" spans="2:31" x14ac:dyDescent="0.25">
      <c r="B197" s="80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</row>
    <row r="198" spans="2:31" x14ac:dyDescent="0.25">
      <c r="B198" s="80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</row>
    <row r="199" spans="2:31" x14ac:dyDescent="0.25">
      <c r="B199" s="80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</row>
    <row r="200" spans="2:31" x14ac:dyDescent="0.25"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</row>
    <row r="201" spans="2:31" x14ac:dyDescent="0.25">
      <c r="B201" s="80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</row>
    <row r="202" spans="2:31" x14ac:dyDescent="0.25">
      <c r="B202" s="80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</row>
    <row r="203" spans="2:31" x14ac:dyDescent="0.25">
      <c r="B203" s="80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</row>
    <row r="204" spans="2:31" x14ac:dyDescent="0.25"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</row>
    <row r="205" spans="2:31" x14ac:dyDescent="0.25">
      <c r="B205" s="80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</row>
    <row r="206" spans="2:31" x14ac:dyDescent="0.25"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</row>
    <row r="207" spans="2:31" x14ac:dyDescent="0.25">
      <c r="B207" s="80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</row>
    <row r="208" spans="2:31" x14ac:dyDescent="0.25">
      <c r="B208" s="80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</row>
    <row r="209" spans="2:31" x14ac:dyDescent="0.25">
      <c r="B209" s="80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</row>
    <row r="210" spans="2:31" x14ac:dyDescent="0.25">
      <c r="B210" s="80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</row>
    <row r="211" spans="2:31" x14ac:dyDescent="0.25">
      <c r="B211" s="80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</row>
    <row r="212" spans="2:31" x14ac:dyDescent="0.25">
      <c r="B212" s="80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</row>
    <row r="213" spans="2:31" x14ac:dyDescent="0.25">
      <c r="B213" s="80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</row>
    <row r="214" spans="2:31" x14ac:dyDescent="0.25"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</row>
    <row r="215" spans="2:31" x14ac:dyDescent="0.25"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</row>
    <row r="216" spans="2:31" x14ac:dyDescent="0.25">
      <c r="B216" s="80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</row>
    <row r="217" spans="2:31" x14ac:dyDescent="0.25"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</row>
    <row r="218" spans="2:31" x14ac:dyDescent="0.25">
      <c r="B218" s="80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</row>
    <row r="219" spans="2:31" x14ac:dyDescent="0.25"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</row>
    <row r="220" spans="2:31" x14ac:dyDescent="0.25">
      <c r="B220" s="80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</row>
    <row r="221" spans="2:31" x14ac:dyDescent="0.25">
      <c r="B221" s="80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</row>
    <row r="222" spans="2:31" x14ac:dyDescent="0.25">
      <c r="B222" s="80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</row>
    <row r="223" spans="2:31" x14ac:dyDescent="0.25">
      <c r="B223" s="80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</row>
    <row r="224" spans="2:31" x14ac:dyDescent="0.25">
      <c r="B224" s="80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</row>
    <row r="225" spans="2:31" x14ac:dyDescent="0.25">
      <c r="B225" s="80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</row>
    <row r="226" spans="2:31" x14ac:dyDescent="0.25"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</row>
    <row r="227" spans="2:31" x14ac:dyDescent="0.25">
      <c r="B227" s="80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</row>
    <row r="228" spans="2:31" x14ac:dyDescent="0.25">
      <c r="B228" s="80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</row>
    <row r="229" spans="2:31" x14ac:dyDescent="0.25">
      <c r="B229" s="80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</row>
    <row r="230" spans="2:31" x14ac:dyDescent="0.25"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</row>
    <row r="231" spans="2:31" x14ac:dyDescent="0.25">
      <c r="B231" s="80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</row>
    <row r="232" spans="2:31" x14ac:dyDescent="0.25"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</row>
    <row r="233" spans="2:31" x14ac:dyDescent="0.25"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</row>
    <row r="234" spans="2:31" x14ac:dyDescent="0.25">
      <c r="B234" s="80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</row>
    <row r="235" spans="2:31" x14ac:dyDescent="0.25"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</row>
    <row r="236" spans="2:31" x14ac:dyDescent="0.25"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</row>
    <row r="237" spans="2:31" x14ac:dyDescent="0.25"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</row>
    <row r="238" spans="2:31" x14ac:dyDescent="0.25">
      <c r="B238" s="80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</row>
    <row r="239" spans="2:31" x14ac:dyDescent="0.25">
      <c r="B239" s="80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</row>
    <row r="240" spans="2:31" x14ac:dyDescent="0.25"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</row>
    <row r="241" spans="2:31" x14ac:dyDescent="0.25"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</row>
    <row r="242" spans="2:31" x14ac:dyDescent="0.25">
      <c r="B242" s="80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</row>
    <row r="243" spans="2:31" x14ac:dyDescent="0.25"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</row>
    <row r="244" spans="2:31" x14ac:dyDescent="0.25">
      <c r="B244" s="80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</row>
    <row r="245" spans="2:31" x14ac:dyDescent="0.25">
      <c r="B245" s="80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</row>
    <row r="246" spans="2:31" x14ac:dyDescent="0.25">
      <c r="B246" s="80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</row>
    <row r="247" spans="2:31" x14ac:dyDescent="0.25">
      <c r="B247" s="80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</row>
    <row r="248" spans="2:31" x14ac:dyDescent="0.25">
      <c r="B248" s="80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</row>
    <row r="249" spans="2:31" x14ac:dyDescent="0.25">
      <c r="B249" s="80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</row>
    <row r="250" spans="2:31" x14ac:dyDescent="0.25">
      <c r="B250" s="80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</row>
    <row r="251" spans="2:31" x14ac:dyDescent="0.25">
      <c r="B251" s="80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</row>
    <row r="252" spans="2:31" x14ac:dyDescent="0.25">
      <c r="B252" s="80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</row>
    <row r="253" spans="2:31" x14ac:dyDescent="0.25">
      <c r="B253" s="80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</row>
    <row r="254" spans="2:31" x14ac:dyDescent="0.25">
      <c r="B254" s="80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</row>
    <row r="255" spans="2:31" x14ac:dyDescent="0.25"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</row>
    <row r="256" spans="2:31" x14ac:dyDescent="0.25">
      <c r="B256" s="80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</row>
    <row r="257" spans="2:31" x14ac:dyDescent="0.25">
      <c r="B257" s="80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</row>
    <row r="258" spans="2:31" x14ac:dyDescent="0.25">
      <c r="B258" s="80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</row>
    <row r="259" spans="2:31" x14ac:dyDescent="0.25">
      <c r="B259" s="80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</row>
    <row r="260" spans="2:31" x14ac:dyDescent="0.25">
      <c r="B260" s="80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</row>
    <row r="261" spans="2:31" x14ac:dyDescent="0.25">
      <c r="B261" s="80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</row>
    <row r="262" spans="2:31" x14ac:dyDescent="0.25"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</row>
    <row r="263" spans="2:31" x14ac:dyDescent="0.25">
      <c r="B263" s="80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</row>
    <row r="264" spans="2:31" x14ac:dyDescent="0.25">
      <c r="B264" s="80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</row>
    <row r="265" spans="2:31" x14ac:dyDescent="0.25">
      <c r="B265" s="80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</row>
    <row r="266" spans="2:31" x14ac:dyDescent="0.25">
      <c r="B266" s="80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</row>
    <row r="267" spans="2:31" x14ac:dyDescent="0.25">
      <c r="B267" s="80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</row>
    <row r="268" spans="2:31" x14ac:dyDescent="0.25">
      <c r="B268" s="80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</row>
    <row r="269" spans="2:31" x14ac:dyDescent="0.25">
      <c r="B269" s="80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</row>
    <row r="270" spans="2:31" x14ac:dyDescent="0.25">
      <c r="B270" s="80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</row>
    <row r="271" spans="2:31" x14ac:dyDescent="0.25"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</row>
    <row r="272" spans="2:31" x14ac:dyDescent="0.25">
      <c r="B272" s="80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</row>
    <row r="273" spans="2:31" x14ac:dyDescent="0.25">
      <c r="B273" s="80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</row>
    <row r="274" spans="2:31" x14ac:dyDescent="0.25">
      <c r="B274" s="80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</row>
    <row r="275" spans="2:31" x14ac:dyDescent="0.25">
      <c r="B275" s="80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</row>
    <row r="276" spans="2:31" x14ac:dyDescent="0.25">
      <c r="B276" s="80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</row>
    <row r="277" spans="2:31" x14ac:dyDescent="0.25">
      <c r="B277" s="80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</row>
    <row r="278" spans="2:31" x14ac:dyDescent="0.25">
      <c r="B278" s="80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</row>
    <row r="279" spans="2:31" x14ac:dyDescent="0.25">
      <c r="B279" s="80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</row>
    <row r="280" spans="2:31" x14ac:dyDescent="0.25">
      <c r="B280" s="80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</row>
    <row r="281" spans="2:31" x14ac:dyDescent="0.25">
      <c r="B281" s="80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</row>
    <row r="282" spans="2:31" x14ac:dyDescent="0.25">
      <c r="B282" s="80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</row>
    <row r="283" spans="2:31" x14ac:dyDescent="0.25">
      <c r="B283" s="80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</row>
    <row r="284" spans="2:31" x14ac:dyDescent="0.25">
      <c r="B284" s="80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</row>
    <row r="285" spans="2:31" x14ac:dyDescent="0.25">
      <c r="B285" s="80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</row>
    <row r="286" spans="2:31" x14ac:dyDescent="0.25">
      <c r="B286" s="80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</row>
  </sheetData>
  <mergeCells count="9">
    <mergeCell ref="B64:E64"/>
    <mergeCell ref="F64:M64"/>
    <mergeCell ref="B7:C7"/>
    <mergeCell ref="D7:L7"/>
    <mergeCell ref="H1:L1"/>
    <mergeCell ref="B26:C26"/>
    <mergeCell ref="D26:L26"/>
    <mergeCell ref="B45:E45"/>
    <mergeCell ref="F45:M4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showGridLines="0" workbookViewId="0">
      <selection activeCell="E39" sqref="E39"/>
    </sheetView>
  </sheetViews>
  <sheetFormatPr defaultColWidth="8.85546875" defaultRowHeight="15" x14ac:dyDescent="0.25"/>
  <cols>
    <col min="1" max="1" width="49.7109375" customWidth="1"/>
    <col min="2" max="2" width="15.28515625" customWidth="1"/>
    <col min="3" max="13" width="13.28515625" customWidth="1"/>
    <col min="14" max="14" width="2.7109375" customWidth="1"/>
    <col min="15" max="15" width="13.85546875" customWidth="1"/>
  </cols>
  <sheetData>
    <row r="1" spans="1:16" ht="18.75" x14ac:dyDescent="0.3">
      <c r="A1" s="53" t="s">
        <v>56</v>
      </c>
    </row>
    <row r="2" spans="1:16" ht="18.75" x14ac:dyDescent="0.3">
      <c r="A2" s="54" t="s">
        <v>57</v>
      </c>
    </row>
    <row r="3" spans="1:16" ht="18.75" x14ac:dyDescent="0.3">
      <c r="A3" s="54"/>
    </row>
    <row r="4" spans="1:16" ht="18.75" x14ac:dyDescent="0.3">
      <c r="A4" s="55" t="s">
        <v>5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6" x14ac:dyDescent="0.25">
      <c r="A5" s="52" t="str">
        <f>CONCATENATE(A4," Successor Agency Share of Residual Allocation")</f>
        <v>UC Successor Agency Share of Residual Allocation</v>
      </c>
      <c r="B5" s="115">
        <v>0.25</v>
      </c>
    </row>
    <row r="6" spans="1:16" x14ac:dyDescent="0.25">
      <c r="A6" s="52" t="s">
        <v>10</v>
      </c>
      <c r="B6" s="116">
        <v>2766.6247679999988</v>
      </c>
    </row>
    <row r="7" spans="1:16" x14ac:dyDescent="0.25">
      <c r="A7" s="52" t="s">
        <v>11</v>
      </c>
      <c r="B7" s="117">
        <v>0</v>
      </c>
      <c r="C7" s="455" t="s">
        <v>59</v>
      </c>
      <c r="D7" s="449"/>
      <c r="E7" s="456" t="s">
        <v>60</v>
      </c>
      <c r="F7" s="456"/>
      <c r="G7" s="456"/>
      <c r="H7" s="456"/>
      <c r="I7" s="456"/>
      <c r="J7" s="456"/>
      <c r="K7" s="456"/>
      <c r="L7" s="456"/>
      <c r="M7" s="456"/>
    </row>
    <row r="8" spans="1:16" x14ac:dyDescent="0.25">
      <c r="A8" s="78" t="s">
        <v>72</v>
      </c>
      <c r="B8" s="98" t="s">
        <v>9</v>
      </c>
      <c r="C8" s="97">
        <v>201819</v>
      </c>
      <c r="D8" s="97">
        <f t="shared" ref="D8:M8" si="0">C8+101</f>
        <v>201920</v>
      </c>
      <c r="E8" s="57">
        <f t="shared" si="0"/>
        <v>202021</v>
      </c>
      <c r="F8" s="57">
        <f t="shared" si="0"/>
        <v>202122</v>
      </c>
      <c r="G8" s="57">
        <f t="shared" si="0"/>
        <v>202223</v>
      </c>
      <c r="H8" s="57">
        <f t="shared" si="0"/>
        <v>202324</v>
      </c>
      <c r="I8" s="57">
        <f t="shared" si="0"/>
        <v>202425</v>
      </c>
      <c r="J8" s="57">
        <f t="shared" si="0"/>
        <v>202526</v>
      </c>
      <c r="K8" s="57">
        <f>J8+101</f>
        <v>202627</v>
      </c>
      <c r="L8" s="57">
        <f t="shared" si="0"/>
        <v>202728</v>
      </c>
      <c r="M8" s="58">
        <f t="shared" si="0"/>
        <v>202829</v>
      </c>
      <c r="N8" s="48"/>
      <c r="O8" s="22" t="s">
        <v>6</v>
      </c>
    </row>
    <row r="9" spans="1:16" x14ac:dyDescent="0.25">
      <c r="A9" s="59" t="s">
        <v>43</v>
      </c>
      <c r="B9" s="118">
        <v>533000</v>
      </c>
      <c r="C9" s="60">
        <v>0</v>
      </c>
      <c r="D9" s="60">
        <v>0</v>
      </c>
      <c r="E9" s="60">
        <v>110</v>
      </c>
      <c r="F9" s="60">
        <v>110</v>
      </c>
      <c r="G9" s="60">
        <v>20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1">
        <v>0</v>
      </c>
      <c r="N9" s="48"/>
      <c r="O9" s="20">
        <f>SUM(C9:M9)</f>
        <v>240</v>
      </c>
    </row>
    <row r="10" spans="1:16" x14ac:dyDescent="0.25">
      <c r="A10" s="59" t="s">
        <v>44</v>
      </c>
      <c r="B10" s="119">
        <v>220</v>
      </c>
      <c r="C10" s="60">
        <v>0</v>
      </c>
      <c r="D10" s="60">
        <v>60000</v>
      </c>
      <c r="E10" s="60">
        <v>80000</v>
      </c>
      <c r="F10" s="60">
        <v>180000</v>
      </c>
      <c r="G10" s="60">
        <v>180000</v>
      </c>
      <c r="H10" s="60">
        <v>180000</v>
      </c>
      <c r="I10" s="60">
        <v>0</v>
      </c>
      <c r="J10" s="60">
        <v>0</v>
      </c>
      <c r="K10" s="60">
        <v>0</v>
      </c>
      <c r="L10" s="60">
        <v>0</v>
      </c>
      <c r="M10" s="61">
        <v>0</v>
      </c>
      <c r="N10" s="48"/>
      <c r="O10" s="20">
        <f t="shared" ref="O10:O13" si="1">SUM(C10:M10)</f>
        <v>680000</v>
      </c>
    </row>
    <row r="11" spans="1:16" x14ac:dyDescent="0.25">
      <c r="A11" s="59" t="s">
        <v>45</v>
      </c>
      <c r="B11" s="119">
        <v>90</v>
      </c>
      <c r="C11" s="60">
        <v>0</v>
      </c>
      <c r="D11" s="60">
        <v>20000</v>
      </c>
      <c r="E11" s="60">
        <v>20000</v>
      </c>
      <c r="F11" s="60">
        <v>20000</v>
      </c>
      <c r="G11" s="60">
        <v>20000</v>
      </c>
      <c r="H11" s="60">
        <v>20000</v>
      </c>
      <c r="I11" s="60">
        <v>0</v>
      </c>
      <c r="J11" s="60">
        <v>0</v>
      </c>
      <c r="K11" s="60">
        <v>0</v>
      </c>
      <c r="L11" s="60">
        <v>0</v>
      </c>
      <c r="M11" s="61">
        <v>0</v>
      </c>
      <c r="N11" s="48"/>
      <c r="O11" s="20">
        <f t="shared" si="1"/>
        <v>100000</v>
      </c>
    </row>
    <row r="12" spans="1:16" x14ac:dyDescent="0.25">
      <c r="A12" s="59" t="s">
        <v>46</v>
      </c>
      <c r="B12" s="119">
        <v>265</v>
      </c>
      <c r="C12" s="60">
        <v>0</v>
      </c>
      <c r="D12" s="60">
        <v>0</v>
      </c>
      <c r="E12" s="60">
        <v>62500</v>
      </c>
      <c r="F12" s="60">
        <v>82500</v>
      </c>
      <c r="G12" s="60">
        <v>82500</v>
      </c>
      <c r="H12" s="60">
        <v>82500</v>
      </c>
      <c r="I12" s="60">
        <v>0</v>
      </c>
      <c r="J12" s="60">
        <v>0</v>
      </c>
      <c r="K12" s="60">
        <v>0</v>
      </c>
      <c r="L12" s="60">
        <v>0</v>
      </c>
      <c r="M12" s="61">
        <v>0</v>
      </c>
      <c r="N12" s="48"/>
      <c r="O12" s="20">
        <f t="shared" si="1"/>
        <v>310000</v>
      </c>
    </row>
    <row r="13" spans="1:16" x14ac:dyDescent="0.25">
      <c r="A13" s="62" t="s">
        <v>47</v>
      </c>
      <c r="B13" s="120">
        <v>162000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4">
        <v>0</v>
      </c>
      <c r="N13" s="48"/>
      <c r="O13" s="20">
        <f t="shared" si="1"/>
        <v>0</v>
      </c>
    </row>
    <row r="14" spans="1:16" x14ac:dyDescent="0.25">
      <c r="A14" s="14" t="s">
        <v>49</v>
      </c>
      <c r="B14" s="14"/>
      <c r="C14" s="79">
        <f>SUMPRODUCT($B$9:$B$13,C9:C13)</f>
        <v>0</v>
      </c>
      <c r="D14" s="79">
        <f>SUMPRODUCT($B$9:$B$13,D9:D13)</f>
        <v>15000000</v>
      </c>
      <c r="E14" s="79">
        <f t="shared" ref="E14:M14" si="2">SUMPRODUCT($B$9:$B$13,E9:E13)</f>
        <v>94592500</v>
      </c>
      <c r="F14" s="79">
        <f t="shared" si="2"/>
        <v>121892500</v>
      </c>
      <c r="G14" s="79">
        <f t="shared" si="2"/>
        <v>73922500</v>
      </c>
      <c r="H14" s="79">
        <f t="shared" si="2"/>
        <v>63262500</v>
      </c>
      <c r="I14" s="79">
        <f t="shared" si="2"/>
        <v>0</v>
      </c>
      <c r="J14" s="79">
        <f t="shared" si="2"/>
        <v>0</v>
      </c>
      <c r="K14" s="79">
        <f t="shared" si="2"/>
        <v>0</v>
      </c>
      <c r="L14" s="79">
        <f t="shared" si="2"/>
        <v>0</v>
      </c>
      <c r="M14" s="79">
        <f t="shared" si="2"/>
        <v>0</v>
      </c>
      <c r="N14" s="81"/>
      <c r="O14" s="81">
        <f>($B$9*O9)+($B$10*O10)+($B$11*O11)+($B$12*O12)+($B$13*O13)</f>
        <v>368670000</v>
      </c>
      <c r="P14" s="14"/>
    </row>
    <row r="15" spans="1:16" x14ac:dyDescent="0.25">
      <c r="A15" s="14" t="s">
        <v>55</v>
      </c>
      <c r="B15" s="14"/>
      <c r="C15" s="74">
        <v>0</v>
      </c>
      <c r="D15" s="74">
        <v>7726688</v>
      </c>
      <c r="E15" s="74">
        <v>71193182</v>
      </c>
      <c r="F15" s="74">
        <v>86748692</v>
      </c>
      <c r="G15" s="74">
        <v>43837110</v>
      </c>
      <c r="H15" s="74">
        <v>34586977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5"/>
      <c r="O15" s="76">
        <f>SUM(C15:M15)</f>
        <v>244092649</v>
      </c>
      <c r="P15" s="77">
        <f>O15/O14-1</f>
        <v>-0.33791019339788975</v>
      </c>
    </row>
    <row r="16" spans="1:16" x14ac:dyDescent="0.25">
      <c r="A16" t="s">
        <v>71</v>
      </c>
      <c r="C16" s="88">
        <v>2258404</v>
      </c>
      <c r="D16" s="89">
        <v>2292280</v>
      </c>
      <c r="E16" s="66">
        <v>10053352</v>
      </c>
      <c r="F16" s="66">
        <v>81397334</v>
      </c>
      <c r="G16" s="66">
        <v>169366987</v>
      </c>
      <c r="H16" s="66">
        <v>215744602</v>
      </c>
      <c r="I16" s="66">
        <v>253567748</v>
      </c>
      <c r="J16" s="66">
        <v>257371264</v>
      </c>
      <c r="K16" s="66">
        <v>261231833</v>
      </c>
      <c r="L16" s="66">
        <v>265150310</v>
      </c>
      <c r="M16" s="66">
        <v>269127565</v>
      </c>
      <c r="N16" s="48"/>
      <c r="O16" s="48"/>
    </row>
    <row r="17" spans="1:15" x14ac:dyDescent="0.25">
      <c r="A17" t="s">
        <v>68</v>
      </c>
      <c r="B17" s="8"/>
      <c r="C17" s="90">
        <v>33876</v>
      </c>
      <c r="D17" s="90">
        <v>34384</v>
      </c>
      <c r="E17" s="67">
        <v>150800</v>
      </c>
      <c r="F17" s="67">
        <v>1220960</v>
      </c>
      <c r="G17" s="67">
        <v>2540505</v>
      </c>
      <c r="H17" s="67">
        <v>3236169</v>
      </c>
      <c r="I17" s="67">
        <v>3803516</v>
      </c>
      <c r="J17" s="67">
        <v>3860569</v>
      </c>
      <c r="K17" s="67">
        <v>3918477</v>
      </c>
      <c r="L17" s="67">
        <v>3977255</v>
      </c>
      <c r="M17" s="67">
        <v>4036913</v>
      </c>
      <c r="N17" s="48"/>
      <c r="O17" s="48"/>
    </row>
    <row r="18" spans="1:15" x14ac:dyDescent="0.25">
      <c r="A18" t="s">
        <v>50</v>
      </c>
      <c r="C18" s="91">
        <f>C17+C16+C15</f>
        <v>2292280</v>
      </c>
      <c r="D18" s="91">
        <f>D17+D16+D15</f>
        <v>10053352</v>
      </c>
      <c r="E18" s="68">
        <f>E17+E16+E15</f>
        <v>81397334</v>
      </c>
      <c r="F18" s="68">
        <f t="shared" ref="F18:M18" si="3">F17+F16+F15</f>
        <v>169366986</v>
      </c>
      <c r="G18" s="68">
        <f t="shared" si="3"/>
        <v>215744602</v>
      </c>
      <c r="H18" s="68">
        <f t="shared" si="3"/>
        <v>253567748</v>
      </c>
      <c r="I18" s="68">
        <f t="shared" si="3"/>
        <v>257371264</v>
      </c>
      <c r="J18" s="68">
        <f t="shared" si="3"/>
        <v>261231833</v>
      </c>
      <c r="K18" s="68">
        <f t="shared" si="3"/>
        <v>265150310</v>
      </c>
      <c r="L18" s="68">
        <f t="shared" si="3"/>
        <v>269127565</v>
      </c>
      <c r="M18" s="68">
        <f t="shared" si="3"/>
        <v>273164478</v>
      </c>
      <c r="N18" s="48"/>
      <c r="O18" s="48"/>
    </row>
    <row r="19" spans="1:15" x14ac:dyDescent="0.25">
      <c r="A19" t="s">
        <v>12</v>
      </c>
      <c r="C19" s="94">
        <f t="shared" ref="C19:M19" si="4">-$B$7</f>
        <v>0</v>
      </c>
      <c r="D19" s="94">
        <f t="shared" si="4"/>
        <v>0</v>
      </c>
      <c r="E19" s="56">
        <f t="shared" si="4"/>
        <v>0</v>
      </c>
      <c r="F19" s="56">
        <f t="shared" si="4"/>
        <v>0</v>
      </c>
      <c r="G19" s="56">
        <f t="shared" si="4"/>
        <v>0</v>
      </c>
      <c r="H19" s="56">
        <f t="shared" si="4"/>
        <v>0</v>
      </c>
      <c r="I19" s="56">
        <f t="shared" si="4"/>
        <v>0</v>
      </c>
      <c r="J19" s="56">
        <f t="shared" si="4"/>
        <v>0</v>
      </c>
      <c r="K19" s="56">
        <f t="shared" si="4"/>
        <v>0</v>
      </c>
      <c r="L19" s="56">
        <f t="shared" si="4"/>
        <v>0</v>
      </c>
      <c r="M19" s="56">
        <f t="shared" si="4"/>
        <v>0</v>
      </c>
      <c r="N19" s="48"/>
      <c r="O19" s="48"/>
    </row>
    <row r="20" spans="1:15" x14ac:dyDescent="0.25">
      <c r="A20" s="1" t="s">
        <v>51</v>
      </c>
      <c r="C20" s="93">
        <f t="shared" ref="C20:M20" si="5">SUM(C18:C19)</f>
        <v>2292280</v>
      </c>
      <c r="D20" s="93">
        <f t="shared" si="5"/>
        <v>10053352</v>
      </c>
      <c r="E20" s="70">
        <f t="shared" si="5"/>
        <v>81397334</v>
      </c>
      <c r="F20" s="70">
        <f t="shared" si="5"/>
        <v>169366986</v>
      </c>
      <c r="G20" s="70">
        <f t="shared" si="5"/>
        <v>215744602</v>
      </c>
      <c r="H20" s="70">
        <f t="shared" si="5"/>
        <v>253567748</v>
      </c>
      <c r="I20" s="70">
        <f t="shared" si="5"/>
        <v>257371264</v>
      </c>
      <c r="J20" s="70">
        <f t="shared" si="5"/>
        <v>261231833</v>
      </c>
      <c r="K20" s="70">
        <f t="shared" si="5"/>
        <v>265150310</v>
      </c>
      <c r="L20" s="70">
        <f t="shared" si="5"/>
        <v>269127565</v>
      </c>
      <c r="M20" s="70">
        <f t="shared" si="5"/>
        <v>273164478</v>
      </c>
      <c r="N20" s="48"/>
      <c r="O20" s="48"/>
    </row>
    <row r="21" spans="1:15" ht="8.1" customHeight="1" x14ac:dyDescent="0.25">
      <c r="C21" s="91"/>
      <c r="D21" s="91"/>
      <c r="E21" s="68"/>
      <c r="F21" s="68"/>
      <c r="G21" s="68"/>
      <c r="H21" s="68"/>
      <c r="I21" s="68"/>
      <c r="J21" s="68"/>
      <c r="K21" s="68"/>
      <c r="L21" s="68"/>
      <c r="M21" s="68"/>
      <c r="N21" s="48"/>
      <c r="O21" s="48"/>
    </row>
    <row r="22" spans="1:15" x14ac:dyDescent="0.25">
      <c r="A22" t="s">
        <v>42</v>
      </c>
      <c r="B22" s="86">
        <v>0.01</v>
      </c>
      <c r="C22" s="91">
        <f>$B22*C20</f>
        <v>22922.799999999999</v>
      </c>
      <c r="D22" s="91">
        <f t="shared" ref="D22:M22" si="6">1%*D20</f>
        <v>100533.52</v>
      </c>
      <c r="E22" s="68">
        <f t="shared" si="6"/>
        <v>813973.34</v>
      </c>
      <c r="F22" s="68">
        <f t="shared" si="6"/>
        <v>1693669.86</v>
      </c>
      <c r="G22" s="68">
        <f t="shared" si="6"/>
        <v>2157446.02</v>
      </c>
      <c r="H22" s="68">
        <f t="shared" si="6"/>
        <v>2535677.48</v>
      </c>
      <c r="I22" s="68">
        <f t="shared" si="6"/>
        <v>2573712.64</v>
      </c>
      <c r="J22" s="68">
        <f t="shared" si="6"/>
        <v>2612318.33</v>
      </c>
      <c r="K22" s="68">
        <f t="shared" si="6"/>
        <v>2651503.1</v>
      </c>
      <c r="L22" s="68">
        <f t="shared" si="6"/>
        <v>2691275.65</v>
      </c>
      <c r="M22" s="68">
        <f t="shared" si="6"/>
        <v>2731644.7800000003</v>
      </c>
      <c r="N22" s="48"/>
      <c r="O22" s="48"/>
    </row>
    <row r="23" spans="1:15" x14ac:dyDescent="0.25">
      <c r="A23" t="s">
        <v>41</v>
      </c>
      <c r="B23" s="121">
        <v>0.2</v>
      </c>
      <c r="C23" s="92">
        <f t="shared" ref="C23:M23" si="7">-$B23*C22</f>
        <v>-4584.5600000000004</v>
      </c>
      <c r="D23" s="92">
        <f t="shared" si="7"/>
        <v>-20106.704000000002</v>
      </c>
      <c r="E23" s="69">
        <f t="shared" si="7"/>
        <v>-162794.66800000001</v>
      </c>
      <c r="F23" s="69">
        <f t="shared" si="7"/>
        <v>-338733.97200000007</v>
      </c>
      <c r="G23" s="69">
        <f t="shared" si="7"/>
        <v>-431489.20400000003</v>
      </c>
      <c r="H23" s="69">
        <f t="shared" si="7"/>
        <v>-507135.49600000004</v>
      </c>
      <c r="I23" s="69">
        <f t="shared" si="7"/>
        <v>-514742.52800000005</v>
      </c>
      <c r="J23" s="69">
        <f t="shared" si="7"/>
        <v>-522463.66600000003</v>
      </c>
      <c r="K23" s="69">
        <f t="shared" si="7"/>
        <v>-530300.62</v>
      </c>
      <c r="L23" s="69">
        <f t="shared" si="7"/>
        <v>-538255.13</v>
      </c>
      <c r="M23" s="69">
        <f t="shared" si="7"/>
        <v>-546328.95600000012</v>
      </c>
      <c r="N23" s="27"/>
      <c r="O23" s="48"/>
    </row>
    <row r="24" spans="1:15" x14ac:dyDescent="0.25">
      <c r="A24" s="1" t="s">
        <v>69</v>
      </c>
      <c r="B24" s="122"/>
      <c r="C24" s="108">
        <f>SUM(C22:C23)</f>
        <v>18338.239999999998</v>
      </c>
      <c r="D24" s="108">
        <f t="shared" ref="D24:M24" si="8">SUM(D22:D23)</f>
        <v>80426.816000000006</v>
      </c>
      <c r="E24" s="71">
        <f t="shared" si="8"/>
        <v>651178.67200000002</v>
      </c>
      <c r="F24" s="71">
        <f t="shared" si="8"/>
        <v>1354935.888</v>
      </c>
      <c r="G24" s="71">
        <f t="shared" si="8"/>
        <v>1725956.8160000001</v>
      </c>
      <c r="H24" s="71">
        <f t="shared" si="8"/>
        <v>2028541.9839999999</v>
      </c>
      <c r="I24" s="71">
        <f t="shared" si="8"/>
        <v>2058970.1120000002</v>
      </c>
      <c r="J24" s="71">
        <f t="shared" si="8"/>
        <v>2089854.6640000001</v>
      </c>
      <c r="K24" s="71">
        <f t="shared" si="8"/>
        <v>2121202.48</v>
      </c>
      <c r="L24" s="71">
        <f t="shared" si="8"/>
        <v>2153020.52</v>
      </c>
      <c r="M24" s="71">
        <f t="shared" si="8"/>
        <v>2185315.824</v>
      </c>
      <c r="N24" s="48"/>
      <c r="O24" s="48"/>
    </row>
    <row r="25" spans="1:15" ht="8.1" customHeight="1" x14ac:dyDescent="0.25">
      <c r="A25" s="1"/>
      <c r="B25" s="122"/>
      <c r="C25" s="91"/>
      <c r="D25" s="91"/>
      <c r="E25" s="68"/>
      <c r="F25" s="68"/>
      <c r="G25" s="68"/>
      <c r="H25" s="68"/>
      <c r="I25" s="68"/>
      <c r="J25" s="68"/>
      <c r="K25" s="68"/>
      <c r="L25" s="68"/>
      <c r="M25" s="68"/>
      <c r="N25" s="48"/>
      <c r="O25" s="48"/>
    </row>
    <row r="26" spans="1:15" x14ac:dyDescent="0.25">
      <c r="A26" t="s">
        <v>52</v>
      </c>
      <c r="B26" s="125">
        <v>0.13500000000000001</v>
      </c>
      <c r="C26" s="91">
        <f t="shared" ref="C26:M27" si="9">-$B26*C$24</f>
        <v>-2475.6623999999997</v>
      </c>
      <c r="D26" s="91">
        <f t="shared" si="9"/>
        <v>-10857.620160000002</v>
      </c>
      <c r="E26" s="68">
        <f t="shared" si="9"/>
        <v>-87909.120720000006</v>
      </c>
      <c r="F26" s="68">
        <f t="shared" si="9"/>
        <v>-182916.34488000002</v>
      </c>
      <c r="G26" s="68">
        <f t="shared" si="9"/>
        <v>-233004.17016000004</v>
      </c>
      <c r="H26" s="68">
        <f t="shared" si="9"/>
        <v>-273853.16784000001</v>
      </c>
      <c r="I26" s="68">
        <f t="shared" si="9"/>
        <v>-277960.96512000007</v>
      </c>
      <c r="J26" s="68">
        <f t="shared" si="9"/>
        <v>-282130.37964000006</v>
      </c>
      <c r="K26" s="68">
        <f t="shared" si="9"/>
        <v>-286362.33480000001</v>
      </c>
      <c r="L26" s="68">
        <f t="shared" si="9"/>
        <v>-290657.77020000003</v>
      </c>
      <c r="M26" s="68">
        <f t="shared" si="9"/>
        <v>-295017.63624000002</v>
      </c>
      <c r="N26" s="48"/>
      <c r="O26" s="48"/>
    </row>
    <row r="27" spans="1:15" x14ac:dyDescent="0.25">
      <c r="A27" t="s">
        <v>53</v>
      </c>
      <c r="B27" s="87">
        <v>0.113</v>
      </c>
      <c r="C27" s="91">
        <f t="shared" si="9"/>
        <v>-2072.2211199999997</v>
      </c>
      <c r="D27" s="91">
        <f t="shared" si="9"/>
        <v>-9088.2302080000009</v>
      </c>
      <c r="E27" s="68">
        <f t="shared" si="9"/>
        <v>-73583.18993600001</v>
      </c>
      <c r="F27" s="68">
        <f t="shared" si="9"/>
        <v>-153107.755344</v>
      </c>
      <c r="G27" s="68">
        <f t="shared" si="9"/>
        <v>-195033.12020800001</v>
      </c>
      <c r="H27" s="68">
        <f t="shared" si="9"/>
        <v>-229225.24419200001</v>
      </c>
      <c r="I27" s="68">
        <f t="shared" si="9"/>
        <v>-232663.62265600002</v>
      </c>
      <c r="J27" s="68">
        <f t="shared" si="9"/>
        <v>-236153.57703200003</v>
      </c>
      <c r="K27" s="68">
        <f t="shared" si="9"/>
        <v>-239695.88024</v>
      </c>
      <c r="L27" s="68">
        <f t="shared" si="9"/>
        <v>-243291.31875999999</v>
      </c>
      <c r="M27" s="68">
        <f t="shared" si="9"/>
        <v>-246940.688112</v>
      </c>
      <c r="N27" s="48"/>
      <c r="O27" s="48"/>
    </row>
    <row r="28" spans="1:15" x14ac:dyDescent="0.25">
      <c r="A28" t="s">
        <v>54</v>
      </c>
      <c r="B28" s="123">
        <v>7.5999999999999998E-2</v>
      </c>
      <c r="C28" s="94">
        <v>0</v>
      </c>
      <c r="D28" s="94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f>-B28*M24</f>
        <v>-166084.00262399999</v>
      </c>
      <c r="N28" s="48"/>
      <c r="O28" s="14" t="s">
        <v>74</v>
      </c>
    </row>
    <row r="29" spans="1:15" ht="15" customHeight="1" x14ac:dyDescent="0.25">
      <c r="A29" s="1" t="s">
        <v>70</v>
      </c>
      <c r="B29" s="124"/>
      <c r="C29" s="110">
        <f t="shared" ref="C29:M29" si="10">C24+SUM(C26:C28)</f>
        <v>13790.356479999999</v>
      </c>
      <c r="D29" s="110">
        <f t="shared" si="10"/>
        <v>60480.965632000007</v>
      </c>
      <c r="E29" s="111">
        <f t="shared" si="10"/>
        <v>489686.36134399998</v>
      </c>
      <c r="F29" s="111">
        <f t="shared" si="10"/>
        <v>1018911.787776</v>
      </c>
      <c r="G29" s="111">
        <f t="shared" si="10"/>
        <v>1297919.5256320001</v>
      </c>
      <c r="H29" s="111">
        <f t="shared" si="10"/>
        <v>1525463.5719679999</v>
      </c>
      <c r="I29" s="111">
        <f t="shared" si="10"/>
        <v>1548345.5242240001</v>
      </c>
      <c r="J29" s="111">
        <f t="shared" si="10"/>
        <v>1571570.7073280001</v>
      </c>
      <c r="K29" s="111">
        <f t="shared" si="10"/>
        <v>1595144.2649599998</v>
      </c>
      <c r="L29" s="111">
        <f t="shared" si="10"/>
        <v>1619071.4310399999</v>
      </c>
      <c r="M29" s="111">
        <f t="shared" si="10"/>
        <v>1477273.4970240002</v>
      </c>
      <c r="N29" s="48"/>
      <c r="O29" s="48"/>
    </row>
    <row r="30" spans="1:15" ht="15" customHeight="1" x14ac:dyDescent="0.25">
      <c r="A30" s="85" t="s">
        <v>61</v>
      </c>
      <c r="B30" s="48"/>
      <c r="C30" s="102">
        <v>0.35</v>
      </c>
      <c r="D30" s="102">
        <v>0.35</v>
      </c>
      <c r="E30" s="103">
        <v>0</v>
      </c>
      <c r="F30" s="103">
        <v>0</v>
      </c>
      <c r="G30" s="103">
        <v>0</v>
      </c>
      <c r="H30" s="103">
        <v>0</v>
      </c>
      <c r="I30" s="103">
        <v>0</v>
      </c>
      <c r="J30" s="103">
        <v>0</v>
      </c>
      <c r="K30" s="103">
        <v>0</v>
      </c>
      <c r="L30" s="103">
        <v>0</v>
      </c>
      <c r="M30" s="103">
        <v>0</v>
      </c>
      <c r="N30" s="48"/>
      <c r="O30" s="48"/>
    </row>
    <row r="31" spans="1:15" ht="15" customHeight="1" x14ac:dyDescent="0.25">
      <c r="A31" s="42" t="s">
        <v>67</v>
      </c>
      <c r="B31" s="48"/>
      <c r="C31" s="93">
        <f t="shared" ref="C31:M31" si="11">C30*C35</f>
        <v>4826.6247679999988</v>
      </c>
      <c r="D31" s="93">
        <f t="shared" si="11"/>
        <v>21168.337971200002</v>
      </c>
      <c r="E31" s="96">
        <f t="shared" si="11"/>
        <v>0</v>
      </c>
      <c r="F31" s="96">
        <f t="shared" si="11"/>
        <v>0</v>
      </c>
      <c r="G31" s="96">
        <f t="shared" si="11"/>
        <v>0</v>
      </c>
      <c r="H31" s="96">
        <f t="shared" si="11"/>
        <v>0</v>
      </c>
      <c r="I31" s="96">
        <f t="shared" si="11"/>
        <v>0</v>
      </c>
      <c r="J31" s="96">
        <f t="shared" si="11"/>
        <v>0</v>
      </c>
      <c r="K31" s="96">
        <f t="shared" si="11"/>
        <v>0</v>
      </c>
      <c r="L31" s="96">
        <f t="shared" si="11"/>
        <v>0</v>
      </c>
      <c r="M31" s="96">
        <f t="shared" si="11"/>
        <v>0</v>
      </c>
      <c r="N31" s="48"/>
      <c r="O31" s="48"/>
    </row>
    <row r="32" spans="1:15" ht="15" customHeight="1" x14ac:dyDescent="0.25">
      <c r="A32" s="42" t="str">
        <f>CONCATENATE("Less: 10% of Incremental FORA Share after 7/1/2012 (goes to ",A4,")")</f>
        <v>Less: 10% of Incremental FORA Share after 7/1/2012 (goes to UC)</v>
      </c>
      <c r="B32" s="48"/>
      <c r="C32" s="93">
        <f>IF(C31&gt;0,-(0.1*(C31-$B$6)),0)</f>
        <v>-206</v>
      </c>
      <c r="D32" s="93">
        <f>IF(D31&gt;0,-(0.1*(D31-$B$6)),0)</f>
        <v>-1840.1713203200006</v>
      </c>
      <c r="E32" s="70">
        <f>IF(E31&gt;0,-(0.1*(E31-$B$6)),0)</f>
        <v>0</v>
      </c>
      <c r="F32" s="70">
        <f t="shared" ref="F32:M32" si="12">IF(F31&gt;0,-(0.1*(F31-$B$6)),0)</f>
        <v>0</v>
      </c>
      <c r="G32" s="70">
        <f t="shared" si="12"/>
        <v>0</v>
      </c>
      <c r="H32" s="70">
        <f t="shared" si="12"/>
        <v>0</v>
      </c>
      <c r="I32" s="70">
        <f t="shared" si="12"/>
        <v>0</v>
      </c>
      <c r="J32" s="70">
        <f t="shared" si="12"/>
        <v>0</v>
      </c>
      <c r="K32" s="70">
        <f t="shared" si="12"/>
        <v>0</v>
      </c>
      <c r="L32" s="70">
        <f t="shared" si="12"/>
        <v>0</v>
      </c>
      <c r="M32" s="70">
        <f t="shared" si="12"/>
        <v>0</v>
      </c>
      <c r="N32" s="48"/>
      <c r="O32" s="48"/>
    </row>
    <row r="33" spans="1:15" ht="15" customHeight="1" x14ac:dyDescent="0.25">
      <c r="A33" s="104" t="s">
        <v>62</v>
      </c>
      <c r="B33" s="105"/>
      <c r="C33" s="106">
        <f>C31+C32</f>
        <v>4620.6247679999988</v>
      </c>
      <c r="D33" s="106">
        <f>D31+D32</f>
        <v>19328.166650880001</v>
      </c>
      <c r="E33" s="107">
        <f t="shared" ref="E33:M33" si="13">E31-E32</f>
        <v>0</v>
      </c>
      <c r="F33" s="107">
        <f t="shared" si="13"/>
        <v>0</v>
      </c>
      <c r="G33" s="107">
        <f t="shared" si="13"/>
        <v>0</v>
      </c>
      <c r="H33" s="107">
        <f t="shared" si="13"/>
        <v>0</v>
      </c>
      <c r="I33" s="107">
        <f t="shared" si="13"/>
        <v>0</v>
      </c>
      <c r="J33" s="107">
        <f t="shared" si="13"/>
        <v>0</v>
      </c>
      <c r="K33" s="107">
        <f t="shared" si="13"/>
        <v>0</v>
      </c>
      <c r="L33" s="107">
        <f t="shared" si="13"/>
        <v>0</v>
      </c>
      <c r="M33" s="107">
        <f t="shared" si="13"/>
        <v>0</v>
      </c>
      <c r="N33" s="48"/>
      <c r="O33" s="48"/>
    </row>
    <row r="34" spans="1:15" ht="15" customHeight="1" x14ac:dyDescent="0.25">
      <c r="A34" s="24" t="str">
        <f>CONCATENATE("Less: ",$A$4," Portion of FORA Remediation Bonds Debt Service")</f>
        <v>Less: UC Portion of FORA Remediation Bonds Debt Service</v>
      </c>
      <c r="B34" s="24"/>
      <c r="C34" s="91">
        <v>0</v>
      </c>
      <c r="D34" s="91">
        <f>C34</f>
        <v>0</v>
      </c>
      <c r="E34" s="82">
        <f t="shared" ref="E34:M34" si="14">D34</f>
        <v>0</v>
      </c>
      <c r="F34" s="82">
        <f t="shared" si="14"/>
        <v>0</v>
      </c>
      <c r="G34" s="82">
        <f t="shared" si="14"/>
        <v>0</v>
      </c>
      <c r="H34" s="82">
        <f t="shared" si="14"/>
        <v>0</v>
      </c>
      <c r="I34" s="82">
        <f t="shared" si="14"/>
        <v>0</v>
      </c>
      <c r="J34" s="82">
        <f t="shared" si="14"/>
        <v>0</v>
      </c>
      <c r="K34" s="82">
        <f t="shared" si="14"/>
        <v>0</v>
      </c>
      <c r="L34" s="82">
        <f t="shared" si="14"/>
        <v>0</v>
      </c>
      <c r="M34" s="82">
        <f t="shared" si="14"/>
        <v>0</v>
      </c>
      <c r="N34" s="48"/>
      <c r="O34" s="48"/>
    </row>
    <row r="35" spans="1:15" ht="15" customHeight="1" x14ac:dyDescent="0.25">
      <c r="A35" s="131" t="s">
        <v>81</v>
      </c>
      <c r="B35" s="18"/>
      <c r="C35" s="108">
        <f>C34+C29</f>
        <v>13790.356479999999</v>
      </c>
      <c r="D35" s="108">
        <f t="shared" ref="D35:M35" si="15">D34+D29</f>
        <v>60480.965632000007</v>
      </c>
      <c r="E35" s="112">
        <f t="shared" si="15"/>
        <v>489686.36134399998</v>
      </c>
      <c r="F35" s="112">
        <f t="shared" si="15"/>
        <v>1018911.787776</v>
      </c>
      <c r="G35" s="112">
        <f t="shared" si="15"/>
        <v>1297919.5256320001</v>
      </c>
      <c r="H35" s="112">
        <f t="shared" si="15"/>
        <v>1525463.5719679999</v>
      </c>
      <c r="I35" s="112">
        <f t="shared" si="15"/>
        <v>1548345.5242240001</v>
      </c>
      <c r="J35" s="112">
        <f t="shared" si="15"/>
        <v>1571570.7073280001</v>
      </c>
      <c r="K35" s="112">
        <f t="shared" si="15"/>
        <v>1595144.2649599998</v>
      </c>
      <c r="L35" s="112">
        <f t="shared" si="15"/>
        <v>1619071.4310399999</v>
      </c>
      <c r="M35" s="112">
        <f t="shared" si="15"/>
        <v>1477273.4970240002</v>
      </c>
      <c r="N35" s="48"/>
      <c r="O35" s="48"/>
    </row>
    <row r="36" spans="1:15" ht="15" customHeight="1" x14ac:dyDescent="0.25">
      <c r="A36" s="1"/>
      <c r="B36" s="48"/>
      <c r="C36" s="93"/>
      <c r="D36" s="93"/>
      <c r="E36" s="70"/>
      <c r="F36" s="70"/>
      <c r="G36" s="70"/>
      <c r="H36" s="70"/>
      <c r="I36" s="70"/>
      <c r="J36" s="70"/>
      <c r="K36" s="70"/>
      <c r="L36" s="70"/>
      <c r="M36" s="70"/>
      <c r="N36" s="48"/>
      <c r="O36" s="48"/>
    </row>
    <row r="37" spans="1:15" ht="15" customHeight="1" x14ac:dyDescent="0.25">
      <c r="B37" s="48"/>
      <c r="C37" s="127"/>
      <c r="D37" s="127"/>
      <c r="E37" s="83"/>
      <c r="F37" s="83"/>
      <c r="G37" s="83"/>
      <c r="H37" s="83"/>
      <c r="I37" s="83"/>
      <c r="J37" s="83"/>
      <c r="K37" s="83"/>
      <c r="L37" s="83"/>
      <c r="M37" s="83"/>
      <c r="N37" s="48"/>
      <c r="O37" s="48"/>
    </row>
    <row r="38" spans="1:15" ht="15" customHeight="1" x14ac:dyDescent="0.25">
      <c r="A38" s="51" t="s">
        <v>65</v>
      </c>
      <c r="B38" s="100"/>
      <c r="C38" s="102">
        <v>0.25</v>
      </c>
      <c r="D38" s="102">
        <v>0.25</v>
      </c>
      <c r="E38" s="103">
        <v>0.38</v>
      </c>
      <c r="F38" s="103">
        <v>0.38</v>
      </c>
      <c r="G38" s="103">
        <v>0.38</v>
      </c>
      <c r="H38" s="103">
        <v>0.38</v>
      </c>
      <c r="I38" s="103">
        <v>0.38</v>
      </c>
      <c r="J38" s="103">
        <v>0.38</v>
      </c>
      <c r="K38" s="103">
        <v>0.38</v>
      </c>
      <c r="L38" s="103">
        <v>0.38</v>
      </c>
      <c r="M38" s="103">
        <v>0.38</v>
      </c>
      <c r="N38" s="26"/>
      <c r="O38" s="48"/>
    </row>
    <row r="39" spans="1:15" ht="15" customHeight="1" x14ac:dyDescent="0.25">
      <c r="A39" s="17" t="s">
        <v>63</v>
      </c>
      <c r="B39" s="101"/>
      <c r="C39" s="95">
        <f t="shared" ref="C39:M39" si="16">C38*C$35</f>
        <v>3447.5891199999996</v>
      </c>
      <c r="D39" s="95">
        <f t="shared" si="16"/>
        <v>15120.241408000002</v>
      </c>
      <c r="E39" s="99">
        <f t="shared" si="16"/>
        <v>186080.81731071998</v>
      </c>
      <c r="F39" s="99">
        <f t="shared" si="16"/>
        <v>387186.47935487999</v>
      </c>
      <c r="G39" s="99">
        <f t="shared" si="16"/>
        <v>493209.41974016005</v>
      </c>
      <c r="H39" s="99">
        <f t="shared" si="16"/>
        <v>579676.15734784002</v>
      </c>
      <c r="I39" s="99">
        <f t="shared" si="16"/>
        <v>588371.29920512007</v>
      </c>
      <c r="J39" s="99">
        <f t="shared" si="16"/>
        <v>597196.8687846401</v>
      </c>
      <c r="K39" s="99">
        <f t="shared" si="16"/>
        <v>606154.82068479992</v>
      </c>
      <c r="L39" s="99">
        <f t="shared" si="16"/>
        <v>615247.14379520004</v>
      </c>
      <c r="M39" s="99">
        <f t="shared" si="16"/>
        <v>561363.92886912008</v>
      </c>
      <c r="N39" s="99"/>
      <c r="O39" s="48"/>
    </row>
    <row r="40" spans="1:15" ht="15" customHeight="1" x14ac:dyDescent="0.25">
      <c r="A40" s="17"/>
      <c r="B40" s="101"/>
      <c r="C40" s="95"/>
      <c r="D40" s="95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48"/>
    </row>
    <row r="41" spans="1:15" ht="15" customHeight="1" x14ac:dyDescent="0.25">
      <c r="A41" s="85" t="s">
        <v>66</v>
      </c>
      <c r="B41" s="101"/>
      <c r="C41" s="102">
        <v>0.05</v>
      </c>
      <c r="D41" s="102">
        <v>0.05</v>
      </c>
      <c r="E41" s="103">
        <v>0.08</v>
      </c>
      <c r="F41" s="103">
        <v>0.08</v>
      </c>
      <c r="G41" s="103">
        <v>0.08</v>
      </c>
      <c r="H41" s="103">
        <v>0.08</v>
      </c>
      <c r="I41" s="103">
        <v>0.08</v>
      </c>
      <c r="J41" s="103">
        <v>0.08</v>
      </c>
      <c r="K41" s="103">
        <v>0.08</v>
      </c>
      <c r="L41" s="103">
        <v>0.08</v>
      </c>
      <c r="M41" s="103">
        <v>0.08</v>
      </c>
      <c r="N41" s="26"/>
      <c r="O41" s="48"/>
    </row>
    <row r="42" spans="1:15" ht="15" customHeight="1" x14ac:dyDescent="0.25">
      <c r="A42" s="17" t="s">
        <v>7</v>
      </c>
      <c r="B42" s="101"/>
      <c r="C42" s="95">
        <f t="shared" ref="C42:M42" si="17">C41*C35</f>
        <v>689.51782400000002</v>
      </c>
      <c r="D42" s="95">
        <f t="shared" si="17"/>
        <v>3024.0482816000003</v>
      </c>
      <c r="E42" s="99">
        <f t="shared" si="17"/>
        <v>39174.908907519995</v>
      </c>
      <c r="F42" s="99">
        <f t="shared" si="17"/>
        <v>81512.943022079999</v>
      </c>
      <c r="G42" s="99">
        <f t="shared" si="17"/>
        <v>103833.56205056001</v>
      </c>
      <c r="H42" s="99">
        <f t="shared" si="17"/>
        <v>122037.08575744</v>
      </c>
      <c r="I42" s="99">
        <f t="shared" si="17"/>
        <v>123867.64193792001</v>
      </c>
      <c r="J42" s="99">
        <f t="shared" si="17"/>
        <v>125725.65658624002</v>
      </c>
      <c r="K42" s="99">
        <f t="shared" si="17"/>
        <v>127611.54119679998</v>
      </c>
      <c r="L42" s="99">
        <f t="shared" si="17"/>
        <v>129525.7144832</v>
      </c>
      <c r="M42" s="99">
        <f t="shared" si="17"/>
        <v>118181.87976192002</v>
      </c>
      <c r="N42" s="48"/>
      <c r="O42" s="48"/>
    </row>
    <row r="43" spans="1:15" ht="15" customHeight="1" x14ac:dyDescent="0.25">
      <c r="A43" s="17"/>
      <c r="B43" s="101"/>
      <c r="C43" s="95"/>
      <c r="D43" s="95"/>
      <c r="E43" s="99"/>
      <c r="F43" s="99"/>
      <c r="G43" s="99"/>
      <c r="H43" s="99"/>
      <c r="I43" s="99"/>
      <c r="J43" s="99"/>
      <c r="K43" s="99"/>
      <c r="L43" s="99"/>
      <c r="M43" s="99"/>
      <c r="N43" s="48"/>
      <c r="O43" s="48"/>
    </row>
    <row r="44" spans="1:15" x14ac:dyDescent="0.25">
      <c r="A44" s="85" t="s">
        <v>58</v>
      </c>
      <c r="B44" s="84"/>
      <c r="C44" s="102">
        <v>0.35</v>
      </c>
      <c r="D44" s="102">
        <v>0.35</v>
      </c>
      <c r="E44" s="103">
        <v>0.54</v>
      </c>
      <c r="F44" s="103">
        <v>0.54</v>
      </c>
      <c r="G44" s="103">
        <v>0.54</v>
      </c>
      <c r="H44" s="103">
        <v>0.54</v>
      </c>
      <c r="I44" s="103">
        <v>0.54</v>
      </c>
      <c r="J44" s="103">
        <v>0.54</v>
      </c>
      <c r="K44" s="103">
        <v>0.54</v>
      </c>
      <c r="L44" s="103">
        <v>0.54</v>
      </c>
      <c r="M44" s="103">
        <v>0.54</v>
      </c>
      <c r="N44" s="48"/>
      <c r="O44" s="48"/>
    </row>
    <row r="45" spans="1:15" x14ac:dyDescent="0.25">
      <c r="A45" t="str">
        <f>CONCATENATE(A4," Redevelopment Agency Share (Subject to Residual Allocation)")</f>
        <v>UC Redevelopment Agency Share (Subject to Residual Allocation)</v>
      </c>
      <c r="B45" s="84"/>
      <c r="C45" s="91">
        <f t="shared" ref="C45:M45" si="18">C44*C$35</f>
        <v>4826.6247679999988</v>
      </c>
      <c r="D45" s="91">
        <f t="shared" si="18"/>
        <v>21168.337971200002</v>
      </c>
      <c r="E45" s="82">
        <f t="shared" si="18"/>
        <v>264430.63512575999</v>
      </c>
      <c r="F45" s="82">
        <f t="shared" si="18"/>
        <v>550212.36539904005</v>
      </c>
      <c r="G45" s="82">
        <f t="shared" si="18"/>
        <v>700876.54384128004</v>
      </c>
      <c r="H45" s="82">
        <f t="shared" si="18"/>
        <v>823750.32886272005</v>
      </c>
      <c r="I45" s="82">
        <f t="shared" si="18"/>
        <v>836106.58308096009</v>
      </c>
      <c r="J45" s="82">
        <f t="shared" si="18"/>
        <v>848648.18195712008</v>
      </c>
      <c r="K45" s="82">
        <f t="shared" si="18"/>
        <v>861377.90307839995</v>
      </c>
      <c r="L45" s="82">
        <f t="shared" si="18"/>
        <v>874298.57276160002</v>
      </c>
      <c r="M45" s="82">
        <f t="shared" si="18"/>
        <v>797727.68839296012</v>
      </c>
      <c r="N45" s="48"/>
      <c r="O45" s="48"/>
    </row>
    <row r="46" spans="1:15" x14ac:dyDescent="0.25">
      <c r="A46" s="1" t="str">
        <f>CONCATENATE(A4," Successor Agency Share (Reflecting ",TEXT(B5,"0.0%")," Resdiual Allocation)")</f>
        <v>UC Successor Agency Share (Reflecting 25.0% Resdiual Allocation)</v>
      </c>
      <c r="B46" s="113"/>
      <c r="C46" s="110">
        <f t="shared" ref="C46:M46" si="19">C45*$B$5</f>
        <v>1206.6561919999997</v>
      </c>
      <c r="D46" s="110">
        <f t="shared" si="19"/>
        <v>5292.0844928000006</v>
      </c>
      <c r="E46" s="111">
        <f t="shared" si="19"/>
        <v>66107.658781439997</v>
      </c>
      <c r="F46" s="111">
        <f t="shared" si="19"/>
        <v>137553.09134976001</v>
      </c>
      <c r="G46" s="111">
        <f t="shared" si="19"/>
        <v>175219.13596032001</v>
      </c>
      <c r="H46" s="111">
        <f t="shared" si="19"/>
        <v>205937.58221568001</v>
      </c>
      <c r="I46" s="111">
        <f t="shared" si="19"/>
        <v>209026.64577024002</v>
      </c>
      <c r="J46" s="111">
        <f t="shared" si="19"/>
        <v>212162.04548928002</v>
      </c>
      <c r="K46" s="111">
        <f t="shared" si="19"/>
        <v>215344.47576959999</v>
      </c>
      <c r="L46" s="111">
        <f t="shared" si="19"/>
        <v>218574.64319040001</v>
      </c>
      <c r="M46" s="111">
        <f t="shared" si="19"/>
        <v>199431.92209824003</v>
      </c>
      <c r="N46" s="48"/>
      <c r="O46" s="48"/>
    </row>
    <row r="47" spans="1:15" x14ac:dyDescent="0.25">
      <c r="A47" s="1" t="s">
        <v>64</v>
      </c>
      <c r="B47" s="113"/>
      <c r="C47" s="110">
        <f>-C32</f>
        <v>206</v>
      </c>
      <c r="D47" s="110">
        <f>-D32</f>
        <v>1840.1713203200006</v>
      </c>
      <c r="E47" s="114">
        <f t="shared" ref="E47:M47" si="20">E32</f>
        <v>0</v>
      </c>
      <c r="F47" s="114">
        <f t="shared" si="20"/>
        <v>0</v>
      </c>
      <c r="G47" s="114">
        <f t="shared" si="20"/>
        <v>0</v>
      </c>
      <c r="H47" s="114">
        <f t="shared" si="20"/>
        <v>0</v>
      </c>
      <c r="I47" s="114">
        <f t="shared" si="20"/>
        <v>0</v>
      </c>
      <c r="J47" s="114">
        <f t="shared" si="20"/>
        <v>0</v>
      </c>
      <c r="K47" s="114">
        <f t="shared" si="20"/>
        <v>0</v>
      </c>
      <c r="L47" s="114">
        <f t="shared" si="20"/>
        <v>0</v>
      </c>
      <c r="M47" s="114">
        <f t="shared" si="20"/>
        <v>0</v>
      </c>
      <c r="N47" s="48"/>
      <c r="O47" s="48"/>
    </row>
    <row r="48" spans="1:15" ht="8.1" customHeight="1" x14ac:dyDescent="0.25">
      <c r="C48" s="91"/>
      <c r="D48" s="91"/>
      <c r="E48" s="68"/>
      <c r="F48" s="68"/>
      <c r="G48" s="68"/>
      <c r="H48" s="68"/>
      <c r="I48" s="68"/>
      <c r="J48" s="68"/>
      <c r="K48" s="68"/>
      <c r="L48" s="68"/>
      <c r="M48" s="68"/>
      <c r="N48" s="48"/>
      <c r="O48" s="48"/>
    </row>
    <row r="49" spans="1:13" x14ac:dyDescent="0.25">
      <c r="A49" s="50" t="str">
        <f>CONCATENATE("Net Property Taxes Received by ",A4," Successor Agency")</f>
        <v>Net Property Taxes Received by UC Successor Agency</v>
      </c>
      <c r="B49" s="50"/>
      <c r="C49" s="126">
        <f>C46+C47</f>
        <v>1412.6561919999997</v>
      </c>
      <c r="D49" s="126">
        <f t="shared" ref="D49:M49" si="21">D46+D47</f>
        <v>7132.2558131200012</v>
      </c>
      <c r="E49" s="126">
        <f t="shared" si="21"/>
        <v>66107.658781439997</v>
      </c>
      <c r="F49" s="126">
        <f t="shared" si="21"/>
        <v>137553.09134976001</v>
      </c>
      <c r="G49" s="126">
        <f t="shared" si="21"/>
        <v>175219.13596032001</v>
      </c>
      <c r="H49" s="126">
        <f t="shared" si="21"/>
        <v>205937.58221568001</v>
      </c>
      <c r="I49" s="126">
        <f t="shared" si="21"/>
        <v>209026.64577024002</v>
      </c>
      <c r="J49" s="126">
        <f t="shared" si="21"/>
        <v>212162.04548928002</v>
      </c>
      <c r="K49" s="126">
        <f t="shared" si="21"/>
        <v>215344.47576959999</v>
      </c>
      <c r="L49" s="126">
        <f t="shared" si="21"/>
        <v>218574.64319040001</v>
      </c>
      <c r="M49" s="126">
        <f t="shared" si="21"/>
        <v>199431.92209824003</v>
      </c>
    </row>
    <row r="50" spans="1:13" x14ac:dyDescent="0.25">
      <c r="A50" s="1" t="s">
        <v>48</v>
      </c>
      <c r="C50" s="109" t="e">
        <f>NPV(#REF!,UC!D49:M49)+UC!C49</f>
        <v>#REF!</v>
      </c>
    </row>
    <row r="51" spans="1:13" x14ac:dyDescent="0.25">
      <c r="D51" s="80"/>
    </row>
    <row r="52" spans="1:13" x14ac:dyDescent="0.25">
      <c r="A52" s="19" t="s">
        <v>73</v>
      </c>
    </row>
    <row r="54" spans="1:13" ht="15.75" x14ac:dyDescent="0.25">
      <c r="A54" s="65" t="s">
        <v>75</v>
      </c>
    </row>
    <row r="55" spans="1:13" ht="15.75" x14ac:dyDescent="0.25">
      <c r="A55" s="65"/>
    </row>
  </sheetData>
  <mergeCells count="2">
    <mergeCell ref="C7:D7"/>
    <mergeCell ref="E7:M7"/>
  </mergeCells>
  <pageMargins left="0.25" right="0.25" top="0.75" bottom="0.75" header="0.3" footer="0.3"/>
  <pageSetup scale="64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9"/>
  <sheetViews>
    <sheetView workbookViewId="0">
      <selection activeCell="B16" sqref="B16"/>
    </sheetView>
  </sheetViews>
  <sheetFormatPr defaultColWidth="11.28515625" defaultRowHeight="15" x14ac:dyDescent="0.25"/>
  <cols>
    <col min="1" max="1" width="40" customWidth="1"/>
    <col min="2" max="3" width="11.7109375" customWidth="1"/>
    <col min="4" max="4" width="13.85546875" customWidth="1"/>
    <col min="5" max="11" width="11.7109375" customWidth="1"/>
    <col min="12" max="14" width="13.28515625" bestFit="1" customWidth="1"/>
    <col min="15" max="15" width="11.7109375" bestFit="1" customWidth="1"/>
  </cols>
  <sheetData>
    <row r="1" spans="1:41" ht="15.75" x14ac:dyDescent="0.25">
      <c r="A1" s="29" t="s">
        <v>98</v>
      </c>
    </row>
    <row r="2" spans="1:41" ht="15.75" x14ac:dyDescent="0.25">
      <c r="A2" s="29" t="s">
        <v>133</v>
      </c>
    </row>
    <row r="5" spans="1:41" x14ac:dyDescent="0.25">
      <c r="A5" s="6" t="s">
        <v>8</v>
      </c>
      <c r="B5" s="165">
        <v>201920</v>
      </c>
      <c r="C5" s="165">
        <f>B5+101</f>
        <v>202021</v>
      </c>
      <c r="D5" s="165">
        <f t="shared" ref="D5:K5" si="0">C5+101</f>
        <v>202122</v>
      </c>
      <c r="E5" s="165">
        <f t="shared" si="0"/>
        <v>202223</v>
      </c>
      <c r="F5" s="165">
        <f t="shared" si="0"/>
        <v>202324</v>
      </c>
      <c r="G5" s="165">
        <f t="shared" si="0"/>
        <v>202425</v>
      </c>
      <c r="H5" s="165">
        <f t="shared" si="0"/>
        <v>202526</v>
      </c>
      <c r="I5" s="165">
        <f>H5+101</f>
        <v>202627</v>
      </c>
      <c r="J5" s="165">
        <f t="shared" si="0"/>
        <v>202728</v>
      </c>
      <c r="K5" s="165">
        <f t="shared" si="0"/>
        <v>202829</v>
      </c>
    </row>
    <row r="6" spans="1:41" x14ac:dyDescent="0.25">
      <c r="A6" t="s">
        <v>135</v>
      </c>
      <c r="B6" s="80">
        <f>'1 - Marina'!D48</f>
        <v>1372621.274548962</v>
      </c>
      <c r="C6" s="80">
        <f>'1 - Marina'!E48</f>
        <v>1739495.5855940559</v>
      </c>
      <c r="D6" s="80">
        <f>'1 - Marina'!F48</f>
        <v>2238810.0152355055</v>
      </c>
      <c r="E6" s="80">
        <f>'1 - Marina'!G48</f>
        <v>2613090.5207249038</v>
      </c>
      <c r="F6" s="80">
        <f>'1 - Marina'!H48</f>
        <v>2984468.6568857566</v>
      </c>
      <c r="G6" s="80">
        <f>'1 - Marina'!I48</f>
        <v>3363274.3557698266</v>
      </c>
      <c r="H6" s="80">
        <f>'1 - Marina'!J48</f>
        <v>3749656.1686315779</v>
      </c>
      <c r="I6" s="80">
        <f>'1 - Marina'!K48</f>
        <v>3992683.2367986776</v>
      </c>
      <c r="J6" s="80">
        <f>'1 - Marina'!L48</f>
        <v>4145505.1544994097</v>
      </c>
      <c r="K6" s="80">
        <f>'1 - Marina'!M48</f>
        <v>4226166.6994361449</v>
      </c>
    </row>
    <row r="7" spans="1:41" x14ac:dyDescent="0.25">
      <c r="A7" t="s">
        <v>136</v>
      </c>
      <c r="B7" s="80">
        <f>'1 - Seaside'!C48</f>
        <v>855619.85656978702</v>
      </c>
      <c r="C7" s="80">
        <f>'1 - Seaside'!D48</f>
        <v>1200149.9657024026</v>
      </c>
      <c r="D7" s="80">
        <f>'1 - Seaside'!E48</f>
        <v>1296109.9956570163</v>
      </c>
      <c r="E7" s="80">
        <f>'1 - Seaside'!F48</f>
        <v>1656051.6394815068</v>
      </c>
      <c r="F7" s="80">
        <f>'1 - Seaside'!G48</f>
        <v>1921266.7934632951</v>
      </c>
      <c r="G7" s="80">
        <f>'1 - Seaside'!H48</f>
        <v>2203364.9194221175</v>
      </c>
      <c r="H7" s="80">
        <f>'1 - Seaside'!I48</f>
        <v>2385472.0433528298</v>
      </c>
      <c r="I7" s="80">
        <f>'1 - Seaside'!J48</f>
        <v>2511968.6956194541</v>
      </c>
      <c r="J7" s="80">
        <f>'1 - Seaside'!K48</f>
        <v>2665462.134734198</v>
      </c>
      <c r="K7" s="80">
        <f>'1 - Seaside'!L48</f>
        <v>2839745.7018031916</v>
      </c>
    </row>
    <row r="8" spans="1:41" x14ac:dyDescent="0.25">
      <c r="A8" t="s">
        <v>137</v>
      </c>
      <c r="B8" s="80">
        <f>'1 - County'!D46</f>
        <v>996961.71286014514</v>
      </c>
      <c r="C8" s="80">
        <f>'1 - County'!E46</f>
        <v>1160857.7164005353</v>
      </c>
      <c r="D8" s="80">
        <f>'1 - County'!F46</f>
        <v>1326959.5067598931</v>
      </c>
      <c r="E8" s="80">
        <f>'1 - County'!G46</f>
        <v>1480341.7920073974</v>
      </c>
      <c r="F8" s="80">
        <f>'1 - County'!H46</f>
        <v>1636791.7229598525</v>
      </c>
      <c r="G8" s="80">
        <f>'1 - County'!I46</f>
        <v>1755398.9791676449</v>
      </c>
      <c r="H8" s="80">
        <f>'1 - County'!J46</f>
        <v>1787965.8221884246</v>
      </c>
      <c r="I8" s="80">
        <f>'1 - County'!K46</f>
        <v>1821184.0020696199</v>
      </c>
      <c r="J8" s="80">
        <f>'1 - County'!L46</f>
        <v>1855066.5455484395</v>
      </c>
      <c r="K8" s="80">
        <f>'1 - County'!M46</f>
        <v>1889626.7398968351</v>
      </c>
    </row>
    <row r="9" spans="1:41" x14ac:dyDescent="0.25">
      <c r="A9" t="s">
        <v>138</v>
      </c>
      <c r="B9" s="80">
        <f>'1 - DRO'!C41</f>
        <v>9738.4308510638311</v>
      </c>
      <c r="C9" s="80">
        <f>'1 - DRO'!D41</f>
        <v>93322.073877012765</v>
      </c>
      <c r="D9" s="80">
        <f>'1 - DRO'!E41</f>
        <v>198716.30447455304</v>
      </c>
      <c r="E9" s="80">
        <f>'1 - DRO'!F41</f>
        <v>263261.77392404398</v>
      </c>
      <c r="F9" s="80">
        <f>'1 - DRO'!G41</f>
        <v>329098.1527625249</v>
      </c>
      <c r="G9" s="80">
        <f>'1 - DRO'!H41</f>
        <v>396251.25917777541</v>
      </c>
      <c r="H9" s="80">
        <f>'1 - DRO'!I41</f>
        <v>633505.67892133095</v>
      </c>
      <c r="I9" s="80">
        <f>'1 - DRO'!J41</f>
        <v>767318.07921975758</v>
      </c>
      <c r="J9" s="80">
        <f>'1 - DRO'!K41</f>
        <v>903806.72752415272</v>
      </c>
      <c r="K9" s="80">
        <f>'1 - DRO'!L41</f>
        <v>1032929.9582346356</v>
      </c>
    </row>
    <row r="10" spans="1:41" x14ac:dyDescent="0.25">
      <c r="A10" s="1" t="s">
        <v>139</v>
      </c>
      <c r="B10" s="166">
        <f>SUM(B6:B9)</f>
        <v>3234941.2748299581</v>
      </c>
      <c r="C10" s="166">
        <f t="shared" ref="C10:K10" si="1">SUM(C6:C9)</f>
        <v>4193825.3415740067</v>
      </c>
      <c r="D10" s="166">
        <f t="shared" si="1"/>
        <v>5060595.8221269678</v>
      </c>
      <c r="E10" s="166">
        <f t="shared" si="1"/>
        <v>6012745.7261378532</v>
      </c>
      <c r="F10" s="166">
        <f t="shared" si="1"/>
        <v>6871625.3260714291</v>
      </c>
      <c r="G10" s="166">
        <f t="shared" si="1"/>
        <v>7718289.5135373641</v>
      </c>
      <c r="H10" s="166">
        <f t="shared" si="1"/>
        <v>8556599.7130941637</v>
      </c>
      <c r="I10" s="166">
        <f t="shared" si="1"/>
        <v>9093154.0137075111</v>
      </c>
      <c r="J10" s="166">
        <f t="shared" si="1"/>
        <v>9569840.5623061992</v>
      </c>
      <c r="K10" s="166">
        <f t="shared" si="1"/>
        <v>9988469.0993708074</v>
      </c>
    </row>
    <row r="12" spans="1:41" x14ac:dyDescent="0.25">
      <c r="A12" t="s">
        <v>134</v>
      </c>
      <c r="B12" s="45">
        <f>'DS (Base Case)'!N56</f>
        <v>2009297.2366242507</v>
      </c>
      <c r="C12" s="45">
        <f>'DS (Base Case)'!O56</f>
        <v>2011158.8939910922</v>
      </c>
      <c r="D12" s="45">
        <f>'DS (Base Case)'!P56</f>
        <v>2011723.6719560986</v>
      </c>
      <c r="E12" s="45">
        <f>'DS (Base Case)'!Q56</f>
        <v>2011482.321372469</v>
      </c>
      <c r="F12" s="45">
        <f>'DS (Base Case)'!R56</f>
        <v>2010322.366628475</v>
      </c>
      <c r="G12" s="45">
        <f>'DS (Base Case)'!S56</f>
        <v>2013249.7524155802</v>
      </c>
      <c r="H12" s="45">
        <f>'DS (Base Case)'!T56</f>
        <v>2008502.4376335882</v>
      </c>
      <c r="I12" s="45">
        <f>'DS (Base Case)'!U56</f>
        <v>2006759.2056463431</v>
      </c>
      <c r="J12" s="45">
        <f>'DS (Base Case)'!V56</f>
        <v>2013449.8446089197</v>
      </c>
      <c r="K12" s="45">
        <f>'DS (Base Case)'!W56</f>
        <v>2008966.8195155805</v>
      </c>
    </row>
    <row r="14" spans="1:41" x14ac:dyDescent="0.25">
      <c r="A14" t="s">
        <v>140</v>
      </c>
      <c r="B14" s="167"/>
      <c r="C14" s="167">
        <f t="shared" ref="C14:K14" si="2">C10/C12</f>
        <v>2.0852779728664155</v>
      </c>
      <c r="D14" s="167">
        <f t="shared" si="2"/>
        <v>2.5155521569253594</v>
      </c>
      <c r="E14" s="167">
        <f t="shared" si="2"/>
        <v>2.9892113205525233</v>
      </c>
      <c r="F14" s="167">
        <f t="shared" si="2"/>
        <v>3.4181708566451845</v>
      </c>
      <c r="G14" s="167">
        <f t="shared" si="2"/>
        <v>3.8337466597359029</v>
      </c>
      <c r="H14" s="167">
        <f t="shared" si="2"/>
        <v>4.2601888614959931</v>
      </c>
      <c r="I14" s="167">
        <f t="shared" si="2"/>
        <v>4.5312631371628669</v>
      </c>
      <c r="J14" s="387">
        <f t="shared" si="2"/>
        <v>4.7529570145140552</v>
      </c>
      <c r="K14" s="388">
        <f t="shared" si="2"/>
        <v>4.971943290621053</v>
      </c>
    </row>
    <row r="16" spans="1:41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</row>
    <row r="21" spans="1:8" x14ac:dyDescent="0.25">
      <c r="F21" s="8"/>
      <c r="G21" s="8"/>
      <c r="H21" s="8"/>
    </row>
    <row r="22" spans="1:8" x14ac:dyDescent="0.25">
      <c r="A22" s="6" t="s">
        <v>279</v>
      </c>
      <c r="B22" s="6" t="s">
        <v>85</v>
      </c>
      <c r="C22" s="6" t="s">
        <v>277</v>
      </c>
      <c r="D22" s="6" t="s">
        <v>278</v>
      </c>
      <c r="G22" t="s">
        <v>275</v>
      </c>
      <c r="H22" t="s">
        <v>276</v>
      </c>
    </row>
    <row r="23" spans="1:8" x14ac:dyDescent="0.25">
      <c r="A23" t="s">
        <v>33</v>
      </c>
      <c r="B23" s="21">
        <v>1.3753264626971287E-2</v>
      </c>
      <c r="C23" s="386">
        <f>B23*$C$28</f>
        <v>99816.515939464138</v>
      </c>
      <c r="D23" s="386">
        <f>$D$28*B23</f>
        <v>403652.22424291016</v>
      </c>
      <c r="F23" s="3">
        <v>2016482.3510612836</v>
      </c>
      <c r="G23" s="3">
        <f t="shared" ref="G23:G48" si="3">$G$49*F23</f>
        <v>1613185.8808490271</v>
      </c>
      <c r="H23" s="3">
        <f>F23-G23</f>
        <v>403296.47021225654</v>
      </c>
    </row>
    <row r="24" spans="1:8" x14ac:dyDescent="0.25">
      <c r="A24" t="s">
        <v>34</v>
      </c>
      <c r="B24" s="38">
        <v>0.38556704809841313</v>
      </c>
      <c r="C24" s="386">
        <f t="shared" ref="C24:C27" si="4">B24*$C$28</f>
        <v>2798314.4690441899</v>
      </c>
      <c r="D24" s="386">
        <f t="shared" ref="D24:D26" si="5">$D$28*B24</f>
        <v>11316222.059341788</v>
      </c>
      <c r="F24" s="3">
        <f>F23</f>
        <v>2016482.3510612836</v>
      </c>
      <c r="G24" s="3">
        <f t="shared" si="3"/>
        <v>1613185.8808490271</v>
      </c>
      <c r="H24" s="3">
        <f t="shared" ref="H24:H48" si="6">F24-G24</f>
        <v>403296.47021225654</v>
      </c>
    </row>
    <row r="25" spans="1:8" x14ac:dyDescent="0.25">
      <c r="A25" t="s">
        <v>35</v>
      </c>
      <c r="B25" s="38">
        <v>0.33045308525279543</v>
      </c>
      <c r="C25" s="386">
        <f t="shared" si="4"/>
        <v>2398316.0759297172</v>
      </c>
      <c r="D25" s="386">
        <f t="shared" si="5"/>
        <v>9698651.6647573095</v>
      </c>
      <c r="F25" s="3">
        <f t="shared" ref="F25:F48" si="7">F24</f>
        <v>2016482.3510612836</v>
      </c>
      <c r="G25" s="3">
        <f t="shared" si="3"/>
        <v>1613185.8808490271</v>
      </c>
      <c r="H25" s="3">
        <f t="shared" si="6"/>
        <v>403296.47021225654</v>
      </c>
    </row>
    <row r="26" spans="1:8" x14ac:dyDescent="0.25">
      <c r="A26" t="s">
        <v>36</v>
      </c>
      <c r="B26" s="38">
        <v>3.0962324635015132E-3</v>
      </c>
      <c r="C26" s="386">
        <f t="shared" si="4"/>
        <v>22471.401912772224</v>
      </c>
      <c r="D26" s="386">
        <f t="shared" si="5"/>
        <v>90873.051203750409</v>
      </c>
      <c r="F26" s="3">
        <f t="shared" si="7"/>
        <v>2016482.3510612836</v>
      </c>
      <c r="G26" s="3">
        <f t="shared" si="3"/>
        <v>1613185.8808490271</v>
      </c>
      <c r="H26" s="3">
        <f t="shared" si="6"/>
        <v>403296.47021225654</v>
      </c>
    </row>
    <row r="27" spans="1:8" x14ac:dyDescent="0.25">
      <c r="A27" t="s">
        <v>37</v>
      </c>
      <c r="B27" s="38">
        <v>0.26711166848529794</v>
      </c>
      <c r="C27" s="386">
        <f t="shared" si="4"/>
        <v>1938605.6211477902</v>
      </c>
      <c r="D27" s="386">
        <f>$D$28*B27</f>
        <v>7839609.1422454724</v>
      </c>
      <c r="F27" s="3">
        <f t="shared" si="7"/>
        <v>2016482.3510612836</v>
      </c>
      <c r="G27" s="3">
        <f t="shared" si="3"/>
        <v>1613185.8808490271</v>
      </c>
      <c r="H27" s="3">
        <f t="shared" si="6"/>
        <v>403296.47021225654</v>
      </c>
    </row>
    <row r="28" spans="1:8" x14ac:dyDescent="0.25">
      <c r="A28" s="1" t="s">
        <v>38</v>
      </c>
      <c r="B28" s="331">
        <f>SUM(B23:B27)</f>
        <v>0.9999812989269794</v>
      </c>
      <c r="C28" s="332">
        <v>7257659.8099999996</v>
      </c>
      <c r="D28" s="332">
        <v>29349557.010000002</v>
      </c>
      <c r="F28" s="3">
        <f t="shared" si="7"/>
        <v>2016482.3510612836</v>
      </c>
      <c r="G28" s="3">
        <f t="shared" si="3"/>
        <v>1613185.8808490271</v>
      </c>
      <c r="H28" s="3">
        <f t="shared" si="6"/>
        <v>403296.47021225654</v>
      </c>
    </row>
    <row r="29" spans="1:8" x14ac:dyDescent="0.25">
      <c r="F29" s="3">
        <f t="shared" si="7"/>
        <v>2016482.3510612836</v>
      </c>
      <c r="G29" s="3">
        <f t="shared" si="3"/>
        <v>1613185.8808490271</v>
      </c>
      <c r="H29" s="3">
        <f t="shared" si="6"/>
        <v>403296.47021225654</v>
      </c>
    </row>
    <row r="30" spans="1:8" x14ac:dyDescent="0.25">
      <c r="F30" s="3">
        <f t="shared" si="7"/>
        <v>2016482.3510612836</v>
      </c>
      <c r="G30" s="3">
        <f t="shared" si="3"/>
        <v>1613185.8808490271</v>
      </c>
      <c r="H30" s="3">
        <f t="shared" si="6"/>
        <v>403296.47021225654</v>
      </c>
    </row>
    <row r="31" spans="1:8" x14ac:dyDescent="0.25">
      <c r="F31" s="3">
        <f t="shared" si="7"/>
        <v>2016482.3510612836</v>
      </c>
      <c r="G31" s="3">
        <f t="shared" si="3"/>
        <v>1613185.8808490271</v>
      </c>
      <c r="H31" s="3">
        <f t="shared" si="6"/>
        <v>403296.47021225654</v>
      </c>
    </row>
    <row r="32" spans="1:8" x14ac:dyDescent="0.25">
      <c r="F32" s="3">
        <f t="shared" si="7"/>
        <v>2016482.3510612836</v>
      </c>
      <c r="G32" s="3">
        <f t="shared" si="3"/>
        <v>1613185.8808490271</v>
      </c>
      <c r="H32" s="3">
        <f t="shared" si="6"/>
        <v>403296.47021225654</v>
      </c>
    </row>
    <row r="33" spans="6:8" x14ac:dyDescent="0.25">
      <c r="F33" s="3">
        <f t="shared" si="7"/>
        <v>2016482.3510612836</v>
      </c>
      <c r="G33" s="3">
        <f t="shared" si="3"/>
        <v>1613185.8808490271</v>
      </c>
      <c r="H33" s="3">
        <f t="shared" si="6"/>
        <v>403296.47021225654</v>
      </c>
    </row>
    <row r="34" spans="6:8" x14ac:dyDescent="0.25">
      <c r="F34" s="3">
        <f t="shared" si="7"/>
        <v>2016482.3510612836</v>
      </c>
      <c r="G34" s="3">
        <f t="shared" si="3"/>
        <v>1613185.8808490271</v>
      </c>
      <c r="H34" s="3">
        <f t="shared" si="6"/>
        <v>403296.47021225654</v>
      </c>
    </row>
    <row r="35" spans="6:8" x14ac:dyDescent="0.25">
      <c r="F35" s="3">
        <f t="shared" si="7"/>
        <v>2016482.3510612836</v>
      </c>
      <c r="G35" s="3">
        <f t="shared" si="3"/>
        <v>1613185.8808490271</v>
      </c>
      <c r="H35" s="3">
        <f t="shared" si="6"/>
        <v>403296.47021225654</v>
      </c>
    </row>
    <row r="36" spans="6:8" x14ac:dyDescent="0.25">
      <c r="F36" s="3">
        <f t="shared" si="7"/>
        <v>2016482.3510612836</v>
      </c>
      <c r="G36" s="3">
        <f t="shared" si="3"/>
        <v>1613185.8808490271</v>
      </c>
      <c r="H36" s="3">
        <f t="shared" si="6"/>
        <v>403296.47021225654</v>
      </c>
    </row>
    <row r="37" spans="6:8" x14ac:dyDescent="0.25">
      <c r="F37" s="3">
        <f t="shared" si="7"/>
        <v>2016482.3510612836</v>
      </c>
      <c r="G37" s="3">
        <f t="shared" si="3"/>
        <v>1613185.8808490271</v>
      </c>
      <c r="H37" s="3">
        <f t="shared" si="6"/>
        <v>403296.47021225654</v>
      </c>
    </row>
    <row r="38" spans="6:8" x14ac:dyDescent="0.25">
      <c r="F38" s="3">
        <f t="shared" si="7"/>
        <v>2016482.3510612836</v>
      </c>
      <c r="G38" s="3">
        <f t="shared" si="3"/>
        <v>1613185.8808490271</v>
      </c>
      <c r="H38" s="3">
        <f t="shared" si="6"/>
        <v>403296.47021225654</v>
      </c>
    </row>
    <row r="39" spans="6:8" x14ac:dyDescent="0.25">
      <c r="F39" s="3">
        <f t="shared" si="7"/>
        <v>2016482.3510612836</v>
      </c>
      <c r="G39" s="3">
        <f t="shared" si="3"/>
        <v>1613185.8808490271</v>
      </c>
      <c r="H39" s="3">
        <f t="shared" si="6"/>
        <v>403296.47021225654</v>
      </c>
    </row>
    <row r="40" spans="6:8" x14ac:dyDescent="0.25">
      <c r="F40" s="3">
        <f t="shared" si="7"/>
        <v>2016482.3510612836</v>
      </c>
      <c r="G40" s="3">
        <f t="shared" si="3"/>
        <v>1613185.8808490271</v>
      </c>
      <c r="H40" s="3">
        <f t="shared" si="6"/>
        <v>403296.47021225654</v>
      </c>
    </row>
    <row r="41" spans="6:8" x14ac:dyDescent="0.25">
      <c r="F41" s="3">
        <f t="shared" si="7"/>
        <v>2016482.3510612836</v>
      </c>
      <c r="G41" s="3">
        <f t="shared" si="3"/>
        <v>1613185.8808490271</v>
      </c>
      <c r="H41" s="3">
        <f t="shared" si="6"/>
        <v>403296.47021225654</v>
      </c>
    </row>
    <row r="42" spans="6:8" x14ac:dyDescent="0.25">
      <c r="F42" s="3">
        <f t="shared" si="7"/>
        <v>2016482.3510612836</v>
      </c>
      <c r="G42" s="3">
        <f t="shared" si="3"/>
        <v>1613185.8808490271</v>
      </c>
      <c r="H42" s="3">
        <f t="shared" si="6"/>
        <v>403296.47021225654</v>
      </c>
    </row>
    <row r="43" spans="6:8" x14ac:dyDescent="0.25">
      <c r="F43" s="3">
        <f t="shared" si="7"/>
        <v>2016482.3510612836</v>
      </c>
      <c r="G43" s="3">
        <f t="shared" si="3"/>
        <v>1613185.8808490271</v>
      </c>
      <c r="H43" s="3">
        <f t="shared" si="6"/>
        <v>403296.47021225654</v>
      </c>
    </row>
    <row r="44" spans="6:8" x14ac:dyDescent="0.25">
      <c r="F44" s="3">
        <f t="shared" si="7"/>
        <v>2016482.3510612836</v>
      </c>
      <c r="G44" s="3">
        <f t="shared" si="3"/>
        <v>1613185.8808490271</v>
      </c>
      <c r="H44" s="3">
        <f t="shared" si="6"/>
        <v>403296.47021225654</v>
      </c>
    </row>
    <row r="45" spans="6:8" x14ac:dyDescent="0.25">
      <c r="F45" s="3">
        <f t="shared" si="7"/>
        <v>2016482.3510612836</v>
      </c>
      <c r="G45" s="3">
        <f t="shared" si="3"/>
        <v>1613185.8808490271</v>
      </c>
      <c r="H45" s="3">
        <f t="shared" si="6"/>
        <v>403296.47021225654</v>
      </c>
    </row>
    <row r="46" spans="6:8" x14ac:dyDescent="0.25">
      <c r="F46" s="3">
        <f t="shared" si="7"/>
        <v>2016482.3510612836</v>
      </c>
      <c r="G46" s="3">
        <f t="shared" si="3"/>
        <v>1613185.8808490271</v>
      </c>
      <c r="H46" s="3">
        <f t="shared" si="6"/>
        <v>403296.47021225654</v>
      </c>
    </row>
    <row r="47" spans="6:8" x14ac:dyDescent="0.25">
      <c r="F47" s="3">
        <f t="shared" si="7"/>
        <v>2016482.3510612836</v>
      </c>
      <c r="G47" s="3">
        <f t="shared" si="3"/>
        <v>1613185.8808490271</v>
      </c>
      <c r="H47" s="3">
        <f t="shared" si="6"/>
        <v>403296.47021225654</v>
      </c>
    </row>
    <row r="48" spans="6:8" x14ac:dyDescent="0.25">
      <c r="F48" s="3">
        <f t="shared" si="7"/>
        <v>2016482.3510612836</v>
      </c>
      <c r="G48" s="3">
        <f t="shared" si="3"/>
        <v>1613185.8808490271</v>
      </c>
      <c r="H48" s="3">
        <f t="shared" si="6"/>
        <v>403296.47021225654</v>
      </c>
    </row>
    <row r="49" spans="7:7" x14ac:dyDescent="0.25">
      <c r="G49">
        <v>0.8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5"/>
  <sheetViews>
    <sheetView view="pageBreakPreview" zoomScale="80" zoomScaleNormal="100" zoomScaleSheetLayoutView="80" workbookViewId="0">
      <selection activeCell="D20" sqref="D20"/>
    </sheetView>
  </sheetViews>
  <sheetFormatPr defaultColWidth="8.85546875" defaultRowHeight="15" x14ac:dyDescent="0.25"/>
  <cols>
    <col min="1" max="1" width="8.85546875" style="28"/>
    <col min="2" max="2" width="12.7109375" customWidth="1"/>
    <col min="3" max="3" width="12.140625" style="8" bestFit="1" customWidth="1"/>
    <col min="4" max="4" width="7.85546875" bestFit="1" customWidth="1"/>
    <col min="5" max="7" width="15" bestFit="1" customWidth="1"/>
    <col min="11" max="11" width="47.7109375" bestFit="1" customWidth="1"/>
    <col min="12" max="12" width="14.85546875" bestFit="1" customWidth="1"/>
    <col min="13" max="13" width="24.140625" customWidth="1"/>
    <col min="14" max="43" width="11.7109375" customWidth="1"/>
  </cols>
  <sheetData>
    <row r="1" spans="1:13" ht="15.75" x14ac:dyDescent="0.25">
      <c r="B1" s="438" t="s">
        <v>0</v>
      </c>
      <c r="C1" s="438"/>
      <c r="D1" s="438"/>
      <c r="E1" s="438"/>
      <c r="F1" s="438"/>
      <c r="G1" s="438"/>
      <c r="K1" s="1" t="s">
        <v>13</v>
      </c>
    </row>
    <row r="2" spans="1:13" ht="15.75" x14ac:dyDescent="0.25">
      <c r="B2" s="438" t="s">
        <v>14</v>
      </c>
      <c r="C2" s="438"/>
      <c r="D2" s="438"/>
      <c r="E2" s="438"/>
      <c r="F2" s="438"/>
      <c r="G2" s="438"/>
      <c r="K2" t="s">
        <v>15</v>
      </c>
      <c r="M2" s="16">
        <v>36370000</v>
      </c>
    </row>
    <row r="3" spans="1:13" ht="15.75" x14ac:dyDescent="0.25">
      <c r="B3" s="438" t="s">
        <v>16</v>
      </c>
      <c r="C3" s="438"/>
      <c r="D3" s="438"/>
      <c r="E3" s="438"/>
      <c r="F3" s="438"/>
      <c r="G3" s="438"/>
      <c r="K3" t="s">
        <v>17</v>
      </c>
      <c r="M3" s="72">
        <v>1202979.2</v>
      </c>
    </row>
    <row r="4" spans="1:13" ht="15.75" x14ac:dyDescent="0.25">
      <c r="B4" s="29"/>
      <c r="K4" s="30" t="s">
        <v>18</v>
      </c>
      <c r="L4" s="4"/>
      <c r="M4" s="10">
        <f>SUM(M2:M3)</f>
        <v>37572979.200000003</v>
      </c>
    </row>
    <row r="5" spans="1:13" ht="30" x14ac:dyDescent="0.25">
      <c r="B5" s="31" t="s">
        <v>19</v>
      </c>
      <c r="C5" s="32" t="s">
        <v>20</v>
      </c>
      <c r="D5" s="33" t="s">
        <v>21</v>
      </c>
      <c r="E5" s="34" t="s">
        <v>22</v>
      </c>
      <c r="F5" s="34" t="s">
        <v>23</v>
      </c>
      <c r="G5" s="34" t="s">
        <v>24</v>
      </c>
      <c r="K5" s="1" t="s">
        <v>25</v>
      </c>
    </row>
    <row r="6" spans="1:13" x14ac:dyDescent="0.25">
      <c r="B6" s="35">
        <v>43800</v>
      </c>
      <c r="C6" s="3"/>
      <c r="D6" s="36"/>
      <c r="E6" s="2">
        <v>0</v>
      </c>
      <c r="F6" s="2">
        <f>SUM(C6,E6)</f>
        <v>0</v>
      </c>
      <c r="G6" s="2">
        <f>F6</f>
        <v>0</v>
      </c>
      <c r="K6" s="37" t="s">
        <v>26</v>
      </c>
      <c r="M6" s="16">
        <f>36607216.82</f>
        <v>36607216.82</v>
      </c>
    </row>
    <row r="7" spans="1:13" x14ac:dyDescent="0.25">
      <c r="A7" s="28">
        <v>201920</v>
      </c>
      <c r="B7" s="35">
        <v>43983</v>
      </c>
      <c r="C7" s="16">
        <v>1385000</v>
      </c>
      <c r="D7" s="73">
        <v>2.3480000000000001E-2</v>
      </c>
      <c r="E7" s="72">
        <v>624375.63</v>
      </c>
      <c r="F7" s="2">
        <f t="shared" ref="F7:F63" si="0">SUM(C7,E7)</f>
        <v>2009375.63</v>
      </c>
      <c r="G7" s="2">
        <f>SUM(F6:F7)</f>
        <v>2009375.63</v>
      </c>
      <c r="K7" s="37" t="s">
        <v>280</v>
      </c>
      <c r="M7" s="16">
        <v>60481.04</v>
      </c>
    </row>
    <row r="8" spans="1:13" x14ac:dyDescent="0.25">
      <c r="B8" s="35">
        <f>EDATE(B7,6)</f>
        <v>44166</v>
      </c>
      <c r="C8" s="16"/>
      <c r="D8" s="73"/>
      <c r="E8" s="72">
        <v>608118.68000000005</v>
      </c>
      <c r="F8" s="2">
        <f t="shared" si="0"/>
        <v>608118.68000000005</v>
      </c>
      <c r="G8" s="2"/>
      <c r="K8" s="37" t="s">
        <v>27</v>
      </c>
      <c r="M8" s="16">
        <v>363700</v>
      </c>
    </row>
    <row r="9" spans="1:13" x14ac:dyDescent="0.25">
      <c r="A9" s="28">
        <f>A7+101</f>
        <v>202021</v>
      </c>
      <c r="B9" s="35">
        <f t="shared" ref="B9:B63" si="1">EDATE(B8,6)</f>
        <v>44348</v>
      </c>
      <c r="C9" s="16">
        <v>795000</v>
      </c>
      <c r="D9" s="73">
        <v>2.445E-2</v>
      </c>
      <c r="E9" s="72">
        <v>608118.68000000005</v>
      </c>
      <c r="F9" s="2">
        <f t="shared" si="0"/>
        <v>1403118.6800000002</v>
      </c>
      <c r="G9" s="2">
        <f>SUM(F8:F9)</f>
        <v>2011237.3600000003</v>
      </c>
      <c r="K9" s="37" t="s">
        <v>347</v>
      </c>
      <c r="M9" s="16">
        <v>291581.31</v>
      </c>
    </row>
    <row r="10" spans="1:13" x14ac:dyDescent="0.25">
      <c r="B10" s="35">
        <f t="shared" si="1"/>
        <v>44531</v>
      </c>
      <c r="C10" s="16"/>
      <c r="D10" s="73"/>
      <c r="E10" s="72">
        <v>598401.07999999996</v>
      </c>
      <c r="F10" s="2">
        <f t="shared" si="0"/>
        <v>598401.07999999996</v>
      </c>
      <c r="G10" s="2"/>
      <c r="K10" s="37" t="s">
        <v>28</v>
      </c>
      <c r="M10" s="16">
        <f>250000</f>
        <v>250000</v>
      </c>
    </row>
    <row r="11" spans="1:13" x14ac:dyDescent="0.25">
      <c r="A11" s="28">
        <f t="shared" ref="A11" si="2">A9+101</f>
        <v>202122</v>
      </c>
      <c r="B11" s="35">
        <f t="shared" si="1"/>
        <v>44713</v>
      </c>
      <c r="C11" s="16">
        <v>815000</v>
      </c>
      <c r="D11" s="73">
        <v>2.4840000000000001E-2</v>
      </c>
      <c r="E11" s="72">
        <v>598401.07999999996</v>
      </c>
      <c r="F11" s="2">
        <f t="shared" si="0"/>
        <v>1413401.08</v>
      </c>
      <c r="G11" s="2">
        <f t="shared" ref="G11" si="3">SUM(F10:F11)</f>
        <v>2011802.1600000001</v>
      </c>
      <c r="K11" s="30" t="s">
        <v>29</v>
      </c>
      <c r="L11" s="4"/>
      <c r="M11" s="10">
        <f>SUM(M6:M10)</f>
        <v>37572979.170000002</v>
      </c>
    </row>
    <row r="12" spans="1:13" x14ac:dyDescent="0.25">
      <c r="B12" s="35">
        <f t="shared" si="1"/>
        <v>44896</v>
      </c>
      <c r="C12" s="16"/>
      <c r="D12" s="73"/>
      <c r="E12" s="72">
        <v>588280.4</v>
      </c>
      <c r="F12" s="2">
        <f t="shared" si="0"/>
        <v>588280.4</v>
      </c>
      <c r="G12" s="2"/>
    </row>
    <row r="13" spans="1:13" x14ac:dyDescent="0.25">
      <c r="A13" s="28">
        <f t="shared" ref="A13" si="4">A11+101</f>
        <v>202223</v>
      </c>
      <c r="B13" s="35">
        <f t="shared" si="1"/>
        <v>45078</v>
      </c>
      <c r="C13" s="16">
        <v>835000</v>
      </c>
      <c r="D13" s="73">
        <v>2.5340000000000001E-2</v>
      </c>
      <c r="E13" s="72">
        <v>588280.4</v>
      </c>
      <c r="F13" s="2">
        <f t="shared" si="0"/>
        <v>1423280.4</v>
      </c>
      <c r="G13" s="2">
        <f t="shared" ref="G13" si="5">SUM(F12:F13)</f>
        <v>2011560.7999999998</v>
      </c>
    </row>
    <row r="14" spans="1:13" x14ac:dyDescent="0.25">
      <c r="B14" s="35">
        <f t="shared" si="1"/>
        <v>45261</v>
      </c>
      <c r="C14" s="16"/>
      <c r="D14" s="73"/>
      <c r="E14" s="72">
        <v>577700.4</v>
      </c>
      <c r="F14" s="2">
        <f t="shared" si="0"/>
        <v>577700.4</v>
      </c>
      <c r="G14" s="2"/>
      <c r="K14" s="6" t="s">
        <v>314</v>
      </c>
      <c r="L14" s="7"/>
      <c r="M14" s="7"/>
    </row>
    <row r="15" spans="1:13" x14ac:dyDescent="0.25">
      <c r="A15" s="28">
        <f t="shared" ref="A15" si="6">A13+101</f>
        <v>202324</v>
      </c>
      <c r="B15" s="35">
        <f t="shared" si="1"/>
        <v>45444</v>
      </c>
      <c r="C15" s="16">
        <v>855000</v>
      </c>
      <c r="D15" s="73">
        <v>2.5819999999999999E-2</v>
      </c>
      <c r="E15" s="72">
        <v>577700.4</v>
      </c>
      <c r="F15" s="2">
        <f t="shared" si="0"/>
        <v>1432700.4</v>
      </c>
      <c r="G15" s="2">
        <f t="shared" ref="G15" si="7">SUM(F14:F15)</f>
        <v>2010400.7999999998</v>
      </c>
      <c r="K15" s="25" t="s">
        <v>30</v>
      </c>
      <c r="L15" s="25" t="s">
        <v>31</v>
      </c>
      <c r="M15" s="25" t="s">
        <v>32</v>
      </c>
    </row>
    <row r="16" spans="1:13" x14ac:dyDescent="0.25">
      <c r="B16" s="35">
        <f t="shared" si="1"/>
        <v>45627</v>
      </c>
      <c r="C16" s="16"/>
      <c r="D16" s="73"/>
      <c r="E16" s="72">
        <v>566664.15</v>
      </c>
      <c r="F16" s="2">
        <f t="shared" si="0"/>
        <v>566664.15</v>
      </c>
      <c r="G16" s="2"/>
      <c r="K16" s="12"/>
      <c r="L16" s="340"/>
      <c r="M16" s="341"/>
    </row>
    <row r="17" spans="1:13" x14ac:dyDescent="0.25">
      <c r="A17" s="28">
        <f t="shared" ref="A17" si="8">A15+101</f>
        <v>202425</v>
      </c>
      <c r="B17" s="35">
        <f t="shared" si="1"/>
        <v>45809</v>
      </c>
      <c r="C17" s="16">
        <v>880000</v>
      </c>
      <c r="D17" s="73">
        <v>2.8119999999999999E-2</v>
      </c>
      <c r="E17" s="72">
        <v>566664.15</v>
      </c>
      <c r="F17" s="2">
        <f t="shared" si="0"/>
        <v>1446664.15</v>
      </c>
      <c r="G17" s="2">
        <f t="shared" ref="G17" si="9">SUM(F16:F17)</f>
        <v>2013328.2999999998</v>
      </c>
      <c r="K17" t="s">
        <v>288</v>
      </c>
      <c r="L17" s="38">
        <v>0.39929999999999999</v>
      </c>
      <c r="M17" s="8">
        <f t="shared" ref="M17:M20" si="10">L17*$M$6</f>
        <v>14617261.676225999</v>
      </c>
    </row>
    <row r="18" spans="1:13" x14ac:dyDescent="0.25">
      <c r="B18" s="35">
        <f t="shared" si="1"/>
        <v>45992</v>
      </c>
      <c r="C18" s="16"/>
      <c r="D18" s="73"/>
      <c r="E18" s="72">
        <v>554290.4</v>
      </c>
      <c r="F18" s="2">
        <f t="shared" si="0"/>
        <v>554290.4</v>
      </c>
      <c r="G18" s="2"/>
      <c r="K18" t="s">
        <v>35</v>
      </c>
      <c r="L18" s="38">
        <v>0.33045308525279543</v>
      </c>
      <c r="M18" s="8">
        <f t="shared" si="10"/>
        <v>12096967.740687028</v>
      </c>
    </row>
    <row r="19" spans="1:13" x14ac:dyDescent="0.25">
      <c r="A19" s="28">
        <f t="shared" ref="A19" si="11">A17+101</f>
        <v>202526</v>
      </c>
      <c r="B19" s="35">
        <f t="shared" si="1"/>
        <v>46174</v>
      </c>
      <c r="C19" s="16">
        <v>900000</v>
      </c>
      <c r="D19" s="73">
        <v>2.971E-2</v>
      </c>
      <c r="E19" s="72">
        <v>554290.4</v>
      </c>
      <c r="F19" s="2">
        <f t="shared" si="0"/>
        <v>1454290.4</v>
      </c>
      <c r="G19" s="2">
        <f t="shared" ref="G19" si="12">SUM(F18:F19)</f>
        <v>2008580.7999999998</v>
      </c>
      <c r="K19" t="s">
        <v>36</v>
      </c>
      <c r="L19" s="38">
        <v>3.0962324635015132E-3</v>
      </c>
      <c r="M19" s="8">
        <f t="shared" si="10"/>
        <v>113344.45311652264</v>
      </c>
    </row>
    <row r="20" spans="1:13" x14ac:dyDescent="0.25">
      <c r="B20" s="35">
        <f t="shared" si="1"/>
        <v>46357</v>
      </c>
      <c r="C20" s="16"/>
      <c r="D20" s="73"/>
      <c r="E20" s="72">
        <v>540918.75</v>
      </c>
      <c r="F20" s="2">
        <f t="shared" si="0"/>
        <v>540918.75</v>
      </c>
      <c r="G20" s="2"/>
      <c r="K20" t="s">
        <v>37</v>
      </c>
      <c r="L20" s="38">
        <v>0.26711166848529794</v>
      </c>
      <c r="M20" s="8">
        <f t="shared" si="10"/>
        <v>9778214.7633932624</v>
      </c>
    </row>
    <row r="21" spans="1:13" x14ac:dyDescent="0.25">
      <c r="A21" s="28">
        <f t="shared" ref="A21" si="13">A19+101</f>
        <v>202627</v>
      </c>
      <c r="B21" s="35">
        <f t="shared" si="1"/>
        <v>46539</v>
      </c>
      <c r="C21" s="16">
        <v>925000</v>
      </c>
      <c r="D21" s="73">
        <v>3.0599999999999999E-2</v>
      </c>
      <c r="E21" s="72">
        <v>540918.75</v>
      </c>
      <c r="F21" s="2">
        <f t="shared" si="0"/>
        <v>1465918.75</v>
      </c>
      <c r="G21" s="2">
        <f t="shared" ref="G21" si="14">SUM(F20:F21)</f>
        <v>2006837.5</v>
      </c>
      <c r="K21" s="4" t="s">
        <v>38</v>
      </c>
      <c r="L21" s="39">
        <f>SUM(L16:L20)</f>
        <v>0.99996098620159479</v>
      </c>
      <c r="M21" s="5">
        <f>SUM(M16:M20)</f>
        <v>36605788.633422807</v>
      </c>
    </row>
    <row r="22" spans="1:13" x14ac:dyDescent="0.25">
      <c r="B22" s="35">
        <f t="shared" si="1"/>
        <v>46722</v>
      </c>
      <c r="C22" s="16"/>
      <c r="D22" s="73"/>
      <c r="E22" s="72">
        <v>526764.19999999995</v>
      </c>
      <c r="F22" s="2">
        <f t="shared" si="0"/>
        <v>526764.19999999995</v>
      </c>
      <c r="G22" s="2"/>
    </row>
    <row r="23" spans="1:13" x14ac:dyDescent="0.25">
      <c r="A23" s="28">
        <f t="shared" ref="A23" si="15">A21+101</f>
        <v>202728</v>
      </c>
      <c r="B23" s="35">
        <f t="shared" si="1"/>
        <v>46905</v>
      </c>
      <c r="C23" s="16">
        <v>960000</v>
      </c>
      <c r="D23" s="73">
        <v>3.0710000000000001E-2</v>
      </c>
      <c r="E23" s="72">
        <v>526764.19999999995</v>
      </c>
      <c r="F23" s="2">
        <f t="shared" si="0"/>
        <v>1486764.2</v>
      </c>
      <c r="G23" s="2">
        <f t="shared" ref="G23" si="16">SUM(F22:F23)</f>
        <v>2013528.4</v>
      </c>
    </row>
    <row r="24" spans="1:13" x14ac:dyDescent="0.25">
      <c r="B24" s="35">
        <f t="shared" si="1"/>
        <v>47088</v>
      </c>
      <c r="C24" s="16"/>
      <c r="D24" s="73"/>
      <c r="E24" s="72">
        <v>512022.6</v>
      </c>
      <c r="F24" s="2">
        <f t="shared" si="0"/>
        <v>512022.6</v>
      </c>
      <c r="G24" s="2"/>
      <c r="K24" s="40" t="s">
        <v>315</v>
      </c>
      <c r="L24" s="41"/>
      <c r="M24" s="41"/>
    </row>
    <row r="25" spans="1:13" x14ac:dyDescent="0.25">
      <c r="A25" s="28">
        <f t="shared" ref="A25" si="17">A23+101</f>
        <v>202829</v>
      </c>
      <c r="B25" s="35">
        <f t="shared" si="1"/>
        <v>47270</v>
      </c>
      <c r="C25" s="16">
        <v>985000</v>
      </c>
      <c r="D25" s="73">
        <v>3.159E-2</v>
      </c>
      <c r="E25" s="72">
        <v>512022.6</v>
      </c>
      <c r="F25" s="2">
        <f t="shared" si="0"/>
        <v>1497022.6</v>
      </c>
      <c r="G25" s="2">
        <f t="shared" ref="G25" si="18">SUM(F24:F25)</f>
        <v>2009045.2000000002</v>
      </c>
      <c r="K25" s="25" t="s">
        <v>30</v>
      </c>
      <c r="L25" s="25" t="s">
        <v>31</v>
      </c>
      <c r="M25" s="25" t="s">
        <v>32</v>
      </c>
    </row>
    <row r="26" spans="1:13" x14ac:dyDescent="0.25">
      <c r="B26" s="35">
        <f t="shared" si="1"/>
        <v>47453</v>
      </c>
      <c r="C26" s="16"/>
      <c r="D26" s="73"/>
      <c r="E26" s="72">
        <v>496465.7</v>
      </c>
      <c r="F26" s="2">
        <f t="shared" si="0"/>
        <v>496465.7</v>
      </c>
      <c r="G26" s="2"/>
      <c r="L26" s="389"/>
      <c r="M26" s="8"/>
    </row>
    <row r="27" spans="1:13" x14ac:dyDescent="0.25">
      <c r="A27" s="28">
        <f t="shared" ref="A27" si="19">A25+101</f>
        <v>202930</v>
      </c>
      <c r="B27" s="35">
        <f t="shared" si="1"/>
        <v>47635</v>
      </c>
      <c r="C27" s="16">
        <v>1020000</v>
      </c>
      <c r="D27" s="73">
        <v>3.2530000000000003E-2</v>
      </c>
      <c r="E27" s="72">
        <v>496465.7</v>
      </c>
      <c r="F27" s="2">
        <f t="shared" si="0"/>
        <v>1516465.7</v>
      </c>
      <c r="G27" s="2">
        <f t="shared" ref="G27" si="20">SUM(F26:F27)</f>
        <v>2012931.4</v>
      </c>
      <c r="K27" t="s">
        <v>288</v>
      </c>
      <c r="L27" s="38">
        <f>'1 - Marina'!C46/('1 - Marina'!C46+'1 - Seaside'!C46+'1 - DRO'!C39+'1 - County'!C46)</f>
        <v>0.39899481117496777</v>
      </c>
      <c r="M27" s="8">
        <f>L27*$M$6</f>
        <v>14606089.562737005</v>
      </c>
    </row>
    <row r="28" spans="1:13" x14ac:dyDescent="0.25">
      <c r="B28" s="35">
        <f t="shared" si="1"/>
        <v>47818</v>
      </c>
      <c r="C28" s="16"/>
      <c r="D28" s="73"/>
      <c r="E28" s="72">
        <v>479875.3</v>
      </c>
      <c r="F28" s="2">
        <f t="shared" si="0"/>
        <v>479875.3</v>
      </c>
      <c r="G28" s="2"/>
      <c r="K28" t="s">
        <v>35</v>
      </c>
      <c r="L28" s="38">
        <f>'1 - Seaside'!C46/('1 - Seaside'!C46+'1 - Marina'!C46+'1 - DRO'!C39+'1 - County'!C46)</f>
        <v>0.30811361412456967</v>
      </c>
      <c r="M28" s="8">
        <f>L28*$M$6</f>
        <v>11279181.877451936</v>
      </c>
    </row>
    <row r="29" spans="1:13" x14ac:dyDescent="0.25">
      <c r="A29" s="28">
        <f t="shared" ref="A29" si="21">A27+101</f>
        <v>203031</v>
      </c>
      <c r="B29" s="35">
        <f t="shared" si="1"/>
        <v>48000</v>
      </c>
      <c r="C29" s="16">
        <v>1050000</v>
      </c>
      <c r="D29" s="73">
        <v>3.3399999999999999E-2</v>
      </c>
      <c r="E29" s="72">
        <v>479875.3</v>
      </c>
      <c r="F29" s="2">
        <f t="shared" si="0"/>
        <v>1529875.3</v>
      </c>
      <c r="G29" s="2">
        <f t="shared" ref="G29" si="22">SUM(F28:F29)</f>
        <v>2009750.6</v>
      </c>
      <c r="K29" t="s">
        <v>36</v>
      </c>
      <c r="L29" s="38">
        <f>'1 - DRO'!C39/('1 - DRO'!C39+'1 - Marina'!C46+'1 - Seaside'!C46+'1 - County'!C46)</f>
        <v>3.6750586565467867E-3</v>
      </c>
      <c r="M29" s="8">
        <f>L29*$M$6</f>
        <v>134533.66906642614</v>
      </c>
    </row>
    <row r="30" spans="1:13" x14ac:dyDescent="0.25">
      <c r="B30" s="35">
        <f t="shared" si="1"/>
        <v>48183</v>
      </c>
      <c r="C30" s="16"/>
      <c r="D30" s="73"/>
      <c r="E30" s="72">
        <v>462342.55</v>
      </c>
      <c r="F30" s="2">
        <f t="shared" si="0"/>
        <v>462342.55</v>
      </c>
      <c r="G30" s="2"/>
      <c r="K30" t="s">
        <v>37</v>
      </c>
      <c r="L30" s="38">
        <f>'1 - County'!C46/('1 - County'!C46+'1 - Marina'!C46+'1 - Seaside'!C46+'1 - DRO'!C39)</f>
        <v>0.28921651604391568</v>
      </c>
      <c r="M30" s="8">
        <f>L30*$M$6</f>
        <v>10587411.710744631</v>
      </c>
    </row>
    <row r="31" spans="1:13" x14ac:dyDescent="0.25">
      <c r="A31" s="28">
        <f t="shared" ref="A31" si="23">A29+101</f>
        <v>203132</v>
      </c>
      <c r="B31" s="35">
        <f t="shared" si="1"/>
        <v>48366</v>
      </c>
      <c r="C31" s="16">
        <v>1085000</v>
      </c>
      <c r="D31" s="73">
        <v>3.4320000000000003E-2</v>
      </c>
      <c r="E31" s="72">
        <v>462342.55</v>
      </c>
      <c r="F31" s="2">
        <f t="shared" si="0"/>
        <v>1547342.55</v>
      </c>
      <c r="G31" s="2">
        <f t="shared" ref="G31" si="24">SUM(F30:F31)</f>
        <v>2009685.1</v>
      </c>
      <c r="K31" s="4" t="s">
        <v>38</v>
      </c>
      <c r="L31" s="39">
        <f>SUM(L26:L30)</f>
        <v>1</v>
      </c>
      <c r="M31" s="5">
        <f>SUM(M26:M30)</f>
        <v>36607216.819999993</v>
      </c>
    </row>
    <row r="32" spans="1:13" x14ac:dyDescent="0.25">
      <c r="B32" s="35">
        <f t="shared" si="1"/>
        <v>48549</v>
      </c>
      <c r="C32" s="16"/>
      <c r="D32" s="73"/>
      <c r="E32" s="72">
        <v>443726.05</v>
      </c>
      <c r="F32" s="2">
        <f t="shared" si="0"/>
        <v>443726.05</v>
      </c>
      <c r="G32" s="2"/>
    </row>
    <row r="33" spans="1:43" x14ac:dyDescent="0.25">
      <c r="A33" s="28">
        <f t="shared" ref="A33" si="25">A31+101</f>
        <v>203233</v>
      </c>
      <c r="B33" s="35">
        <f t="shared" si="1"/>
        <v>48731</v>
      </c>
      <c r="C33" s="16">
        <v>1125000</v>
      </c>
      <c r="D33" s="73">
        <v>3.4959999999999998E-2</v>
      </c>
      <c r="E33" s="72">
        <v>443726.05</v>
      </c>
      <c r="F33" s="2">
        <f t="shared" si="0"/>
        <v>1568726.05</v>
      </c>
      <c r="G33" s="2">
        <f t="shared" ref="G33" si="26">SUM(F32:F33)</f>
        <v>2012452.1</v>
      </c>
      <c r="K33" s="413" t="s">
        <v>353</v>
      </c>
      <c r="L33" s="414"/>
      <c r="M33" s="414"/>
    </row>
    <row r="34" spans="1:43" x14ac:dyDescent="0.25">
      <c r="B34" s="35">
        <f t="shared" si="1"/>
        <v>48914</v>
      </c>
      <c r="C34" s="16"/>
      <c r="D34" s="73"/>
      <c r="E34" s="72">
        <v>424061.05</v>
      </c>
      <c r="F34" s="2">
        <f t="shared" si="0"/>
        <v>424061.05</v>
      </c>
      <c r="G34" s="2"/>
      <c r="K34" s="25" t="s">
        <v>30</v>
      </c>
      <c r="L34" s="25" t="s">
        <v>31</v>
      </c>
      <c r="M34" s="25" t="s">
        <v>32</v>
      </c>
    </row>
    <row r="35" spans="1:43" x14ac:dyDescent="0.25">
      <c r="A35" s="28">
        <f t="shared" ref="A35" si="27">A33+101</f>
        <v>203334</v>
      </c>
      <c r="B35" s="35">
        <f t="shared" si="1"/>
        <v>49096</v>
      </c>
      <c r="C35" s="16">
        <v>1165000</v>
      </c>
      <c r="D35" s="73">
        <v>3.5659999999999997E-2</v>
      </c>
      <c r="E35" s="72">
        <v>424061.05</v>
      </c>
      <c r="F35" s="2">
        <f t="shared" si="0"/>
        <v>1589061.05</v>
      </c>
      <c r="G35" s="2">
        <f t="shared" ref="G35" si="28">SUM(F34:F35)</f>
        <v>2013122.1</v>
      </c>
      <c r="K35" s="417" t="s">
        <v>354</v>
      </c>
      <c r="L35" s="418">
        <f>M35/$M$6</f>
        <v>0.15980455517186187</v>
      </c>
      <c r="M35" s="416">
        <v>5850000</v>
      </c>
    </row>
    <row r="36" spans="1:43" x14ac:dyDescent="0.25">
      <c r="B36" s="35">
        <f t="shared" si="1"/>
        <v>49279</v>
      </c>
      <c r="C36" s="16"/>
      <c r="D36" s="73"/>
      <c r="E36" s="72">
        <v>403287.75</v>
      </c>
      <c r="F36" s="2">
        <f t="shared" si="0"/>
        <v>403287.75</v>
      </c>
      <c r="G36" s="2"/>
      <c r="K36" s="417" t="s">
        <v>355</v>
      </c>
      <c r="L36" s="418">
        <f>M36/$M$6</f>
        <v>0.51184488873142364</v>
      </c>
      <c r="M36" s="415">
        <f>M6-(M35+M37+M38+M39)</f>
        <v>18737216.82</v>
      </c>
    </row>
    <row r="37" spans="1:43" x14ac:dyDescent="0.25">
      <c r="A37" s="28">
        <f t="shared" ref="A37:A61" si="29">A35+101</f>
        <v>203435</v>
      </c>
      <c r="B37" s="35">
        <f t="shared" si="1"/>
        <v>49461</v>
      </c>
      <c r="C37" s="16">
        <v>1200000</v>
      </c>
      <c r="D37" s="73">
        <v>3.6170000000000001E-2</v>
      </c>
      <c r="E37" s="72">
        <v>403287.75</v>
      </c>
      <c r="F37" s="2">
        <f t="shared" si="0"/>
        <v>1603287.75</v>
      </c>
      <c r="G37" s="2">
        <f t="shared" ref="G37" si="30">SUM(F36:F37)</f>
        <v>2006575.5</v>
      </c>
      <c r="K37" s="417" t="s">
        <v>35</v>
      </c>
      <c r="L37" s="418">
        <f t="shared" ref="L37:L39" si="31">M37/$M$6</f>
        <v>0.25951167079191245</v>
      </c>
      <c r="M37" s="416">
        <v>9500000</v>
      </c>
    </row>
    <row r="38" spans="1:43" x14ac:dyDescent="0.25">
      <c r="B38" s="35">
        <f t="shared" si="1"/>
        <v>49644</v>
      </c>
      <c r="C38" s="16"/>
      <c r="D38" s="73"/>
      <c r="E38" s="72">
        <v>381587.75</v>
      </c>
      <c r="F38" s="2">
        <f t="shared" si="0"/>
        <v>381587.75</v>
      </c>
      <c r="G38" s="2"/>
      <c r="K38" s="417" t="s">
        <v>36</v>
      </c>
      <c r="L38" s="418">
        <f t="shared" si="31"/>
        <v>0</v>
      </c>
      <c r="M38" s="416">
        <v>0</v>
      </c>
    </row>
    <row r="39" spans="1:43" x14ac:dyDescent="0.25">
      <c r="A39" s="28">
        <f t="shared" si="29"/>
        <v>203536</v>
      </c>
      <c r="B39" s="35">
        <f t="shared" si="1"/>
        <v>49827</v>
      </c>
      <c r="C39" s="16">
        <v>1245000</v>
      </c>
      <c r="D39" s="73">
        <v>3.6700000000000003E-2</v>
      </c>
      <c r="E39" s="72">
        <v>381587.75</v>
      </c>
      <c r="F39" s="2">
        <f t="shared" si="0"/>
        <v>1626587.75</v>
      </c>
      <c r="G39" s="2">
        <f t="shared" ref="G39" si="32">SUM(F38:F39)</f>
        <v>2008175.5</v>
      </c>
      <c r="K39" s="417" t="s">
        <v>4</v>
      </c>
      <c r="L39" s="418">
        <f t="shared" si="31"/>
        <v>6.8838885304802033E-2</v>
      </c>
      <c r="M39" s="416">
        <v>2520000</v>
      </c>
    </row>
    <row r="40" spans="1:43" x14ac:dyDescent="0.25">
      <c r="B40" s="35">
        <f t="shared" si="1"/>
        <v>50010</v>
      </c>
      <c r="C40" s="16"/>
      <c r="D40" s="73"/>
      <c r="E40" s="72">
        <v>358742.75</v>
      </c>
      <c r="F40" s="2">
        <f t="shared" si="0"/>
        <v>358742.75</v>
      </c>
      <c r="G40" s="2"/>
      <c r="K40" s="4" t="s">
        <v>38</v>
      </c>
      <c r="L40" s="39">
        <f>SUM(L35:L39)</f>
        <v>1</v>
      </c>
      <c r="M40" s="5">
        <f>SUM(M35:M39)</f>
        <v>36607216.82</v>
      </c>
    </row>
    <row r="41" spans="1:43" x14ac:dyDescent="0.25">
      <c r="A41" s="28">
        <f t="shared" si="29"/>
        <v>203637</v>
      </c>
      <c r="B41" s="35">
        <f t="shared" si="1"/>
        <v>50192</v>
      </c>
      <c r="C41" s="16">
        <v>1295000</v>
      </c>
      <c r="D41" s="73">
        <v>3.703E-2</v>
      </c>
      <c r="E41" s="72">
        <v>358742.75</v>
      </c>
      <c r="F41" s="2">
        <f t="shared" si="0"/>
        <v>1653742.75</v>
      </c>
      <c r="G41" s="2">
        <f t="shared" ref="G41" si="33">SUM(F40:F41)</f>
        <v>2012485.5</v>
      </c>
    </row>
    <row r="42" spans="1:43" x14ac:dyDescent="0.25">
      <c r="B42" s="35">
        <f t="shared" si="1"/>
        <v>50375</v>
      </c>
      <c r="C42" s="16"/>
      <c r="D42" s="73"/>
      <c r="E42" s="72">
        <v>334767.25</v>
      </c>
      <c r="F42" s="2">
        <f t="shared" si="0"/>
        <v>334767.25</v>
      </c>
      <c r="G42" s="2"/>
      <c r="K42" s="12" t="str">
        <f>K14</f>
        <v>Allocation Option 1: Based on FY 2018-19 ROPS</v>
      </c>
    </row>
    <row r="43" spans="1:43" x14ac:dyDescent="0.25">
      <c r="A43" s="28">
        <f t="shared" si="29"/>
        <v>203738</v>
      </c>
      <c r="B43" s="35">
        <f t="shared" si="1"/>
        <v>50557</v>
      </c>
      <c r="C43" s="16">
        <v>1345000</v>
      </c>
      <c r="D43" s="73">
        <v>3.7130000000000003E-2</v>
      </c>
      <c r="E43" s="72">
        <v>334767.25</v>
      </c>
      <c r="F43" s="2">
        <f t="shared" si="0"/>
        <v>1679767.25</v>
      </c>
      <c r="G43" s="2">
        <f t="shared" ref="G43" si="34">SUM(F42:F43)</f>
        <v>2014534.5</v>
      </c>
      <c r="K43" s="12" t="str">
        <f>K24</f>
        <v>Allocation Option 2: Based on FY 2019-20 Tax Increment Generated</v>
      </c>
    </row>
    <row r="44" spans="1:43" x14ac:dyDescent="0.25">
      <c r="B44" s="35">
        <f t="shared" si="1"/>
        <v>50740</v>
      </c>
      <c r="C44" s="16"/>
      <c r="D44" s="73"/>
      <c r="E44" s="72">
        <v>309800.25</v>
      </c>
      <c r="F44" s="2">
        <f t="shared" si="0"/>
        <v>309800.25</v>
      </c>
      <c r="G44" s="2"/>
      <c r="K44" s="12" t="s">
        <v>351</v>
      </c>
    </row>
    <row r="45" spans="1:43" x14ac:dyDescent="0.25">
      <c r="A45" s="28">
        <f t="shared" si="29"/>
        <v>203839</v>
      </c>
      <c r="B45" s="35">
        <f t="shared" si="1"/>
        <v>50922</v>
      </c>
      <c r="C45" s="16">
        <v>1390000</v>
      </c>
      <c r="D45" s="73">
        <v>3.7150000000000002E-2</v>
      </c>
      <c r="E45" s="72">
        <v>309800.25</v>
      </c>
      <c r="F45" s="2">
        <f t="shared" si="0"/>
        <v>1699800.25</v>
      </c>
      <c r="G45" s="2">
        <f t="shared" ref="G45" si="35">SUM(F44:F45)</f>
        <v>2009600.5</v>
      </c>
      <c r="K45" s="12"/>
    </row>
    <row r="46" spans="1:43" x14ac:dyDescent="0.25">
      <c r="B46" s="35">
        <f t="shared" si="1"/>
        <v>51105</v>
      </c>
      <c r="C46" s="16"/>
      <c r="D46" s="73"/>
      <c r="E46" s="72">
        <v>283981.25</v>
      </c>
      <c r="F46" s="2">
        <f t="shared" si="0"/>
        <v>283981.25</v>
      </c>
      <c r="G46" s="2"/>
      <c r="K46" s="12"/>
      <c r="M46" t="s">
        <v>352</v>
      </c>
      <c r="N46" s="42" t="s">
        <v>314</v>
      </c>
    </row>
    <row r="47" spans="1:43" x14ac:dyDescent="0.25">
      <c r="A47" s="28">
        <f t="shared" si="29"/>
        <v>203940</v>
      </c>
      <c r="B47" s="35">
        <f t="shared" si="1"/>
        <v>51288</v>
      </c>
      <c r="C47" s="16">
        <v>1445000</v>
      </c>
      <c r="D47" s="73">
        <v>3.7289999999999997E-2</v>
      </c>
      <c r="E47" s="72">
        <v>283981.25</v>
      </c>
      <c r="F47" s="2">
        <f t="shared" si="0"/>
        <v>1728981.25</v>
      </c>
      <c r="G47" s="2">
        <f t="shared" ref="G47" si="36">SUM(F46:F47)</f>
        <v>2012962.5</v>
      </c>
      <c r="K47" s="12"/>
    </row>
    <row r="48" spans="1:43" x14ac:dyDescent="0.25">
      <c r="B48" s="35">
        <f t="shared" si="1"/>
        <v>51471</v>
      </c>
      <c r="C48" s="16"/>
      <c r="D48" s="73"/>
      <c r="E48" s="72">
        <v>257040</v>
      </c>
      <c r="F48" s="2">
        <f t="shared" si="0"/>
        <v>257040</v>
      </c>
      <c r="G48" s="2"/>
      <c r="K48" s="12"/>
      <c r="M48" s="43"/>
      <c r="N48" s="44">
        <f>A7</f>
        <v>201920</v>
      </c>
      <c r="O48" s="44">
        <f>N48+101</f>
        <v>202021</v>
      </c>
      <c r="P48" s="44">
        <f t="shared" ref="P48:AQ48" si="37">O48+101</f>
        <v>202122</v>
      </c>
      <c r="Q48" s="44">
        <f t="shared" si="37"/>
        <v>202223</v>
      </c>
      <c r="R48" s="44">
        <f t="shared" si="37"/>
        <v>202324</v>
      </c>
      <c r="S48" s="44">
        <f t="shared" si="37"/>
        <v>202425</v>
      </c>
      <c r="T48" s="44">
        <f t="shared" si="37"/>
        <v>202526</v>
      </c>
      <c r="U48" s="44">
        <f t="shared" si="37"/>
        <v>202627</v>
      </c>
      <c r="V48" s="44">
        <f t="shared" si="37"/>
        <v>202728</v>
      </c>
      <c r="W48" s="44">
        <f t="shared" si="37"/>
        <v>202829</v>
      </c>
      <c r="X48" s="44">
        <f t="shared" si="37"/>
        <v>202930</v>
      </c>
      <c r="Y48" s="44">
        <f t="shared" si="37"/>
        <v>203031</v>
      </c>
      <c r="Z48" s="44">
        <f t="shared" si="37"/>
        <v>203132</v>
      </c>
      <c r="AA48" s="44">
        <f t="shared" si="37"/>
        <v>203233</v>
      </c>
      <c r="AB48" s="44">
        <f t="shared" si="37"/>
        <v>203334</v>
      </c>
      <c r="AC48" s="44">
        <f t="shared" si="37"/>
        <v>203435</v>
      </c>
      <c r="AD48" s="44">
        <f t="shared" si="37"/>
        <v>203536</v>
      </c>
      <c r="AE48" s="44">
        <f t="shared" si="37"/>
        <v>203637</v>
      </c>
      <c r="AF48" s="44">
        <f t="shared" si="37"/>
        <v>203738</v>
      </c>
      <c r="AG48" s="44">
        <f t="shared" si="37"/>
        <v>203839</v>
      </c>
      <c r="AH48" s="44">
        <f t="shared" si="37"/>
        <v>203940</v>
      </c>
      <c r="AI48" s="44">
        <f t="shared" si="37"/>
        <v>204041</v>
      </c>
      <c r="AJ48" s="44">
        <f t="shared" si="37"/>
        <v>204142</v>
      </c>
      <c r="AK48" s="44">
        <f t="shared" si="37"/>
        <v>204243</v>
      </c>
      <c r="AL48" s="44">
        <f t="shared" si="37"/>
        <v>204344</v>
      </c>
      <c r="AM48" s="44">
        <f t="shared" si="37"/>
        <v>204445</v>
      </c>
      <c r="AN48" s="44">
        <f t="shared" si="37"/>
        <v>204546</v>
      </c>
      <c r="AO48" s="44">
        <f t="shared" si="37"/>
        <v>204647</v>
      </c>
      <c r="AP48" s="44">
        <f t="shared" si="37"/>
        <v>204748</v>
      </c>
      <c r="AQ48" s="44">
        <f t="shared" si="37"/>
        <v>204849</v>
      </c>
    </row>
    <row r="49" spans="1:43" x14ac:dyDescent="0.25">
      <c r="A49" s="28">
        <f t="shared" si="29"/>
        <v>204041</v>
      </c>
      <c r="B49" s="35">
        <f t="shared" si="1"/>
        <v>51653</v>
      </c>
      <c r="C49" s="16">
        <v>1495000</v>
      </c>
      <c r="D49" s="73">
        <v>3.73E-2</v>
      </c>
      <c r="E49" s="72">
        <v>257040</v>
      </c>
      <c r="F49" s="2">
        <f t="shared" si="0"/>
        <v>1752040</v>
      </c>
      <c r="G49" s="2">
        <f t="shared" ref="G49" si="38">SUM(F48:F49)</f>
        <v>2009080</v>
      </c>
      <c r="K49" s="12"/>
      <c r="M49" s="1" t="s">
        <v>39</v>
      </c>
      <c r="N49" s="9">
        <f>VLOOKUP(N48,$A$6:$G$63,7,FALSE)</f>
        <v>2009375.63</v>
      </c>
      <c r="O49" s="9">
        <f t="shared" ref="O49:AP49" si="39">VLOOKUP(O48,$A$6:$G$63,7,FALSE)</f>
        <v>2011237.3600000003</v>
      </c>
      <c r="P49" s="9">
        <f t="shared" si="39"/>
        <v>2011802.1600000001</v>
      </c>
      <c r="Q49" s="9">
        <f t="shared" si="39"/>
        <v>2011560.7999999998</v>
      </c>
      <c r="R49" s="9">
        <f t="shared" si="39"/>
        <v>2010400.7999999998</v>
      </c>
      <c r="S49" s="9">
        <f t="shared" si="39"/>
        <v>2013328.2999999998</v>
      </c>
      <c r="T49" s="9">
        <f t="shared" si="39"/>
        <v>2008580.7999999998</v>
      </c>
      <c r="U49" s="9">
        <f t="shared" si="39"/>
        <v>2006837.5</v>
      </c>
      <c r="V49" s="9">
        <f t="shared" si="39"/>
        <v>2013528.4</v>
      </c>
      <c r="W49" s="9">
        <f t="shared" si="39"/>
        <v>2009045.2000000002</v>
      </c>
      <c r="X49" s="9">
        <f t="shared" si="39"/>
        <v>2012931.4</v>
      </c>
      <c r="Y49" s="9">
        <f t="shared" si="39"/>
        <v>2009750.6</v>
      </c>
      <c r="Z49" s="9">
        <f t="shared" si="39"/>
        <v>2009685.1</v>
      </c>
      <c r="AA49" s="9">
        <f t="shared" si="39"/>
        <v>2012452.1</v>
      </c>
      <c r="AB49" s="9">
        <f t="shared" si="39"/>
        <v>2013122.1</v>
      </c>
      <c r="AC49" s="9">
        <f t="shared" si="39"/>
        <v>2006575.5</v>
      </c>
      <c r="AD49" s="9">
        <f t="shared" si="39"/>
        <v>2008175.5</v>
      </c>
      <c r="AE49" s="9">
        <f t="shared" si="39"/>
        <v>2012485.5</v>
      </c>
      <c r="AF49" s="9">
        <f t="shared" si="39"/>
        <v>2014534.5</v>
      </c>
      <c r="AG49" s="9">
        <f t="shared" si="39"/>
        <v>2009600.5</v>
      </c>
      <c r="AH49" s="9">
        <f t="shared" si="39"/>
        <v>2012962.5</v>
      </c>
      <c r="AI49" s="9">
        <f t="shared" si="39"/>
        <v>2009080</v>
      </c>
      <c r="AJ49" s="9">
        <f t="shared" si="39"/>
        <v>2013317.5</v>
      </c>
      <c r="AK49" s="9">
        <f t="shared" si="39"/>
        <v>2010125.5</v>
      </c>
      <c r="AL49" s="9">
        <f t="shared" si="39"/>
        <v>2009799.5</v>
      </c>
      <c r="AM49" s="9">
        <f t="shared" si="39"/>
        <v>2012031</v>
      </c>
      <c r="AN49" s="9">
        <f t="shared" si="39"/>
        <v>2011777.5</v>
      </c>
      <c r="AO49" s="9">
        <f t="shared" si="39"/>
        <v>2013893.5</v>
      </c>
      <c r="AP49" s="9">
        <f t="shared" si="39"/>
        <v>2008269.5</v>
      </c>
      <c r="AQ49" s="9" t="e">
        <f>VLOOKUP(AQ48,$A$6:$G$63,7,FALSE)</f>
        <v>#N/A</v>
      </c>
    </row>
    <row r="50" spans="1:43" x14ac:dyDescent="0.25">
      <c r="B50" s="35">
        <f t="shared" si="1"/>
        <v>51836</v>
      </c>
      <c r="C50" s="16"/>
      <c r="D50" s="73"/>
      <c r="E50" s="72">
        <v>229158.75</v>
      </c>
      <c r="F50" s="2">
        <f t="shared" si="0"/>
        <v>229158.75</v>
      </c>
      <c r="G50" s="2"/>
      <c r="K50" s="12"/>
      <c r="M50" t="s">
        <v>40</v>
      </c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</row>
    <row r="51" spans="1:43" x14ac:dyDescent="0.25">
      <c r="A51" s="28">
        <f t="shared" si="29"/>
        <v>204142</v>
      </c>
      <c r="B51" s="35">
        <f t="shared" si="1"/>
        <v>52018</v>
      </c>
      <c r="C51" s="16">
        <v>1555000</v>
      </c>
      <c r="D51" s="73">
        <v>3.7420000000000002E-2</v>
      </c>
      <c r="E51" s="72">
        <v>229158.75</v>
      </c>
      <c r="F51" s="2">
        <f t="shared" si="0"/>
        <v>1784158.75</v>
      </c>
      <c r="G51" s="2">
        <f t="shared" ref="G51" si="40">SUM(F50:F51)</f>
        <v>2013317.5</v>
      </c>
      <c r="K51" s="12"/>
      <c r="M51" s="13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</row>
    <row r="52" spans="1:43" x14ac:dyDescent="0.25">
      <c r="B52" s="35">
        <f t="shared" si="1"/>
        <v>52201</v>
      </c>
      <c r="C52" s="16"/>
      <c r="D52" s="73"/>
      <c r="E52" s="72">
        <v>200062.75</v>
      </c>
      <c r="F52" s="2">
        <f t="shared" si="0"/>
        <v>200062.75</v>
      </c>
      <c r="G52" s="2"/>
      <c r="K52" s="12"/>
      <c r="M52" s="13" t="str">
        <f>K27</f>
        <v>Marina (Airport and RDA 3)</v>
      </c>
      <c r="N52" s="45">
        <f>IF($N$46=$K$42,$L$17*N49,IF($N$46=$K$43,$L$27*N49,"N/A"))</f>
        <v>802343.68905899988</v>
      </c>
      <c r="O52" s="45">
        <f t="shared" ref="O52:AQ52" si="41">IF($N$46=$K$42,$L$17*O49,IF($N$46=$K$43,$L$27*O49,"N/A"))</f>
        <v>803087.0778480001</v>
      </c>
      <c r="P52" s="45">
        <f t="shared" si="41"/>
        <v>803312.60248800006</v>
      </c>
      <c r="Q52" s="45">
        <f t="shared" si="41"/>
        <v>803216.22743999993</v>
      </c>
      <c r="R52" s="45">
        <f t="shared" si="41"/>
        <v>802753.03943999985</v>
      </c>
      <c r="S52" s="45">
        <f t="shared" si="41"/>
        <v>803921.99018999992</v>
      </c>
      <c r="T52" s="45">
        <f t="shared" si="41"/>
        <v>802026.31343999994</v>
      </c>
      <c r="U52" s="45">
        <f t="shared" si="41"/>
        <v>801330.21375</v>
      </c>
      <c r="V52" s="45">
        <f t="shared" si="41"/>
        <v>804001.89012</v>
      </c>
      <c r="W52" s="45">
        <f t="shared" si="41"/>
        <v>802211.74836000009</v>
      </c>
      <c r="X52" s="45">
        <f t="shared" si="41"/>
        <v>803763.50801999995</v>
      </c>
      <c r="Y52" s="45">
        <f t="shared" si="41"/>
        <v>802493.41457999998</v>
      </c>
      <c r="Z52" s="45">
        <f t="shared" si="41"/>
        <v>802467.26043000002</v>
      </c>
      <c r="AA52" s="45">
        <f t="shared" si="41"/>
        <v>803572.12352999998</v>
      </c>
      <c r="AB52" s="45">
        <f t="shared" si="41"/>
        <v>803839.65453000006</v>
      </c>
      <c r="AC52" s="45">
        <f t="shared" si="41"/>
        <v>801225.59714999993</v>
      </c>
      <c r="AD52" s="45">
        <f t="shared" si="41"/>
        <v>801864.47714999993</v>
      </c>
      <c r="AE52" s="45">
        <f t="shared" si="41"/>
        <v>803585.46014999994</v>
      </c>
      <c r="AF52" s="45">
        <f t="shared" si="41"/>
        <v>804403.62584999995</v>
      </c>
      <c r="AG52" s="45">
        <f t="shared" si="41"/>
        <v>802433.47964999999</v>
      </c>
      <c r="AH52" s="45">
        <f t="shared" si="41"/>
        <v>803775.92625000002</v>
      </c>
      <c r="AI52" s="45">
        <f t="shared" si="41"/>
        <v>802225.64399999997</v>
      </c>
      <c r="AJ52" s="45">
        <f t="shared" si="41"/>
        <v>803917.67775000003</v>
      </c>
      <c r="AK52" s="45">
        <f t="shared" si="41"/>
        <v>802643.11214999994</v>
      </c>
      <c r="AL52" s="45">
        <f t="shared" si="41"/>
        <v>802512.94034999993</v>
      </c>
      <c r="AM52" s="45">
        <f t="shared" si="41"/>
        <v>803403.97829999996</v>
      </c>
      <c r="AN52" s="45">
        <f t="shared" si="41"/>
        <v>803302.75575000001</v>
      </c>
      <c r="AO52" s="45">
        <f t="shared" si="41"/>
        <v>804147.67455</v>
      </c>
      <c r="AP52" s="45">
        <f t="shared" si="41"/>
        <v>801902.01134999993</v>
      </c>
      <c r="AQ52" s="45" t="e">
        <f t="shared" si="41"/>
        <v>#N/A</v>
      </c>
    </row>
    <row r="53" spans="1:43" x14ac:dyDescent="0.25">
      <c r="A53" s="28">
        <f t="shared" si="29"/>
        <v>204243</v>
      </c>
      <c r="B53" s="35">
        <f t="shared" si="1"/>
        <v>52383</v>
      </c>
      <c r="C53" s="16">
        <v>1610000</v>
      </c>
      <c r="D53" s="73">
        <v>3.7470000000000003E-2</v>
      </c>
      <c r="E53" s="72">
        <v>200062.75</v>
      </c>
      <c r="F53" s="2">
        <f t="shared" si="0"/>
        <v>1810062.75</v>
      </c>
      <c r="G53" s="2">
        <f t="shared" ref="G53" si="42">SUM(F52:F53)</f>
        <v>2010125.5</v>
      </c>
      <c r="K53" s="12"/>
      <c r="M53" s="13" t="str">
        <f>K28</f>
        <v>Seaside Fort Ord</v>
      </c>
      <c r="N53" s="45">
        <f t="shared" ref="N53:AQ53" si="43">IF($N$46=$K$42,$L$18*N49,IF($N$46=$K$43,$L$28*N49,"N/A"))</f>
        <v>664004.37636527955</v>
      </c>
      <c r="O53" s="45">
        <f t="shared" si="43"/>
        <v>664619.59078768734</v>
      </c>
      <c r="P53" s="45">
        <f t="shared" si="43"/>
        <v>664806.23069023807</v>
      </c>
      <c r="Q53" s="45">
        <f t="shared" si="43"/>
        <v>664726.47253358131</v>
      </c>
      <c r="R53" s="45">
        <f t="shared" si="43"/>
        <v>664343.14695468813</v>
      </c>
      <c r="S53" s="45">
        <f t="shared" si="43"/>
        <v>665310.54836176569</v>
      </c>
      <c r="T53" s="45">
        <f t="shared" si="43"/>
        <v>663741.72233952803</v>
      </c>
      <c r="U53" s="45">
        <f t="shared" si="43"/>
        <v>663165.64347600681</v>
      </c>
      <c r="V53" s="45">
        <f t="shared" si="43"/>
        <v>665376.67202412477</v>
      </c>
      <c r="W53" s="45">
        <f t="shared" si="43"/>
        <v>663895.18475231947</v>
      </c>
      <c r="X53" s="45">
        <f t="shared" si="43"/>
        <v>665179.39153222879</v>
      </c>
      <c r="Y53" s="45">
        <f t="shared" si="43"/>
        <v>664128.28635865683</v>
      </c>
      <c r="Z53" s="45">
        <f t="shared" si="43"/>
        <v>664106.64168157277</v>
      </c>
      <c r="AA53" s="45">
        <f t="shared" si="43"/>
        <v>665021.00536846719</v>
      </c>
      <c r="AB53" s="45">
        <f t="shared" si="43"/>
        <v>665242.40893558657</v>
      </c>
      <c r="AC53" s="45">
        <f t="shared" si="43"/>
        <v>663079.06476767058</v>
      </c>
      <c r="AD53" s="45">
        <f t="shared" si="43"/>
        <v>663607.78970407508</v>
      </c>
      <c r="AE53" s="45">
        <f t="shared" si="43"/>
        <v>665032.04250151466</v>
      </c>
      <c r="AF53" s="45">
        <f t="shared" si="43"/>
        <v>665709.14087319758</v>
      </c>
      <c r="AG53" s="45">
        <f t="shared" si="43"/>
        <v>664078.68535056035</v>
      </c>
      <c r="AH53" s="45">
        <f t="shared" si="43"/>
        <v>665189.66862318025</v>
      </c>
      <c r="AI53" s="45">
        <f t="shared" si="43"/>
        <v>663906.68451968627</v>
      </c>
      <c r="AJ53" s="45">
        <f t="shared" si="43"/>
        <v>665306.97946844494</v>
      </c>
      <c r="AK53" s="45">
        <f t="shared" si="43"/>
        <v>664252.17322031804</v>
      </c>
      <c r="AL53" s="45">
        <f t="shared" si="43"/>
        <v>664144.44551452564</v>
      </c>
      <c r="AM53" s="45">
        <f t="shared" si="43"/>
        <v>664881.85157426726</v>
      </c>
      <c r="AN53" s="45">
        <f t="shared" si="43"/>
        <v>664798.08171715564</v>
      </c>
      <c r="AO53" s="45">
        <f t="shared" si="43"/>
        <v>665497.32044555061</v>
      </c>
      <c r="AP53" s="45">
        <f t="shared" si="43"/>
        <v>663638.85229408881</v>
      </c>
      <c r="AQ53" s="45" t="e">
        <f t="shared" si="43"/>
        <v>#N/A</v>
      </c>
    </row>
    <row r="54" spans="1:43" x14ac:dyDescent="0.25">
      <c r="B54" s="35">
        <f t="shared" si="1"/>
        <v>52566</v>
      </c>
      <c r="C54" s="16"/>
      <c r="D54" s="73"/>
      <c r="E54" s="72">
        <v>169899.75</v>
      </c>
      <c r="F54" s="2">
        <f t="shared" si="0"/>
        <v>169899.75</v>
      </c>
      <c r="G54" s="2"/>
      <c r="M54" s="13" t="str">
        <f>K29</f>
        <v>Del Rey Oaks Fort Ord</v>
      </c>
      <c r="N54" s="45">
        <f t="shared" ref="N54:AQ54" si="44">IF($N$46=$K$42,$L$19*N49,IF($N$46=$K$43,$L$29*N49,"N/A"))</f>
        <v>6221.4940569748051</v>
      </c>
      <c r="O54" s="45">
        <f t="shared" si="44"/>
        <v>6227.2584058390812</v>
      </c>
      <c r="P54" s="45">
        <f t="shared" si="44"/>
        <v>6229.0071579344658</v>
      </c>
      <c r="Q54" s="45">
        <f t="shared" si="44"/>
        <v>6228.2598512670738</v>
      </c>
      <c r="R54" s="45">
        <f t="shared" si="44"/>
        <v>6224.6682216094123</v>
      </c>
      <c r="S54" s="45">
        <f t="shared" si="44"/>
        <v>6233.7324421463127</v>
      </c>
      <c r="T54" s="45">
        <f t="shared" si="44"/>
        <v>6219.0330785258393</v>
      </c>
      <c r="U54" s="45">
        <f t="shared" si="44"/>
        <v>6213.6354164722179</v>
      </c>
      <c r="V54" s="45">
        <f t="shared" si="44"/>
        <v>6234.3519982622602</v>
      </c>
      <c r="W54" s="45">
        <f t="shared" si="44"/>
        <v>6220.4709688818912</v>
      </c>
      <c r="X54" s="45">
        <f t="shared" si="44"/>
        <v>6232.5035474815495</v>
      </c>
      <c r="Y54" s="45">
        <f t="shared" si="44"/>
        <v>6222.6550512616441</v>
      </c>
      <c r="Z54" s="45">
        <f t="shared" si="44"/>
        <v>6222.4522480352853</v>
      </c>
      <c r="AA54" s="45">
        <f t="shared" si="44"/>
        <v>6231.0195232617934</v>
      </c>
      <c r="AB54" s="45">
        <f t="shared" si="44"/>
        <v>6233.0939990123397</v>
      </c>
      <c r="AC54" s="45">
        <f t="shared" si="44"/>
        <v>6212.8242035667809</v>
      </c>
      <c r="AD54" s="45">
        <f t="shared" si="44"/>
        <v>6217.7781755083834</v>
      </c>
      <c r="AE54" s="45">
        <f t="shared" si="44"/>
        <v>6231.1229374260747</v>
      </c>
      <c r="AF54" s="45">
        <f t="shared" si="44"/>
        <v>6237.4671177437895</v>
      </c>
      <c r="AG54" s="45">
        <f t="shared" si="44"/>
        <v>6222.1903067688727</v>
      </c>
      <c r="AH54" s="45">
        <f t="shared" si="44"/>
        <v>6232.5998403111644</v>
      </c>
      <c r="AI54" s="45">
        <f t="shared" si="44"/>
        <v>6220.5787177716202</v>
      </c>
      <c r="AJ54" s="45">
        <f t="shared" si="44"/>
        <v>6233.6990028357077</v>
      </c>
      <c r="AK54" s="45">
        <f t="shared" si="44"/>
        <v>6223.8158288122113</v>
      </c>
      <c r="AL54" s="45">
        <f t="shared" si="44"/>
        <v>6222.8064570291099</v>
      </c>
      <c r="AM54" s="45">
        <f t="shared" si="44"/>
        <v>6229.7156997714128</v>
      </c>
      <c r="AN54" s="45">
        <f t="shared" si="44"/>
        <v>6228.9308048419152</v>
      </c>
      <c r="AO54" s="45">
        <f t="shared" si="44"/>
        <v>6235.4824327346851</v>
      </c>
      <c r="AP54" s="45">
        <f t="shared" si="44"/>
        <v>6218.0692213599523</v>
      </c>
      <c r="AQ54" s="45" t="e">
        <f t="shared" si="44"/>
        <v>#N/A</v>
      </c>
    </row>
    <row r="55" spans="1:43" x14ac:dyDescent="0.25">
      <c r="A55" s="28">
        <f t="shared" si="29"/>
        <v>204344</v>
      </c>
      <c r="B55" s="35">
        <f t="shared" si="1"/>
        <v>52749</v>
      </c>
      <c r="C55" s="16">
        <v>1670000</v>
      </c>
      <c r="D55" s="73">
        <v>3.7589999999999998E-2</v>
      </c>
      <c r="E55" s="72">
        <v>169899.75</v>
      </c>
      <c r="F55" s="2">
        <f t="shared" si="0"/>
        <v>1839899.75</v>
      </c>
      <c r="G55" s="2">
        <f t="shared" ref="G55" si="45">SUM(F54:F55)</f>
        <v>2009799.5</v>
      </c>
      <c r="M55" s="13" t="str">
        <f>K30</f>
        <v>Fort Ord East Garrison</v>
      </c>
      <c r="N55" s="45">
        <f t="shared" ref="N55:AQ55" si="46">IF($N$46=$K$42,$L$20*N49,IF($N$46=$K$43,$L$30*N49,"N/A"))</f>
        <v>536727.67714299669</v>
      </c>
      <c r="O55" s="45">
        <f t="shared" si="46"/>
        <v>537224.96694956592</v>
      </c>
      <c r="P55" s="45">
        <f t="shared" si="46"/>
        <v>537375.83161992638</v>
      </c>
      <c r="Q55" s="45">
        <f t="shared" si="46"/>
        <v>537311.36154762062</v>
      </c>
      <c r="R55" s="45">
        <f t="shared" si="46"/>
        <v>537001.51201217773</v>
      </c>
      <c r="S55" s="45">
        <f t="shared" si="46"/>
        <v>537783.48142166843</v>
      </c>
      <c r="T55" s="45">
        <f t="shared" si="46"/>
        <v>536515.36877553444</v>
      </c>
      <c r="U55" s="45">
        <f t="shared" si="46"/>
        <v>536049.71300386405</v>
      </c>
      <c r="V55" s="45">
        <f t="shared" si="46"/>
        <v>537836.93046653236</v>
      </c>
      <c r="W55" s="45">
        <f t="shared" si="46"/>
        <v>536639.41543437913</v>
      </c>
      <c r="X55" s="45">
        <f t="shared" si="46"/>
        <v>537677.46480044664</v>
      </c>
      <c r="Y55" s="45">
        <f t="shared" si="46"/>
        <v>536827.83600532869</v>
      </c>
      <c r="Z55" s="45">
        <f t="shared" si="46"/>
        <v>536810.34019104287</v>
      </c>
      <c r="AA55" s="45">
        <f t="shared" si="46"/>
        <v>537549.43817774171</v>
      </c>
      <c r="AB55" s="45">
        <f t="shared" si="46"/>
        <v>537728.40299562679</v>
      </c>
      <c r="AC55" s="45">
        <f t="shared" si="46"/>
        <v>535979.72974672099</v>
      </c>
      <c r="AD55" s="45">
        <f t="shared" si="46"/>
        <v>536407.10841629747</v>
      </c>
      <c r="AE55" s="45">
        <f t="shared" si="46"/>
        <v>537558.359707469</v>
      </c>
      <c r="AF55" s="45">
        <f t="shared" si="46"/>
        <v>538105.67151619541</v>
      </c>
      <c r="AG55" s="45">
        <f t="shared" si="46"/>
        <v>536787.74254388898</v>
      </c>
      <c r="AH55" s="45">
        <f t="shared" si="46"/>
        <v>537685.77197333658</v>
      </c>
      <c r="AI55" s="45">
        <f t="shared" si="46"/>
        <v>536648.71092044236</v>
      </c>
      <c r="AJ55" s="45">
        <f t="shared" si="46"/>
        <v>537780.59661564883</v>
      </c>
      <c r="AK55" s="45">
        <f t="shared" si="46"/>
        <v>536927.97616984381</v>
      </c>
      <c r="AL55" s="45">
        <f t="shared" si="46"/>
        <v>536840.89776591759</v>
      </c>
      <c r="AM55" s="45">
        <f t="shared" si="46"/>
        <v>537436.95745414251</v>
      </c>
      <c r="AN55" s="45">
        <f t="shared" si="46"/>
        <v>537369.24464618147</v>
      </c>
      <c r="AO55" s="45">
        <f t="shared" si="46"/>
        <v>537934.45293669635</v>
      </c>
      <c r="AP55" s="45">
        <f t="shared" si="46"/>
        <v>536432.21691313502</v>
      </c>
      <c r="AQ55" s="45" t="e">
        <f t="shared" si="46"/>
        <v>#N/A</v>
      </c>
    </row>
    <row r="56" spans="1:43" x14ac:dyDescent="0.25">
      <c r="B56" s="35">
        <f t="shared" si="1"/>
        <v>52932</v>
      </c>
      <c r="C56" s="16"/>
      <c r="D56" s="73"/>
      <c r="E56" s="72">
        <v>138515.5</v>
      </c>
      <c r="F56" s="2">
        <f t="shared" si="0"/>
        <v>138515.5</v>
      </c>
      <c r="G56" s="2"/>
      <c r="M56" t="s">
        <v>39</v>
      </c>
      <c r="N56" s="46">
        <f>SUM(N51:N55)</f>
        <v>2009297.2366242507</v>
      </c>
      <c r="O56" s="46">
        <f t="shared" ref="O56:AQ56" si="47">SUM(O51:O55)</f>
        <v>2011158.8939910922</v>
      </c>
      <c r="P56" s="46">
        <f t="shared" si="47"/>
        <v>2011723.6719560986</v>
      </c>
      <c r="Q56" s="46">
        <f t="shared" si="47"/>
        <v>2011482.321372469</v>
      </c>
      <c r="R56" s="46">
        <f t="shared" si="47"/>
        <v>2010322.366628475</v>
      </c>
      <c r="S56" s="46">
        <f t="shared" si="47"/>
        <v>2013249.7524155802</v>
      </c>
      <c r="T56" s="46">
        <f t="shared" si="47"/>
        <v>2008502.4376335882</v>
      </c>
      <c r="U56" s="46">
        <f t="shared" si="47"/>
        <v>2006759.2056463431</v>
      </c>
      <c r="V56" s="46">
        <f t="shared" si="47"/>
        <v>2013449.8446089197</v>
      </c>
      <c r="W56" s="46">
        <f t="shared" si="47"/>
        <v>2008966.8195155805</v>
      </c>
      <c r="X56" s="46">
        <f t="shared" si="47"/>
        <v>2012852.8679001569</v>
      </c>
      <c r="Y56" s="46">
        <f t="shared" si="47"/>
        <v>2009672.1919952473</v>
      </c>
      <c r="Z56" s="46">
        <f t="shared" si="47"/>
        <v>2009606.6945506507</v>
      </c>
      <c r="AA56" s="46">
        <f t="shared" si="47"/>
        <v>2012373.5865994706</v>
      </c>
      <c r="AB56" s="46">
        <f t="shared" si="47"/>
        <v>2013043.5604602257</v>
      </c>
      <c r="AC56" s="46">
        <f t="shared" si="47"/>
        <v>2006497.2158679585</v>
      </c>
      <c r="AD56" s="46">
        <f t="shared" si="47"/>
        <v>2008097.1534458809</v>
      </c>
      <c r="AE56" s="46">
        <f t="shared" si="47"/>
        <v>2012406.9852964096</v>
      </c>
      <c r="AF56" s="46">
        <f t="shared" si="47"/>
        <v>2014455.9053571366</v>
      </c>
      <c r="AG56" s="46">
        <f t="shared" si="47"/>
        <v>2009522.0978512182</v>
      </c>
      <c r="AH56" s="46">
        <f t="shared" si="47"/>
        <v>2012883.9666868278</v>
      </c>
      <c r="AI56" s="46">
        <f t="shared" si="47"/>
        <v>2009001.6181579002</v>
      </c>
      <c r="AJ56" s="46">
        <f t="shared" si="47"/>
        <v>2013238.9528369296</v>
      </c>
      <c r="AK56" s="46">
        <f t="shared" si="47"/>
        <v>2010047.0773689742</v>
      </c>
      <c r="AL56" s="46">
        <f t="shared" si="47"/>
        <v>2009721.0900874725</v>
      </c>
      <c r="AM56" s="46">
        <f t="shared" si="47"/>
        <v>2011952.5030281814</v>
      </c>
      <c r="AN56" s="46">
        <f t="shared" si="47"/>
        <v>2011699.0129181789</v>
      </c>
      <c r="AO56" s="46">
        <f t="shared" si="47"/>
        <v>2013814.9303649818</v>
      </c>
      <c r="AP56" s="46">
        <f t="shared" si="47"/>
        <v>2008191.1497785836</v>
      </c>
      <c r="AQ56" s="46" t="e">
        <f t="shared" si="47"/>
        <v>#N/A</v>
      </c>
    </row>
    <row r="57" spans="1:43" x14ac:dyDescent="0.25">
      <c r="A57" s="28">
        <f t="shared" si="29"/>
        <v>204445</v>
      </c>
      <c r="B57" s="35">
        <f t="shared" si="1"/>
        <v>53114</v>
      </c>
      <c r="C57" s="16">
        <v>1735000</v>
      </c>
      <c r="D57" s="73">
        <v>3.7609999999999998E-2</v>
      </c>
      <c r="E57" s="72">
        <v>138515.5</v>
      </c>
      <c r="F57" s="2">
        <f t="shared" si="0"/>
        <v>1873515.5</v>
      </c>
      <c r="G57" s="2">
        <f t="shared" ref="G57" si="48">SUM(F56:F57)</f>
        <v>2012031</v>
      </c>
    </row>
    <row r="58" spans="1:43" s="42" customFormat="1" x14ac:dyDescent="0.25">
      <c r="A58" s="28"/>
      <c r="B58" s="35">
        <f t="shared" si="1"/>
        <v>53297</v>
      </c>
      <c r="C58" s="16"/>
      <c r="D58" s="73"/>
      <c r="E58" s="72">
        <v>105888.75</v>
      </c>
      <c r="F58" s="2">
        <f t="shared" si="0"/>
        <v>105888.75</v>
      </c>
      <c r="G58" s="2"/>
      <c r="K58"/>
      <c r="L58"/>
    </row>
    <row r="59" spans="1:43" x14ac:dyDescent="0.25">
      <c r="A59" s="28">
        <f t="shared" si="29"/>
        <v>204546</v>
      </c>
      <c r="B59" s="35">
        <f t="shared" si="1"/>
        <v>53479</v>
      </c>
      <c r="C59" s="16">
        <v>1800000</v>
      </c>
      <c r="D59" s="73">
        <v>3.771E-2</v>
      </c>
      <c r="E59" s="72">
        <v>105888.75</v>
      </c>
      <c r="F59" s="2">
        <f t="shared" si="0"/>
        <v>1905888.75</v>
      </c>
      <c r="G59" s="2">
        <f t="shared" ref="G59" si="49">SUM(F58:F59)</f>
        <v>2011777.5</v>
      </c>
      <c r="K59" s="42"/>
      <c r="L59" s="42"/>
    </row>
    <row r="60" spans="1:43" x14ac:dyDescent="0.25">
      <c r="B60" s="35">
        <f t="shared" si="1"/>
        <v>53662</v>
      </c>
      <c r="C60" s="16"/>
      <c r="D60" s="73"/>
      <c r="E60" s="72">
        <v>71946.75</v>
      </c>
      <c r="F60" s="2">
        <f t="shared" si="0"/>
        <v>71946.75</v>
      </c>
      <c r="G60" s="2"/>
    </row>
    <row r="61" spans="1:43" x14ac:dyDescent="0.25">
      <c r="A61" s="28">
        <f t="shared" si="29"/>
        <v>204647</v>
      </c>
      <c r="B61" s="35">
        <f t="shared" si="1"/>
        <v>53844</v>
      </c>
      <c r="C61" s="16">
        <v>1870000</v>
      </c>
      <c r="D61" s="73">
        <v>3.7769999999999998E-2</v>
      </c>
      <c r="E61" s="72">
        <v>71946.75</v>
      </c>
      <c r="F61" s="2">
        <f t="shared" si="0"/>
        <v>1941946.75</v>
      </c>
      <c r="G61" s="2">
        <f t="shared" ref="G61" si="50">SUM(F60:F61)</f>
        <v>2013893.5</v>
      </c>
    </row>
    <row r="62" spans="1:43" x14ac:dyDescent="0.25">
      <c r="B62" s="35">
        <f t="shared" si="1"/>
        <v>54027</v>
      </c>
      <c r="C62" s="16"/>
      <c r="D62" s="73"/>
      <c r="E62" s="72">
        <v>36634.75</v>
      </c>
      <c r="F62" s="2">
        <f t="shared" si="0"/>
        <v>36634.75</v>
      </c>
      <c r="G62" s="2"/>
    </row>
    <row r="63" spans="1:43" x14ac:dyDescent="0.25">
      <c r="A63" s="28">
        <f>A61+101</f>
        <v>204748</v>
      </c>
      <c r="B63" s="35">
        <f t="shared" si="1"/>
        <v>54210</v>
      </c>
      <c r="C63" s="16">
        <v>1935000</v>
      </c>
      <c r="D63" s="73">
        <v>3.7870000000000001E-2</v>
      </c>
      <c r="E63" s="72">
        <v>36634.75</v>
      </c>
      <c r="F63" s="2">
        <f t="shared" si="0"/>
        <v>1971634.75</v>
      </c>
      <c r="G63" s="2">
        <f>SUM(F62:F63)</f>
        <v>2008269.5</v>
      </c>
    </row>
    <row r="64" spans="1:43" s="1" customFormat="1" x14ac:dyDescent="0.25">
      <c r="B64" s="4"/>
      <c r="C64" s="10">
        <f>SUM(C6:C63)</f>
        <v>36370000</v>
      </c>
      <c r="D64" s="15"/>
      <c r="E64" s="47">
        <f>SUM(E6:E63)</f>
        <v>21946266.250000004</v>
      </c>
      <c r="F64" s="47">
        <f>SUM(F6:F63)</f>
        <v>58316266.250000015</v>
      </c>
      <c r="G64" s="47">
        <f>SUM(G6:G63)</f>
        <v>58316266.25</v>
      </c>
      <c r="K64"/>
      <c r="L64"/>
    </row>
    <row r="65" spans="11:12" x14ac:dyDescent="0.25">
      <c r="K65" s="1"/>
      <c r="L65" s="1"/>
    </row>
  </sheetData>
  <mergeCells count="3">
    <mergeCell ref="B1:G1"/>
    <mergeCell ref="B2:G2"/>
    <mergeCell ref="B3:G3"/>
  </mergeCells>
  <conditionalFormatting sqref="Y46:XFD47 L44:M44 N1:XFD38 K45:M46 K47:L1048576 Y50:XFD50 A65:J1048576 B64:J64 A1:J63 AR48:XFD49 AR51:XFD55 M56:XFD1048576 N42:XFD45 O39:XFD41">
    <cfRule type="cellIs" dxfId="1" priority="3" operator="equal">
      <formula>0</formula>
    </cfRule>
  </conditionalFormatting>
  <conditionalFormatting sqref="K41:N41 N39:N40">
    <cfRule type="cellIs" dxfId="0" priority="1" operator="equal">
      <formula>0</formula>
    </cfRule>
  </conditionalFormatting>
  <dataValidations count="1">
    <dataValidation type="list" allowBlank="1" showInputMessage="1" showErrorMessage="1" sqref="N46 R46">
      <formula1>$K$42:$K$44</formula1>
    </dataValidation>
  </dataValidations>
  <pageMargins left="0.5" right="0.5" top="0.5" bottom="0.5" header="0.3" footer="0.3"/>
  <pageSetup scale="25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W72"/>
  <sheetViews>
    <sheetView showGridLines="0" zoomScale="85" zoomScaleNormal="85" workbookViewId="0">
      <selection activeCell="E8" sqref="E8:L8"/>
    </sheetView>
  </sheetViews>
  <sheetFormatPr defaultColWidth="8.85546875" defaultRowHeight="15" x14ac:dyDescent="0.25"/>
  <cols>
    <col min="1" max="1" width="63.28515625" customWidth="1"/>
    <col min="2" max="2" width="15.28515625" customWidth="1"/>
    <col min="3" max="32" width="13.28515625" customWidth="1"/>
    <col min="33" max="33" width="4.28515625" style="226" bestFit="1" customWidth="1"/>
    <col min="34" max="35" width="17.140625" style="237" customWidth="1"/>
    <col min="36" max="36" width="13.85546875" hidden="1" customWidth="1"/>
    <col min="37" max="37" width="9.28515625" hidden="1" customWidth="1"/>
    <col min="38" max="38" width="9" hidden="1" customWidth="1"/>
    <col min="39" max="44" width="11.28515625" hidden="1" customWidth="1"/>
    <col min="45" max="48" width="11" hidden="1" customWidth="1"/>
    <col min="49" max="49" width="10.28515625" hidden="1" customWidth="1"/>
  </cols>
  <sheetData>
    <row r="1" spans="1:44" ht="18.75" x14ac:dyDescent="0.3">
      <c r="A1" s="53" t="s">
        <v>56</v>
      </c>
    </row>
    <row r="2" spans="1:44" ht="18.75" x14ac:dyDescent="0.3">
      <c r="A2" s="54" t="s">
        <v>101</v>
      </c>
    </row>
    <row r="3" spans="1:44" ht="18.75" x14ac:dyDescent="0.3">
      <c r="A3" s="54"/>
    </row>
    <row r="4" spans="1:44" ht="18.75" x14ac:dyDescent="0.3">
      <c r="A4" s="149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44" x14ac:dyDescent="0.25">
      <c r="A5" s="52"/>
    </row>
    <row r="6" spans="1:44" x14ac:dyDescent="0.25">
      <c r="A6" s="52"/>
      <c r="B6" s="257"/>
      <c r="C6" s="442" t="s">
        <v>59</v>
      </c>
      <c r="D6" s="442"/>
      <c r="E6" s="443" t="s">
        <v>60</v>
      </c>
      <c r="F6" s="443"/>
      <c r="G6" s="443"/>
      <c r="H6" s="443"/>
      <c r="I6" s="443"/>
      <c r="J6" s="443"/>
      <c r="K6" s="443"/>
      <c r="L6" s="443"/>
      <c r="M6" s="443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</row>
    <row r="7" spans="1:44" x14ac:dyDescent="0.25">
      <c r="A7" s="258" t="s">
        <v>92</v>
      </c>
      <c r="B7" s="259" t="s">
        <v>9</v>
      </c>
      <c r="C7" s="339">
        <v>201819</v>
      </c>
      <c r="D7" s="339">
        <f t="shared" ref="D7:L7" si="0">C7+101</f>
        <v>201920</v>
      </c>
      <c r="E7" s="337">
        <f t="shared" si="0"/>
        <v>202021</v>
      </c>
      <c r="F7" s="337">
        <f t="shared" si="0"/>
        <v>202122</v>
      </c>
      <c r="G7" s="337">
        <f t="shared" si="0"/>
        <v>202223</v>
      </c>
      <c r="H7" s="337">
        <f t="shared" si="0"/>
        <v>202324</v>
      </c>
      <c r="I7" s="337">
        <f t="shared" si="0"/>
        <v>202425</v>
      </c>
      <c r="J7" s="337">
        <f t="shared" si="0"/>
        <v>202526</v>
      </c>
      <c r="K7" s="337">
        <f>J7+101</f>
        <v>202627</v>
      </c>
      <c r="L7" s="337">
        <f t="shared" si="0"/>
        <v>202728</v>
      </c>
      <c r="M7" s="337">
        <f t="shared" ref="M7" si="1">L7+101</f>
        <v>202829</v>
      </c>
      <c r="N7" s="337">
        <f t="shared" ref="N7" si="2">M7+101</f>
        <v>202930</v>
      </c>
      <c r="O7" s="337">
        <f t="shared" ref="O7" si="3">N7+101</f>
        <v>203031</v>
      </c>
      <c r="P7" s="337">
        <f t="shared" ref="P7" si="4">O7+101</f>
        <v>203132</v>
      </c>
      <c r="Q7" s="337">
        <f t="shared" ref="Q7" si="5">P7+101</f>
        <v>203233</v>
      </c>
      <c r="R7" s="337">
        <f t="shared" ref="R7" si="6">Q7+101</f>
        <v>203334</v>
      </c>
      <c r="S7" s="337">
        <f t="shared" ref="S7" si="7">R7+101</f>
        <v>203435</v>
      </c>
      <c r="T7" s="337">
        <f t="shared" ref="T7" si="8">S7+101</f>
        <v>203536</v>
      </c>
      <c r="U7" s="337">
        <f t="shared" ref="U7" si="9">T7+101</f>
        <v>203637</v>
      </c>
      <c r="V7" s="337">
        <f t="shared" ref="V7" si="10">U7+101</f>
        <v>203738</v>
      </c>
      <c r="W7" s="337">
        <f t="shared" ref="W7" si="11">V7+101</f>
        <v>203839</v>
      </c>
      <c r="X7" s="337">
        <f t="shared" ref="X7" si="12">W7+101</f>
        <v>203940</v>
      </c>
      <c r="Y7" s="337">
        <f t="shared" ref="Y7" si="13">X7+101</f>
        <v>204041</v>
      </c>
      <c r="Z7" s="337">
        <f t="shared" ref="Z7" si="14">Y7+101</f>
        <v>204142</v>
      </c>
      <c r="AA7" s="337">
        <f t="shared" ref="AA7" si="15">Z7+101</f>
        <v>204243</v>
      </c>
      <c r="AB7" s="337">
        <f t="shared" ref="AB7" si="16">AA7+101</f>
        <v>204344</v>
      </c>
      <c r="AC7" s="337">
        <f t="shared" ref="AC7" si="17">AB7+101</f>
        <v>204445</v>
      </c>
      <c r="AD7" s="337">
        <f t="shared" ref="AD7" si="18">AC7+101</f>
        <v>204546</v>
      </c>
      <c r="AE7" s="337">
        <f t="shared" ref="AE7" si="19">AD7+101</f>
        <v>204647</v>
      </c>
      <c r="AF7" s="337">
        <f t="shared" ref="AF7" si="20">AE7+101</f>
        <v>204748</v>
      </c>
      <c r="AG7" s="227"/>
      <c r="AH7" s="238"/>
      <c r="AI7" s="238"/>
      <c r="AJ7" s="264"/>
    </row>
    <row r="8" spans="1:44" x14ac:dyDescent="0.25">
      <c r="A8" s="139" t="s">
        <v>93</v>
      </c>
      <c r="B8" s="260">
        <v>533000</v>
      </c>
      <c r="C8" s="247">
        <v>192</v>
      </c>
      <c r="D8" s="247">
        <v>235</v>
      </c>
      <c r="E8" s="137">
        <v>264</v>
      </c>
      <c r="F8" s="137">
        <v>264</v>
      </c>
      <c r="G8" s="137">
        <v>264</v>
      </c>
      <c r="H8" s="137">
        <v>264</v>
      </c>
      <c r="I8" s="137">
        <v>264</v>
      </c>
      <c r="J8" s="137">
        <v>264</v>
      </c>
      <c r="K8" s="137">
        <v>163</v>
      </c>
      <c r="L8" s="137">
        <v>72</v>
      </c>
      <c r="M8" s="137">
        <v>0</v>
      </c>
      <c r="N8" s="137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60">
        <v>0</v>
      </c>
      <c r="AD8" s="60">
        <v>0</v>
      </c>
      <c r="AE8" s="60">
        <v>0</v>
      </c>
      <c r="AF8" s="60">
        <v>0</v>
      </c>
      <c r="AG8" s="227"/>
      <c r="AH8" s="238"/>
      <c r="AI8" s="238"/>
      <c r="AJ8" s="265"/>
    </row>
    <row r="9" spans="1:44" x14ac:dyDescent="0.25">
      <c r="A9" s="139" t="s">
        <v>44</v>
      </c>
      <c r="B9" s="261">
        <v>220</v>
      </c>
      <c r="C9" s="247">
        <v>0</v>
      </c>
      <c r="D9" s="247">
        <v>23000</v>
      </c>
      <c r="E9" s="137">
        <v>98000</v>
      </c>
      <c r="F9" s="137">
        <v>98000</v>
      </c>
      <c r="G9" s="137">
        <v>75000</v>
      </c>
      <c r="H9" s="137">
        <v>75000</v>
      </c>
      <c r="I9" s="137">
        <v>75000</v>
      </c>
      <c r="J9" s="137">
        <v>75000</v>
      </c>
      <c r="K9" s="137">
        <v>0</v>
      </c>
      <c r="L9" s="137">
        <v>0</v>
      </c>
      <c r="M9" s="137">
        <v>0</v>
      </c>
      <c r="N9" s="137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60">
        <v>0</v>
      </c>
      <c r="AD9" s="60">
        <v>0</v>
      </c>
      <c r="AE9" s="60">
        <v>0</v>
      </c>
      <c r="AF9" s="60">
        <v>0</v>
      </c>
      <c r="AG9" s="227"/>
      <c r="AH9" s="238"/>
      <c r="AI9" s="238"/>
      <c r="AJ9" s="265"/>
      <c r="AP9">
        <v>2666421.52</v>
      </c>
      <c r="AQ9">
        <v>1274027.8600000001</v>
      </c>
      <c r="AR9">
        <f>AP9-AQ9</f>
        <v>1392393.66</v>
      </c>
    </row>
    <row r="10" spans="1:44" x14ac:dyDescent="0.25">
      <c r="A10" s="139" t="s">
        <v>45</v>
      </c>
      <c r="B10" s="261">
        <v>90</v>
      </c>
      <c r="C10" s="247">
        <v>0</v>
      </c>
      <c r="D10" s="247">
        <v>0</v>
      </c>
      <c r="E10" s="137">
        <v>75000</v>
      </c>
      <c r="F10" s="137">
        <v>75000</v>
      </c>
      <c r="G10" s="137">
        <v>75000</v>
      </c>
      <c r="H10" s="137">
        <v>75000</v>
      </c>
      <c r="I10" s="137">
        <v>75000</v>
      </c>
      <c r="J10" s="137">
        <v>75000</v>
      </c>
      <c r="K10" s="137">
        <v>0</v>
      </c>
      <c r="L10" s="137">
        <v>0</v>
      </c>
      <c r="M10" s="137">
        <v>0</v>
      </c>
      <c r="N10" s="137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C10" s="60">
        <v>0</v>
      </c>
      <c r="AD10" s="60">
        <v>0</v>
      </c>
      <c r="AE10" s="60">
        <v>0</v>
      </c>
      <c r="AF10" s="60">
        <v>0</v>
      </c>
      <c r="AG10" s="228"/>
      <c r="AH10" s="444" t="s">
        <v>197</v>
      </c>
      <c r="AI10" s="315"/>
      <c r="AJ10" s="265"/>
      <c r="AR10">
        <f>-0.2*AR9</f>
        <v>-278478.73200000002</v>
      </c>
    </row>
    <row r="11" spans="1:44" ht="15" customHeight="1" x14ac:dyDescent="0.25">
      <c r="A11" s="139" t="s">
        <v>46</v>
      </c>
      <c r="B11" s="261">
        <v>265</v>
      </c>
      <c r="C11" s="247">
        <v>0</v>
      </c>
      <c r="D11" s="247">
        <v>20000</v>
      </c>
      <c r="E11" s="137">
        <v>20000</v>
      </c>
      <c r="F11" s="137">
        <v>20000</v>
      </c>
      <c r="G11" s="137">
        <v>20000</v>
      </c>
      <c r="H11" s="137">
        <v>0</v>
      </c>
      <c r="I11" s="137">
        <v>0</v>
      </c>
      <c r="J11" s="137">
        <v>0</v>
      </c>
      <c r="K11" s="137">
        <v>0</v>
      </c>
      <c r="L11" s="137">
        <v>0</v>
      </c>
      <c r="M11" s="137">
        <v>0</v>
      </c>
      <c r="N11" s="137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60">
        <v>0</v>
      </c>
      <c r="AD11" s="60">
        <v>0</v>
      </c>
      <c r="AE11" s="60">
        <v>0</v>
      </c>
      <c r="AF11" s="60">
        <v>0</v>
      </c>
      <c r="AG11" s="228"/>
      <c r="AH11" s="444"/>
      <c r="AI11" s="315"/>
      <c r="AJ11" s="265"/>
      <c r="AR11">
        <f>SUM(AR9:AR10)</f>
        <v>1113914.9279999998</v>
      </c>
    </row>
    <row r="12" spans="1:44" ht="26.25" x14ac:dyDescent="0.25">
      <c r="A12" s="139" t="s">
        <v>47</v>
      </c>
      <c r="B12" s="262">
        <v>162000</v>
      </c>
      <c r="C12" s="249">
        <v>0</v>
      </c>
      <c r="D12" s="249">
        <v>0</v>
      </c>
      <c r="E12" s="138">
        <v>0</v>
      </c>
      <c r="F12" s="138">
        <v>394</v>
      </c>
      <c r="G12" s="138">
        <v>0</v>
      </c>
      <c r="H12" s="138">
        <v>0</v>
      </c>
      <c r="I12" s="138">
        <v>0</v>
      </c>
      <c r="J12" s="138">
        <v>0</v>
      </c>
      <c r="K12" s="138">
        <v>0</v>
      </c>
      <c r="L12" s="138">
        <v>0</v>
      </c>
      <c r="M12" s="138">
        <v>0</v>
      </c>
      <c r="N12" s="138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228" t="s">
        <v>189</v>
      </c>
      <c r="AH12" s="444"/>
      <c r="AI12" s="315"/>
      <c r="AJ12" s="265"/>
    </row>
    <row r="13" spans="1:44" x14ac:dyDescent="0.25">
      <c r="A13" s="37" t="s">
        <v>49</v>
      </c>
      <c r="B13" s="24"/>
      <c r="C13" s="318">
        <v>88182185</v>
      </c>
      <c r="D13" s="205">
        <v>120495116</v>
      </c>
      <c r="E13" s="147">
        <f>SUMPRODUCT($B$8:$B$12,E8:E12)</f>
        <v>174322000</v>
      </c>
      <c r="F13" s="147">
        <f t="shared" ref="F13:AF13" si="21">SUMPRODUCT($B$8:$B$12,F8:F12)</f>
        <v>238150000</v>
      </c>
      <c r="G13" s="147">
        <f t="shared" si="21"/>
        <v>169262000</v>
      </c>
      <c r="H13" s="147">
        <f t="shared" si="21"/>
        <v>163962000</v>
      </c>
      <c r="I13" s="147">
        <f>SUMPRODUCT($B$8:$B$12,I8:I12)</f>
        <v>163962000</v>
      </c>
      <c r="J13" s="147">
        <f t="shared" si="21"/>
        <v>163962000</v>
      </c>
      <c r="K13" s="147">
        <f t="shared" si="21"/>
        <v>86879000</v>
      </c>
      <c r="L13" s="147">
        <f t="shared" si="21"/>
        <v>38376000</v>
      </c>
      <c r="M13" s="147">
        <f t="shared" si="21"/>
        <v>0</v>
      </c>
      <c r="N13" s="147">
        <f t="shared" si="21"/>
        <v>0</v>
      </c>
      <c r="O13" s="147">
        <f t="shared" si="21"/>
        <v>0</v>
      </c>
      <c r="P13" s="147">
        <f t="shared" si="21"/>
        <v>0</v>
      </c>
      <c r="Q13" s="147">
        <f t="shared" si="21"/>
        <v>0</v>
      </c>
      <c r="R13" s="147">
        <f t="shared" si="21"/>
        <v>0</v>
      </c>
      <c r="S13" s="147">
        <f t="shared" si="21"/>
        <v>0</v>
      </c>
      <c r="T13" s="147">
        <f t="shared" si="21"/>
        <v>0</v>
      </c>
      <c r="U13" s="147">
        <f t="shared" si="21"/>
        <v>0</v>
      </c>
      <c r="V13" s="147">
        <f t="shared" si="21"/>
        <v>0</v>
      </c>
      <c r="W13" s="147">
        <f t="shared" si="21"/>
        <v>0</v>
      </c>
      <c r="X13" s="147">
        <f t="shared" si="21"/>
        <v>0</v>
      </c>
      <c r="Y13" s="147">
        <f t="shared" si="21"/>
        <v>0</v>
      </c>
      <c r="Z13" s="147">
        <f t="shared" si="21"/>
        <v>0</v>
      </c>
      <c r="AA13" s="147">
        <f t="shared" si="21"/>
        <v>0</v>
      </c>
      <c r="AB13" s="147">
        <f t="shared" si="21"/>
        <v>0</v>
      </c>
      <c r="AC13" s="147">
        <f t="shared" si="21"/>
        <v>0</v>
      </c>
      <c r="AD13" s="147">
        <f t="shared" si="21"/>
        <v>0</v>
      </c>
      <c r="AE13" s="147">
        <f t="shared" si="21"/>
        <v>0</v>
      </c>
      <c r="AF13" s="147">
        <f t="shared" si="21"/>
        <v>0</v>
      </c>
      <c r="AG13" s="229" t="s">
        <v>143</v>
      </c>
      <c r="AH13" s="239"/>
      <c r="AI13" s="239"/>
      <c r="AJ13" s="143"/>
      <c r="AK13" s="24"/>
    </row>
    <row r="14" spans="1:44" x14ac:dyDescent="0.25">
      <c r="A14" t="s">
        <v>97</v>
      </c>
      <c r="C14" s="319">
        <v>415720999.0196079</v>
      </c>
      <c r="D14" s="205">
        <f>C16</f>
        <v>512217604</v>
      </c>
      <c r="E14" s="144">
        <f>D16</f>
        <v>642957072.08000004</v>
      </c>
      <c r="F14" s="144">
        <f>E16</f>
        <v>830138213.52160001</v>
      </c>
      <c r="G14" s="144">
        <f t="shared" ref="G14:M14" si="22">F16</f>
        <v>1084890977.792032</v>
      </c>
      <c r="H14" s="144">
        <f t="shared" si="22"/>
        <v>1275850797.3478727</v>
      </c>
      <c r="I14" s="144">
        <f>H16</f>
        <v>1465329813.2948301</v>
      </c>
      <c r="J14" s="144">
        <f t="shared" si="22"/>
        <v>1658598409.5607266</v>
      </c>
      <c r="K14" s="144">
        <f t="shared" si="22"/>
        <v>1855732377.7519412</v>
      </c>
      <c r="L14" s="144">
        <f t="shared" si="22"/>
        <v>1979726025.3069801</v>
      </c>
      <c r="M14" s="144">
        <f t="shared" si="22"/>
        <v>2057696545.8131196</v>
      </c>
      <c r="N14" s="144">
        <f t="shared" ref="N14" si="23">M16</f>
        <v>2098850476.729382</v>
      </c>
      <c r="O14" s="144">
        <f t="shared" ref="O14" si="24">N16</f>
        <v>2140827486.2639697</v>
      </c>
      <c r="P14" s="144">
        <f t="shared" ref="P14" si="25">O16</f>
        <v>2183644035.9892492</v>
      </c>
      <c r="Q14" s="144">
        <f t="shared" ref="Q14" si="26">P16</f>
        <v>2227316916.7090344</v>
      </c>
      <c r="R14" s="144">
        <f t="shared" ref="R14" si="27">Q16</f>
        <v>2271863255.0432153</v>
      </c>
      <c r="S14" s="144">
        <f t="shared" ref="S14" si="28">R16</f>
        <v>2317300520.1440797</v>
      </c>
      <c r="T14" s="144">
        <f t="shared" ref="T14" si="29">S16</f>
        <v>2363646530.5469613</v>
      </c>
      <c r="U14" s="144">
        <f t="shared" ref="U14" si="30">T16</f>
        <v>2410919461.1579003</v>
      </c>
      <c r="V14" s="144">
        <f t="shared" ref="V14" si="31">U16</f>
        <v>2459137850.3810582</v>
      </c>
      <c r="W14" s="144">
        <f t="shared" ref="W14" si="32">V16</f>
        <v>2508320607.3886795</v>
      </c>
      <c r="X14" s="144">
        <f t="shared" ref="X14" si="33">W16</f>
        <v>2558487019.5364532</v>
      </c>
      <c r="Y14" s="144">
        <f t="shared" ref="Y14" si="34">X16</f>
        <v>2609656759.9271822</v>
      </c>
      <c r="Z14" s="144">
        <f t="shared" ref="Z14" si="35">Y16</f>
        <v>2661849895.1257257</v>
      </c>
      <c r="AA14" s="144">
        <f t="shared" ref="AA14" si="36">Z16</f>
        <v>2715086893.0282402</v>
      </c>
      <c r="AB14" s="144">
        <f t="shared" ref="AB14" si="37">AA16</f>
        <v>2769388630.8888049</v>
      </c>
      <c r="AC14" s="144">
        <f t="shared" ref="AC14" si="38">AB16</f>
        <v>2824776403.5065808</v>
      </c>
      <c r="AD14" s="144">
        <f t="shared" ref="AD14" si="39">AC16</f>
        <v>2881271931.5767126</v>
      </c>
      <c r="AE14" s="144">
        <f t="shared" ref="AE14" si="40">AD16</f>
        <v>2938897370.2082467</v>
      </c>
      <c r="AF14" s="144">
        <f t="shared" ref="AF14" si="41">AE16</f>
        <v>2997675317.6124115</v>
      </c>
      <c r="AG14" s="227" t="s">
        <v>145</v>
      </c>
      <c r="AH14" s="238"/>
      <c r="AI14" s="238"/>
      <c r="AJ14" s="23"/>
    </row>
    <row r="15" spans="1:44" x14ac:dyDescent="0.25">
      <c r="A15" t="s">
        <v>94</v>
      </c>
      <c r="B15" s="8"/>
      <c r="C15" s="320">
        <f>0.02*C14</f>
        <v>8314419.980392158</v>
      </c>
      <c r="D15" s="206">
        <f>D14*0.02</f>
        <v>10244352.08</v>
      </c>
      <c r="E15" s="132">
        <f>E14*0.02</f>
        <v>12859141.4416</v>
      </c>
      <c r="F15" s="132">
        <f t="shared" ref="F15:AF15" si="42">F14*0.02</f>
        <v>16602764.270432001</v>
      </c>
      <c r="G15" s="132">
        <f t="shared" si="42"/>
        <v>21697819.555840641</v>
      </c>
      <c r="H15" s="132">
        <f t="shared" si="42"/>
        <v>25517015.946957454</v>
      </c>
      <c r="I15" s="132">
        <f t="shared" si="42"/>
        <v>29306596.265896603</v>
      </c>
      <c r="J15" s="132">
        <f t="shared" si="42"/>
        <v>33171968.191214535</v>
      </c>
      <c r="K15" s="132">
        <f t="shared" si="42"/>
        <v>37114647.555038825</v>
      </c>
      <c r="L15" s="132">
        <f t="shared" si="42"/>
        <v>39594520.506139606</v>
      </c>
      <c r="M15" s="132">
        <f t="shared" si="42"/>
        <v>41153930.916262396</v>
      </c>
      <c r="N15" s="132">
        <f t="shared" si="42"/>
        <v>41977009.534587644</v>
      </c>
      <c r="O15" s="132">
        <f t="shared" si="42"/>
        <v>42816549.725279391</v>
      </c>
      <c r="P15" s="132">
        <f t="shared" si="42"/>
        <v>43672880.719784983</v>
      </c>
      <c r="Q15" s="132">
        <f t="shared" si="42"/>
        <v>44546338.33418069</v>
      </c>
      <c r="R15" s="132">
        <f t="shared" si="42"/>
        <v>45437265.100864306</v>
      </c>
      <c r="S15" s="132">
        <f t="shared" si="42"/>
        <v>46346010.402881593</v>
      </c>
      <c r="T15" s="132">
        <f t="shared" si="42"/>
        <v>47272930.610939227</v>
      </c>
      <c r="U15" s="132">
        <f t="shared" si="42"/>
        <v>48218389.223158009</v>
      </c>
      <c r="V15" s="132">
        <f t="shared" si="42"/>
        <v>49182757.007621162</v>
      </c>
      <c r="W15" s="132">
        <f t="shared" si="42"/>
        <v>50166412.147773594</v>
      </c>
      <c r="X15" s="132">
        <f t="shared" si="42"/>
        <v>51169740.39072907</v>
      </c>
      <c r="Y15" s="132">
        <f t="shared" si="42"/>
        <v>52193135.198543645</v>
      </c>
      <c r="Z15" s="132">
        <f t="shared" si="42"/>
        <v>53236997.902514517</v>
      </c>
      <c r="AA15" s="132">
        <f t="shared" si="42"/>
        <v>54301737.860564806</v>
      </c>
      <c r="AB15" s="132">
        <f t="shared" si="42"/>
        <v>55387772.617776096</v>
      </c>
      <c r="AC15" s="132">
        <f t="shared" si="42"/>
        <v>56495528.070131615</v>
      </c>
      <c r="AD15" s="132">
        <f t="shared" si="42"/>
        <v>57625438.631534256</v>
      </c>
      <c r="AE15" s="132">
        <f t="shared" si="42"/>
        <v>58777947.404164933</v>
      </c>
      <c r="AF15" s="132">
        <f t="shared" si="42"/>
        <v>59953506.352248229</v>
      </c>
      <c r="AG15" s="227" t="s">
        <v>146</v>
      </c>
      <c r="AH15" s="238"/>
      <c r="AI15" s="238"/>
      <c r="AJ15" s="23"/>
    </row>
    <row r="16" spans="1:44" x14ac:dyDescent="0.25">
      <c r="A16" t="s">
        <v>202</v>
      </c>
      <c r="C16" s="82">
        <f>(1916.01+12727.39+176939.29+2666421.52+2264171.83)/0.01</f>
        <v>512217604</v>
      </c>
      <c r="D16" s="207">
        <f t="shared" ref="D16:AF16" si="43">D13+D14+D15</f>
        <v>642957072.08000004</v>
      </c>
      <c r="E16" s="82">
        <f t="shared" si="43"/>
        <v>830138213.52160001</v>
      </c>
      <c r="F16" s="82">
        <f t="shared" si="43"/>
        <v>1084890977.792032</v>
      </c>
      <c r="G16" s="82">
        <f t="shared" si="43"/>
        <v>1275850797.3478727</v>
      </c>
      <c r="H16" s="82">
        <f t="shared" si="43"/>
        <v>1465329813.2948301</v>
      </c>
      <c r="I16" s="82">
        <f t="shared" si="43"/>
        <v>1658598409.5607266</v>
      </c>
      <c r="J16" s="82">
        <f t="shared" si="43"/>
        <v>1855732377.7519412</v>
      </c>
      <c r="K16" s="82">
        <f t="shared" si="43"/>
        <v>1979726025.3069801</v>
      </c>
      <c r="L16" s="82">
        <f t="shared" si="43"/>
        <v>2057696545.8131196</v>
      </c>
      <c r="M16" s="82">
        <f t="shared" si="43"/>
        <v>2098850476.729382</v>
      </c>
      <c r="N16" s="82">
        <f t="shared" si="43"/>
        <v>2140827486.2639697</v>
      </c>
      <c r="O16" s="82">
        <f t="shared" si="43"/>
        <v>2183644035.9892492</v>
      </c>
      <c r="P16" s="82">
        <f t="shared" si="43"/>
        <v>2227316916.7090344</v>
      </c>
      <c r="Q16" s="82">
        <f t="shared" si="43"/>
        <v>2271863255.0432153</v>
      </c>
      <c r="R16" s="82">
        <f t="shared" si="43"/>
        <v>2317300520.1440797</v>
      </c>
      <c r="S16" s="82">
        <f t="shared" si="43"/>
        <v>2363646530.5469613</v>
      </c>
      <c r="T16" s="82">
        <f t="shared" si="43"/>
        <v>2410919461.1579003</v>
      </c>
      <c r="U16" s="82">
        <f t="shared" si="43"/>
        <v>2459137850.3810582</v>
      </c>
      <c r="V16" s="82">
        <f t="shared" si="43"/>
        <v>2508320607.3886795</v>
      </c>
      <c r="W16" s="82">
        <f t="shared" si="43"/>
        <v>2558487019.5364532</v>
      </c>
      <c r="X16" s="82">
        <f t="shared" si="43"/>
        <v>2609656759.9271822</v>
      </c>
      <c r="Y16" s="82">
        <f t="shared" si="43"/>
        <v>2661849895.1257257</v>
      </c>
      <c r="Z16" s="82">
        <f t="shared" si="43"/>
        <v>2715086893.0282402</v>
      </c>
      <c r="AA16" s="82">
        <f t="shared" si="43"/>
        <v>2769388630.8888049</v>
      </c>
      <c r="AB16" s="82">
        <f t="shared" si="43"/>
        <v>2824776403.5065808</v>
      </c>
      <c r="AC16" s="82">
        <f t="shared" si="43"/>
        <v>2881271931.5767126</v>
      </c>
      <c r="AD16" s="82">
        <f t="shared" si="43"/>
        <v>2938897370.2082467</v>
      </c>
      <c r="AE16" s="82">
        <f t="shared" si="43"/>
        <v>2997675317.6124115</v>
      </c>
      <c r="AF16" s="82">
        <f t="shared" si="43"/>
        <v>3057628823.9646597</v>
      </c>
      <c r="AG16" s="230" t="s">
        <v>176</v>
      </c>
      <c r="AH16" s="240" t="s">
        <v>190</v>
      </c>
      <c r="AI16" s="240"/>
      <c r="AJ16" s="23"/>
    </row>
    <row r="17" spans="1:49" x14ac:dyDescent="0.25">
      <c r="A17" t="s">
        <v>12</v>
      </c>
      <c r="C17" s="146">
        <f t="shared" ref="C17:AF17" si="44">-$B$6</f>
        <v>0</v>
      </c>
      <c r="D17" s="208">
        <f t="shared" si="44"/>
        <v>0</v>
      </c>
      <c r="E17" s="56">
        <f t="shared" si="44"/>
        <v>0</v>
      </c>
      <c r="F17" s="56">
        <f t="shared" si="44"/>
        <v>0</v>
      </c>
      <c r="G17" s="56">
        <f t="shared" si="44"/>
        <v>0</v>
      </c>
      <c r="H17" s="56">
        <f t="shared" si="44"/>
        <v>0</v>
      </c>
      <c r="I17" s="56">
        <f t="shared" si="44"/>
        <v>0</v>
      </c>
      <c r="J17" s="56">
        <f t="shared" si="44"/>
        <v>0</v>
      </c>
      <c r="K17" s="56">
        <f t="shared" si="44"/>
        <v>0</v>
      </c>
      <c r="L17" s="56">
        <f t="shared" si="44"/>
        <v>0</v>
      </c>
      <c r="M17" s="56">
        <f t="shared" si="44"/>
        <v>0</v>
      </c>
      <c r="N17" s="56">
        <f t="shared" si="44"/>
        <v>0</v>
      </c>
      <c r="O17" s="56">
        <f t="shared" si="44"/>
        <v>0</v>
      </c>
      <c r="P17" s="56">
        <f t="shared" si="44"/>
        <v>0</v>
      </c>
      <c r="Q17" s="56">
        <f t="shared" si="44"/>
        <v>0</v>
      </c>
      <c r="R17" s="56">
        <f t="shared" si="44"/>
        <v>0</v>
      </c>
      <c r="S17" s="56">
        <f t="shared" si="44"/>
        <v>0</v>
      </c>
      <c r="T17" s="56">
        <f t="shared" si="44"/>
        <v>0</v>
      </c>
      <c r="U17" s="56">
        <f t="shared" si="44"/>
        <v>0</v>
      </c>
      <c r="V17" s="56">
        <f t="shared" si="44"/>
        <v>0</v>
      </c>
      <c r="W17" s="56">
        <f t="shared" si="44"/>
        <v>0</v>
      </c>
      <c r="X17" s="56">
        <f t="shared" si="44"/>
        <v>0</v>
      </c>
      <c r="Y17" s="56">
        <f t="shared" si="44"/>
        <v>0</v>
      </c>
      <c r="Z17" s="56">
        <f t="shared" si="44"/>
        <v>0</v>
      </c>
      <c r="AA17" s="56">
        <f t="shared" si="44"/>
        <v>0</v>
      </c>
      <c r="AB17" s="56">
        <f t="shared" si="44"/>
        <v>0</v>
      </c>
      <c r="AC17" s="56">
        <f t="shared" si="44"/>
        <v>0</v>
      </c>
      <c r="AD17" s="56">
        <f t="shared" si="44"/>
        <v>0</v>
      </c>
      <c r="AE17" s="56">
        <f t="shared" si="44"/>
        <v>0</v>
      </c>
      <c r="AF17" s="56">
        <f t="shared" si="44"/>
        <v>0</v>
      </c>
      <c r="AG17" s="227" t="s">
        <v>144</v>
      </c>
      <c r="AH17" s="238" t="s">
        <v>144</v>
      </c>
      <c r="AI17" s="238"/>
      <c r="AJ17" s="23"/>
    </row>
    <row r="18" spans="1:49" x14ac:dyDescent="0.25">
      <c r="A18" s="1" t="s">
        <v>51</v>
      </c>
      <c r="C18" s="96">
        <f>C20/B20</f>
        <v>512217604</v>
      </c>
      <c r="D18" s="209">
        <f t="shared" ref="D18:AF18" si="45">SUM(D16:D17)</f>
        <v>642957072.08000004</v>
      </c>
      <c r="E18" s="70">
        <f t="shared" si="45"/>
        <v>830138213.52160001</v>
      </c>
      <c r="F18" s="70">
        <f t="shared" si="45"/>
        <v>1084890977.792032</v>
      </c>
      <c r="G18" s="70">
        <f t="shared" si="45"/>
        <v>1275850797.3478727</v>
      </c>
      <c r="H18" s="70">
        <f t="shared" si="45"/>
        <v>1465329813.2948301</v>
      </c>
      <c r="I18" s="70">
        <f t="shared" si="45"/>
        <v>1658598409.5607266</v>
      </c>
      <c r="J18" s="70">
        <f t="shared" si="45"/>
        <v>1855732377.7519412</v>
      </c>
      <c r="K18" s="70">
        <f t="shared" si="45"/>
        <v>1979726025.3069801</v>
      </c>
      <c r="L18" s="70">
        <f t="shared" si="45"/>
        <v>2057696545.8131196</v>
      </c>
      <c r="M18" s="70">
        <f t="shared" si="45"/>
        <v>2098850476.729382</v>
      </c>
      <c r="N18" s="70">
        <f t="shared" si="45"/>
        <v>2140827486.2639697</v>
      </c>
      <c r="O18" s="70">
        <f t="shared" si="45"/>
        <v>2183644035.9892492</v>
      </c>
      <c r="P18" s="70">
        <f t="shared" si="45"/>
        <v>2227316916.7090344</v>
      </c>
      <c r="Q18" s="70">
        <f t="shared" si="45"/>
        <v>2271863255.0432153</v>
      </c>
      <c r="R18" s="70">
        <f t="shared" si="45"/>
        <v>2317300520.1440797</v>
      </c>
      <c r="S18" s="70">
        <f t="shared" si="45"/>
        <v>2363646530.5469613</v>
      </c>
      <c r="T18" s="70">
        <f t="shared" si="45"/>
        <v>2410919461.1579003</v>
      </c>
      <c r="U18" s="70">
        <f t="shared" si="45"/>
        <v>2459137850.3810582</v>
      </c>
      <c r="V18" s="70">
        <f t="shared" si="45"/>
        <v>2508320607.3886795</v>
      </c>
      <c r="W18" s="70">
        <f t="shared" si="45"/>
        <v>2558487019.5364532</v>
      </c>
      <c r="X18" s="70">
        <f t="shared" si="45"/>
        <v>2609656759.9271822</v>
      </c>
      <c r="Y18" s="70">
        <f t="shared" si="45"/>
        <v>2661849895.1257257</v>
      </c>
      <c r="Z18" s="70">
        <f t="shared" si="45"/>
        <v>2715086893.0282402</v>
      </c>
      <c r="AA18" s="70">
        <f t="shared" si="45"/>
        <v>2769388630.8888049</v>
      </c>
      <c r="AB18" s="70">
        <f t="shared" si="45"/>
        <v>2824776403.5065808</v>
      </c>
      <c r="AC18" s="70">
        <f t="shared" si="45"/>
        <v>2881271931.5767126</v>
      </c>
      <c r="AD18" s="70">
        <f t="shared" si="45"/>
        <v>2938897370.2082467</v>
      </c>
      <c r="AE18" s="70">
        <f t="shared" si="45"/>
        <v>2997675317.6124115</v>
      </c>
      <c r="AF18" s="70">
        <f t="shared" si="45"/>
        <v>3057628823.9646597</v>
      </c>
      <c r="AG18" s="227" t="s">
        <v>177</v>
      </c>
      <c r="AH18" s="238" t="s">
        <v>191</v>
      </c>
      <c r="AI18" s="238"/>
      <c r="AJ18" s="23"/>
    </row>
    <row r="19" spans="1:49" ht="8.1" customHeight="1" x14ac:dyDescent="0.25">
      <c r="C19" s="82"/>
      <c r="D19" s="207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227"/>
      <c r="AH19" s="238"/>
      <c r="AI19" s="238"/>
      <c r="AJ19" s="23"/>
    </row>
    <row r="20" spans="1:49" x14ac:dyDescent="0.25">
      <c r="A20" t="s">
        <v>42</v>
      </c>
      <c r="B20" s="253">
        <v>0.01</v>
      </c>
      <c r="C20" s="82">
        <f>C16*B20</f>
        <v>5122176.04</v>
      </c>
      <c r="D20" s="207">
        <f>D18*B20</f>
        <v>6429570.7208000002</v>
      </c>
      <c r="E20" s="68">
        <f>B20*E18</f>
        <v>8301382.1352160005</v>
      </c>
      <c r="F20" s="68">
        <f>$B$20*F18</f>
        <v>10848909.777920321</v>
      </c>
      <c r="G20" s="68">
        <f t="shared" ref="G20:AF20" si="46">$B$20*G18</f>
        <v>12758507.973478727</v>
      </c>
      <c r="H20" s="68">
        <f t="shared" si="46"/>
        <v>14653298.132948302</v>
      </c>
      <c r="I20" s="68">
        <f t="shared" si="46"/>
        <v>16585984.095607268</v>
      </c>
      <c r="J20" s="68">
        <f t="shared" si="46"/>
        <v>18557323.777519412</v>
      </c>
      <c r="K20" s="68">
        <f t="shared" si="46"/>
        <v>19797260.253069803</v>
      </c>
      <c r="L20" s="68">
        <f t="shared" si="46"/>
        <v>20576965.458131198</v>
      </c>
      <c r="M20" s="68">
        <f t="shared" si="46"/>
        <v>20988504.767293822</v>
      </c>
      <c r="N20" s="68">
        <f t="shared" si="46"/>
        <v>21408274.862639695</v>
      </c>
      <c r="O20" s="68">
        <f t="shared" si="46"/>
        <v>21836440.359892491</v>
      </c>
      <c r="P20" s="68">
        <f t="shared" si="46"/>
        <v>22273169.167090345</v>
      </c>
      <c r="Q20" s="68">
        <f t="shared" si="46"/>
        <v>22718632.550432153</v>
      </c>
      <c r="R20" s="68">
        <f t="shared" si="46"/>
        <v>23173005.201440796</v>
      </c>
      <c r="S20" s="68">
        <f t="shared" si="46"/>
        <v>23636465.305469614</v>
      </c>
      <c r="T20" s="68">
        <f t="shared" si="46"/>
        <v>24109194.611579005</v>
      </c>
      <c r="U20" s="68">
        <f t="shared" si="46"/>
        <v>24591378.503810581</v>
      </c>
      <c r="V20" s="68">
        <f t="shared" si="46"/>
        <v>25083206.073886797</v>
      </c>
      <c r="W20" s="68">
        <f t="shared" si="46"/>
        <v>25584870.195364535</v>
      </c>
      <c r="X20" s="68">
        <f t="shared" si="46"/>
        <v>26096567.599271823</v>
      </c>
      <c r="Y20" s="68">
        <f t="shared" si="46"/>
        <v>26618498.951257259</v>
      </c>
      <c r="Z20" s="68">
        <f t="shared" si="46"/>
        <v>27150868.930282403</v>
      </c>
      <c r="AA20" s="68">
        <f t="shared" si="46"/>
        <v>27693886.308888048</v>
      </c>
      <c r="AB20" s="68">
        <f t="shared" si="46"/>
        <v>28247764.035065807</v>
      </c>
      <c r="AC20" s="68">
        <f t="shared" si="46"/>
        <v>28812719.315767128</v>
      </c>
      <c r="AD20" s="68">
        <f t="shared" si="46"/>
        <v>29388973.702082466</v>
      </c>
      <c r="AE20" s="68">
        <f t="shared" si="46"/>
        <v>29976753.176124115</v>
      </c>
      <c r="AF20" s="68">
        <f t="shared" si="46"/>
        <v>30576288.239646599</v>
      </c>
      <c r="AG20" s="227" t="s">
        <v>178</v>
      </c>
      <c r="AH20" s="240" t="s">
        <v>192</v>
      </c>
      <c r="AI20" s="240"/>
      <c r="AJ20" s="23"/>
    </row>
    <row r="21" spans="1:49" x14ac:dyDescent="0.25">
      <c r="A21" t="s">
        <v>41</v>
      </c>
      <c r="B21" s="176">
        <v>0.2</v>
      </c>
      <c r="C21" s="173">
        <f t="shared" ref="C21" si="47">-$B21*C20</f>
        <v>-1024435.2080000001</v>
      </c>
      <c r="D21" s="207">
        <f t="shared" ref="D21:AF21" si="48">-$B21*D20</f>
        <v>-1285914.1441600001</v>
      </c>
      <c r="E21" s="69">
        <f t="shared" si="48"/>
        <v>-1660276.4270432002</v>
      </c>
      <c r="F21" s="69">
        <f t="shared" si="48"/>
        <v>-2169781.9555840641</v>
      </c>
      <c r="G21" s="69">
        <f t="shared" si="48"/>
        <v>-2551701.5946957455</v>
      </c>
      <c r="H21" s="69">
        <f t="shared" si="48"/>
        <v>-2930659.6265896605</v>
      </c>
      <c r="I21" s="69">
        <f t="shared" si="48"/>
        <v>-3317196.8191214539</v>
      </c>
      <c r="J21" s="69">
        <f t="shared" si="48"/>
        <v>-3711464.7555038827</v>
      </c>
      <c r="K21" s="69">
        <f t="shared" si="48"/>
        <v>-3959452.0506139607</v>
      </c>
      <c r="L21" s="69">
        <f t="shared" si="48"/>
        <v>-4115393.0916262399</v>
      </c>
      <c r="M21" s="69">
        <f t="shared" si="48"/>
        <v>-4197700.9534587646</v>
      </c>
      <c r="N21" s="69">
        <f t="shared" si="48"/>
        <v>-4281654.9725279389</v>
      </c>
      <c r="O21" s="69">
        <f t="shared" si="48"/>
        <v>-4367288.0719784983</v>
      </c>
      <c r="P21" s="69">
        <f t="shared" si="48"/>
        <v>-4454633.8334180694</v>
      </c>
      <c r="Q21" s="69">
        <f t="shared" si="48"/>
        <v>-4543726.5100864312</v>
      </c>
      <c r="R21" s="69">
        <f t="shared" si="48"/>
        <v>-4634601.0402881596</v>
      </c>
      <c r="S21" s="69">
        <f t="shared" si="48"/>
        <v>-4727293.0610939227</v>
      </c>
      <c r="T21" s="69">
        <f t="shared" si="48"/>
        <v>-4821838.9223158015</v>
      </c>
      <c r="U21" s="69">
        <f t="shared" si="48"/>
        <v>-4918275.7007621164</v>
      </c>
      <c r="V21" s="69">
        <f t="shared" si="48"/>
        <v>-5016641.2147773597</v>
      </c>
      <c r="W21" s="69">
        <f t="shared" si="48"/>
        <v>-5116974.0390729075</v>
      </c>
      <c r="X21" s="69">
        <f t="shared" si="48"/>
        <v>-5219313.5198543649</v>
      </c>
      <c r="Y21" s="69">
        <f t="shared" si="48"/>
        <v>-5323699.7902514525</v>
      </c>
      <c r="Z21" s="69">
        <f t="shared" si="48"/>
        <v>-5430173.7860564813</v>
      </c>
      <c r="AA21" s="69">
        <f t="shared" si="48"/>
        <v>-5538777.2617776096</v>
      </c>
      <c r="AB21" s="69">
        <f t="shared" si="48"/>
        <v>-5649552.8070131615</v>
      </c>
      <c r="AC21" s="69">
        <f t="shared" si="48"/>
        <v>-5762543.863153426</v>
      </c>
      <c r="AD21" s="69">
        <f t="shared" si="48"/>
        <v>-5877794.7404164933</v>
      </c>
      <c r="AE21" s="69">
        <f t="shared" si="48"/>
        <v>-5995350.6352248229</v>
      </c>
      <c r="AF21" s="69">
        <f t="shared" si="48"/>
        <v>-6115257.6479293201</v>
      </c>
      <c r="AG21" s="231" t="s">
        <v>179</v>
      </c>
      <c r="AH21" s="241" t="s">
        <v>193</v>
      </c>
      <c r="AI21" s="241"/>
      <c r="AJ21" s="23"/>
      <c r="AT21" s="445" t="s">
        <v>254</v>
      </c>
    </row>
    <row r="22" spans="1:49" x14ac:dyDescent="0.25">
      <c r="A22" s="1" t="s">
        <v>69</v>
      </c>
      <c r="B22" s="254"/>
      <c r="C22" s="204">
        <f>C20+C21</f>
        <v>4097740.8319999999</v>
      </c>
      <c r="D22" s="210">
        <f>SUM(D20:D21)</f>
        <v>5143656.5766400006</v>
      </c>
      <c r="E22" s="71">
        <f t="shared" ref="E22:AF22" si="49">SUM(E20:E21)</f>
        <v>6641105.7081728</v>
      </c>
      <c r="F22" s="71">
        <f t="shared" si="49"/>
        <v>8679127.8223362565</v>
      </c>
      <c r="G22" s="71">
        <f t="shared" si="49"/>
        <v>10206806.378782982</v>
      </c>
      <c r="H22" s="71">
        <f t="shared" si="49"/>
        <v>11722638.506358642</v>
      </c>
      <c r="I22" s="71">
        <f t="shared" si="49"/>
        <v>13268787.276485814</v>
      </c>
      <c r="J22" s="71">
        <f t="shared" si="49"/>
        <v>14845859.022015531</v>
      </c>
      <c r="K22" s="71">
        <f t="shared" si="49"/>
        <v>15837808.202455843</v>
      </c>
      <c r="L22" s="71">
        <f t="shared" si="49"/>
        <v>16461572.366504958</v>
      </c>
      <c r="M22" s="71">
        <f t="shared" si="49"/>
        <v>16790803.813835058</v>
      </c>
      <c r="N22" s="71">
        <f t="shared" si="49"/>
        <v>17126619.890111756</v>
      </c>
      <c r="O22" s="71">
        <f t="shared" si="49"/>
        <v>17469152.287913993</v>
      </c>
      <c r="P22" s="71">
        <f t="shared" si="49"/>
        <v>17818535.333672278</v>
      </c>
      <c r="Q22" s="71">
        <f t="shared" si="49"/>
        <v>18174906.040345721</v>
      </c>
      <c r="R22" s="71">
        <f t="shared" si="49"/>
        <v>18538404.161152638</v>
      </c>
      <c r="S22" s="71">
        <f t="shared" si="49"/>
        <v>18909172.244375691</v>
      </c>
      <c r="T22" s="71">
        <f t="shared" si="49"/>
        <v>19287355.689263202</v>
      </c>
      <c r="U22" s="71">
        <f t="shared" si="49"/>
        <v>19673102.803048465</v>
      </c>
      <c r="V22" s="71">
        <f t="shared" si="49"/>
        <v>20066564.859109439</v>
      </c>
      <c r="W22" s="71">
        <f t="shared" si="49"/>
        <v>20467896.156291626</v>
      </c>
      <c r="X22" s="71">
        <f t="shared" si="49"/>
        <v>20877254.07941746</v>
      </c>
      <c r="Y22" s="71">
        <f t="shared" si="49"/>
        <v>21294799.161005806</v>
      </c>
      <c r="Z22" s="71">
        <f t="shared" si="49"/>
        <v>21720695.144225921</v>
      </c>
      <c r="AA22" s="71">
        <f t="shared" si="49"/>
        <v>22155109.047110438</v>
      </c>
      <c r="AB22" s="71">
        <f t="shared" si="49"/>
        <v>22598211.228052646</v>
      </c>
      <c r="AC22" s="71">
        <f t="shared" si="49"/>
        <v>23050175.452613704</v>
      </c>
      <c r="AD22" s="71">
        <f t="shared" si="49"/>
        <v>23511178.961665973</v>
      </c>
      <c r="AE22" s="71">
        <f t="shared" si="49"/>
        <v>23981402.540899292</v>
      </c>
      <c r="AF22" s="71">
        <f t="shared" si="49"/>
        <v>24461030.59171728</v>
      </c>
      <c r="AG22" s="227" t="s">
        <v>180</v>
      </c>
      <c r="AH22" s="238" t="s">
        <v>150</v>
      </c>
      <c r="AI22" s="238"/>
      <c r="AJ22" s="124"/>
      <c r="AK22" s="139"/>
      <c r="AL22" s="139"/>
      <c r="AM22" s="139"/>
      <c r="AN22" s="445" t="s">
        <v>41</v>
      </c>
      <c r="AO22" s="445" t="s">
        <v>249</v>
      </c>
      <c r="AP22" s="139"/>
      <c r="AQ22" s="139"/>
      <c r="AR22" s="440" t="s">
        <v>251</v>
      </c>
      <c r="AS22" s="445" t="s">
        <v>41</v>
      </c>
      <c r="AT22" s="445"/>
      <c r="AU22" s="447" t="s">
        <v>253</v>
      </c>
      <c r="AV22" s="445" t="s">
        <v>252</v>
      </c>
      <c r="AW22" s="139"/>
    </row>
    <row r="23" spans="1:49" ht="7.5" customHeight="1" x14ac:dyDescent="0.25">
      <c r="A23" s="1"/>
      <c r="B23" s="254"/>
      <c r="C23" s="82"/>
      <c r="D23" s="207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227"/>
      <c r="AH23" s="238"/>
      <c r="AI23" s="238"/>
      <c r="AJ23" s="124"/>
      <c r="AK23" s="139"/>
      <c r="AL23" s="139"/>
      <c r="AM23" s="139"/>
      <c r="AN23" s="445"/>
      <c r="AO23" s="445"/>
      <c r="AP23" s="445" t="s">
        <v>250</v>
      </c>
      <c r="AQ23" s="445" t="s">
        <v>247</v>
      </c>
      <c r="AR23" s="440"/>
      <c r="AS23" s="445"/>
      <c r="AT23" s="445"/>
      <c r="AU23" s="447"/>
      <c r="AV23" s="445"/>
      <c r="AW23" s="139"/>
    </row>
    <row r="24" spans="1:49" ht="15" customHeight="1" x14ac:dyDescent="0.25">
      <c r="A24" s="1" t="s">
        <v>222</v>
      </c>
      <c r="B24" s="254"/>
      <c r="C24" s="82"/>
      <c r="D24" s="207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227"/>
      <c r="AH24" s="238"/>
      <c r="AI24" s="238"/>
      <c r="AJ24" s="124"/>
      <c r="AK24" s="326">
        <v>0.25</v>
      </c>
      <c r="AL24" s="326">
        <v>0.21</v>
      </c>
      <c r="AM24" s="445" t="s">
        <v>246</v>
      </c>
      <c r="AN24" s="445"/>
      <c r="AO24" s="445"/>
      <c r="AP24" s="445"/>
      <c r="AQ24" s="445"/>
      <c r="AR24" s="440"/>
      <c r="AS24" s="445"/>
      <c r="AT24" s="445"/>
      <c r="AU24" s="447"/>
      <c r="AV24" s="445"/>
      <c r="AW24" s="139"/>
    </row>
    <row r="25" spans="1:49" ht="15" customHeight="1" x14ac:dyDescent="0.25">
      <c r="A25" s="19" t="s">
        <v>258</v>
      </c>
      <c r="B25" s="255">
        <v>0.25</v>
      </c>
      <c r="C25" s="82"/>
      <c r="D25" s="207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227"/>
      <c r="AH25" s="238"/>
      <c r="AI25" s="238"/>
      <c r="AJ25" s="327" t="s">
        <v>237</v>
      </c>
      <c r="AK25" s="130" t="s">
        <v>244</v>
      </c>
      <c r="AL25" s="130" t="s">
        <v>245</v>
      </c>
      <c r="AM25" s="446"/>
      <c r="AN25" s="446"/>
      <c r="AO25" s="446"/>
      <c r="AP25" s="446"/>
      <c r="AQ25" s="446"/>
      <c r="AR25" s="441"/>
      <c r="AS25" s="446"/>
      <c r="AT25" s="446"/>
      <c r="AU25" s="448"/>
      <c r="AV25" s="446"/>
      <c r="AW25" s="130"/>
    </row>
    <row r="26" spans="1:49" x14ac:dyDescent="0.25">
      <c r="A26" t="s">
        <v>218</v>
      </c>
      <c r="B26" s="255">
        <v>0.43601084729514705</v>
      </c>
      <c r="C26" s="82">
        <f>-$B26*$B25*C$22</f>
        <v>-446664.8630390602</v>
      </c>
      <c r="D26" s="207">
        <f t="shared" ref="D26:AF26" si="50">-$B26*$B25*D$22</f>
        <v>-560672.51554401556</v>
      </c>
      <c r="E26" s="68">
        <f>-$B26*$B25*E$22</f>
        <v>-723898.531699265</v>
      </c>
      <c r="F26" s="68">
        <f t="shared" si="50"/>
        <v>-946048.46889992896</v>
      </c>
      <c r="G26" s="68">
        <f t="shared" si="50"/>
        <v>-1112569.57434767</v>
      </c>
      <c r="H26" s="68">
        <f t="shared" si="50"/>
        <v>-1277799.3869230372</v>
      </c>
      <c r="I26" s="68">
        <f t="shared" si="50"/>
        <v>-1446333.7957499116</v>
      </c>
      <c r="J26" s="68">
        <f t="shared" si="50"/>
        <v>-1618238.8927533238</v>
      </c>
      <c r="K26" s="68">
        <f t="shared" si="50"/>
        <v>-1726364.0434127005</v>
      </c>
      <c r="L26" s="68">
        <f t="shared" si="50"/>
        <v>-1794356.0288325513</v>
      </c>
      <c r="M26" s="68">
        <f t="shared" si="50"/>
        <v>-1830243.1494092026</v>
      </c>
      <c r="N26" s="68">
        <f t="shared" si="50"/>
        <v>-1866848.0123973861</v>
      </c>
      <c r="O26" s="68">
        <f t="shared" si="50"/>
        <v>-1904184.9726453342</v>
      </c>
      <c r="P26" s="68">
        <f t="shared" si="50"/>
        <v>-1942268.6720982413</v>
      </c>
      <c r="Q26" s="68">
        <f t="shared" si="50"/>
        <v>-1981114.0455402059</v>
      </c>
      <c r="R26" s="68">
        <f t="shared" si="50"/>
        <v>-2020736.3264510105</v>
      </c>
      <c r="S26" s="68">
        <f t="shared" si="50"/>
        <v>-2061151.0529800307</v>
      </c>
      <c r="T26" s="68">
        <f t="shared" si="50"/>
        <v>-2102374.0740396311</v>
      </c>
      <c r="U26" s="68">
        <f t="shared" si="50"/>
        <v>-2144421.5555204237</v>
      </c>
      <c r="V26" s="68">
        <f t="shared" si="50"/>
        <v>-2187309.9866308323</v>
      </c>
      <c r="W26" s="68">
        <f t="shared" si="50"/>
        <v>-2231056.1863634489</v>
      </c>
      <c r="X26" s="68">
        <f t="shared" si="50"/>
        <v>-2275677.3100907179</v>
      </c>
      <c r="Y26" s="68">
        <f t="shared" si="50"/>
        <v>-2321190.8562925318</v>
      </c>
      <c r="Z26" s="68">
        <f t="shared" si="50"/>
        <v>-2367614.6734183826</v>
      </c>
      <c r="AA26" s="68">
        <f t="shared" si="50"/>
        <v>-2414966.96688675</v>
      </c>
      <c r="AB26" s="68">
        <f t="shared" si="50"/>
        <v>-2463266.3062244849</v>
      </c>
      <c r="AC26" s="68">
        <f t="shared" si="50"/>
        <v>-2512531.6323489752</v>
      </c>
      <c r="AD26" s="68">
        <f t="shared" si="50"/>
        <v>-2562782.264995954</v>
      </c>
      <c r="AE26" s="68">
        <f t="shared" si="50"/>
        <v>-2614037.9102958729</v>
      </c>
      <c r="AF26" s="68">
        <f t="shared" si="50"/>
        <v>-2666318.6685017911</v>
      </c>
      <c r="AG26" s="227" t="s">
        <v>224</v>
      </c>
      <c r="AH26" s="240" t="s">
        <v>235</v>
      </c>
      <c r="AI26" s="240"/>
      <c r="AJ26" s="23" t="s">
        <v>238</v>
      </c>
      <c r="AK26" s="328">
        <v>0.434253</v>
      </c>
      <c r="AL26" s="328">
        <v>4.6897000000000001E-2</v>
      </c>
      <c r="AM26" s="3">
        <v>2666421.52</v>
      </c>
      <c r="AN26" s="3">
        <f>-AM26*0.2</f>
        <v>-533284.304</v>
      </c>
      <c r="AO26" s="3">
        <f>AM26+AN26</f>
        <v>2133137.216</v>
      </c>
      <c r="AP26" s="3">
        <f>-(AO26*AK26*$AK$24)-(AO26*AL26*$AK$24)</f>
        <v>-256589.74286959998</v>
      </c>
      <c r="AQ26" s="3">
        <v>1274027.8600000001</v>
      </c>
      <c r="AR26" s="3">
        <f>(AM26-AQ26)</f>
        <v>1392393.66</v>
      </c>
      <c r="AS26" s="3">
        <f>-AR26*0.2</f>
        <v>-278478.73200000002</v>
      </c>
      <c r="AT26" s="3">
        <f>AR26+AS26</f>
        <v>1113914.9279999998</v>
      </c>
      <c r="AU26" s="3">
        <f>-(AT26*AK26*$AL$24)-(AT26*AL26*$AL$24)</f>
        <v>-112551.63519751198</v>
      </c>
      <c r="AV26" s="3">
        <f>AO26+AP26+AU26</f>
        <v>1763995.8379328882</v>
      </c>
      <c r="AW26" s="3">
        <f>(AM26*0.8)-(AM26*$AK$24*AK26)-(AM26*$AK$24*AL26)-(AR26*$AL$24*AK26)-(AR26*$AL$24*AL26)</f>
        <v>1671710.4934161101</v>
      </c>
    </row>
    <row r="27" spans="1:49" x14ac:dyDescent="0.25">
      <c r="A27" t="s">
        <v>219</v>
      </c>
      <c r="B27" s="323">
        <f>AJ42</f>
        <v>4.708428690072472E-2</v>
      </c>
      <c r="C27" s="82">
        <f>-$B27*$B25*C$22</f>
        <v>-48234.801244675604</v>
      </c>
      <c r="D27" s="207">
        <f>-$B27*$B25*D$22</f>
        <v>-60546.350493329337</v>
      </c>
      <c r="E27" s="82">
        <f>-$B27*$B25*E$22</f>
        <v>-78172.93162541218</v>
      </c>
      <c r="F27" s="82">
        <f>-$B27*$B25*F$22</f>
        <v>-102162.63610873562</v>
      </c>
      <c r="G27" s="82">
        <f>-$B27*$B25*G$22</f>
        <v>-120145.04996969127</v>
      </c>
      <c r="H27" s="82">
        <f t="shared" ref="H27:AF27" si="51">-$B27*$B25*H$22</f>
        <v>-137988.01866671836</v>
      </c>
      <c r="I27" s="82">
        <f t="shared" si="51"/>
        <v>-156187.84673768596</v>
      </c>
      <c r="J27" s="82">
        <f t="shared" si="51"/>
        <v>-174751.67137007293</v>
      </c>
      <c r="K27" s="82">
        <f t="shared" si="51"/>
        <v>-186427.97632077054</v>
      </c>
      <c r="L27" s="82">
        <f t="shared" si="51"/>
        <v>-193770.34903539036</v>
      </c>
      <c r="M27" s="82">
        <f t="shared" si="51"/>
        <v>-197645.75601609817</v>
      </c>
      <c r="N27" s="82">
        <f t="shared" si="51"/>
        <v>-201598.6711364201</v>
      </c>
      <c r="O27" s="82">
        <f t="shared" si="51"/>
        <v>-205630.64455914852</v>
      </c>
      <c r="P27" s="82">
        <f t="shared" si="51"/>
        <v>-209743.25745033156</v>
      </c>
      <c r="Q27" s="82">
        <f t="shared" si="51"/>
        <v>-213938.12259933815</v>
      </c>
      <c r="R27" s="82">
        <f t="shared" si="51"/>
        <v>-218216.88505132496</v>
      </c>
      <c r="S27" s="82">
        <f t="shared" si="51"/>
        <v>-222581.22275235146</v>
      </c>
      <c r="T27" s="82">
        <f t="shared" si="51"/>
        <v>-227032.84720739844</v>
      </c>
      <c r="U27" s="82">
        <f t="shared" si="51"/>
        <v>-231573.5041515464</v>
      </c>
      <c r="V27" s="82">
        <f t="shared" si="51"/>
        <v>-236204.97423457738</v>
      </c>
      <c r="W27" s="82">
        <f t="shared" si="51"/>
        <v>-240929.07371926893</v>
      </c>
      <c r="X27" s="82">
        <f t="shared" si="51"/>
        <v>-245747.6551936543</v>
      </c>
      <c r="Y27" s="82">
        <f t="shared" si="51"/>
        <v>-250662.60829752736</v>
      </c>
      <c r="Z27" s="82">
        <f t="shared" si="51"/>
        <v>-255675.8604634779</v>
      </c>
      <c r="AA27" s="82">
        <f t="shared" si="51"/>
        <v>-260789.37767274745</v>
      </c>
      <c r="AB27" s="82">
        <f t="shared" si="51"/>
        <v>-266005.1652262024</v>
      </c>
      <c r="AC27" s="82">
        <f t="shared" si="51"/>
        <v>-271325.26853072649</v>
      </c>
      <c r="AD27" s="82">
        <f t="shared" si="51"/>
        <v>-276751.77390134096</v>
      </c>
      <c r="AE27" s="82">
        <f t="shared" si="51"/>
        <v>-282286.80937936774</v>
      </c>
      <c r="AF27" s="82">
        <f t="shared" si="51"/>
        <v>-287932.54556695517</v>
      </c>
      <c r="AG27" s="227" t="s">
        <v>225</v>
      </c>
      <c r="AH27" s="240" t="s">
        <v>236</v>
      </c>
      <c r="AI27" s="240"/>
      <c r="AJ27" s="152" t="s">
        <v>239</v>
      </c>
      <c r="AK27" s="328">
        <v>0.43797799999999998</v>
      </c>
      <c r="AL27" s="328">
        <v>4.7299000000000001E-2</v>
      </c>
      <c r="AM27" s="3">
        <v>2264171.83</v>
      </c>
      <c r="AN27" s="3">
        <f t="shared" ref="AN27:AN36" si="52">-AM27*0.2</f>
        <v>-452834.36600000004</v>
      </c>
      <c r="AO27" s="3">
        <f t="shared" ref="AO27:AO36" si="53">AM27+AN27</f>
        <v>1811337.4640000002</v>
      </c>
      <c r="AP27" s="3">
        <f>-(AO27*AK27*$AK$24)-(AO27*AL27*$AK$24)</f>
        <v>-219750.10262938199</v>
      </c>
      <c r="AQ27" s="3">
        <v>671797.02</v>
      </c>
      <c r="AR27" s="3">
        <f>(AM27-AQ27)</f>
        <v>1592374.81</v>
      </c>
      <c r="AS27" s="3">
        <f t="shared" ref="AS27:AS36" si="54">-AR27*0.2</f>
        <v>-318474.96200000006</v>
      </c>
      <c r="AT27" s="3">
        <f t="shared" ref="AT27:AT36" si="55">AR27+AS27</f>
        <v>1273899.848</v>
      </c>
      <c r="AU27" s="3">
        <f>-(AT27*AK27*$AL$24)-(AT27*AL27*$AL$24)</f>
        <v>-129820.80227295816</v>
      </c>
      <c r="AV27" s="3">
        <f t="shared" ref="AV27:AV36" si="56">AO27+AP27+AU27</f>
        <v>1461766.55909766</v>
      </c>
      <c r="AW27" s="3">
        <f t="shared" ref="AW27:AW36" si="57">(AM27*0.8)-(AM27*$AK$24*AK27)-(AM27*$AK$24*AL27)-(AR27*$AL$24*AK27)-(AR27*$AL$24*AL27)</f>
        <v>1374373.8328720746</v>
      </c>
    </row>
    <row r="28" spans="1:49" ht="26.25" x14ac:dyDescent="0.25">
      <c r="A28" s="322" t="s">
        <v>234</v>
      </c>
      <c r="B28" s="323"/>
      <c r="C28" s="82">
        <f>(C20-(1274027.86+671797.02+115230.61+23706.97+1659.78))*0.8</f>
        <v>2428603.04</v>
      </c>
      <c r="D28" s="207">
        <f>(D20-(1274027.86+671797.02+115230.61+23706.97+1659.78))*0.8</f>
        <v>3474518.7846400002</v>
      </c>
      <c r="E28" s="82">
        <f t="shared" ref="E28:AF28" si="58">(E20-(1274027.86+671797.02+115230.61+23706.97+1659.78))*0.8</f>
        <v>4971967.9161728006</v>
      </c>
      <c r="F28" s="82">
        <f t="shared" si="58"/>
        <v>7009990.0303362571</v>
      </c>
      <c r="G28" s="82">
        <f t="shared" si="58"/>
        <v>8537668.5867829826</v>
      </c>
      <c r="H28" s="82">
        <f t="shared" si="58"/>
        <v>10053500.714358641</v>
      </c>
      <c r="I28" s="82">
        <f t="shared" si="58"/>
        <v>11599649.484485814</v>
      </c>
      <c r="J28" s="82">
        <f t="shared" si="58"/>
        <v>13176721.230015531</v>
      </c>
      <c r="K28" s="82">
        <f t="shared" si="58"/>
        <v>14168670.410455842</v>
      </c>
      <c r="L28" s="82">
        <f t="shared" si="58"/>
        <v>14792434.57450496</v>
      </c>
      <c r="M28" s="82">
        <f t="shared" si="58"/>
        <v>15121666.021835059</v>
      </c>
      <c r="N28" s="82">
        <f t="shared" si="58"/>
        <v>15457482.098111756</v>
      </c>
      <c r="O28" s="82">
        <f t="shared" si="58"/>
        <v>15800014.495913995</v>
      </c>
      <c r="P28" s="82">
        <f t="shared" si="58"/>
        <v>16149397.541672278</v>
      </c>
      <c r="Q28" s="82">
        <f t="shared" si="58"/>
        <v>16505768.248345722</v>
      </c>
      <c r="R28" s="82">
        <f t="shared" si="58"/>
        <v>16869266.369152635</v>
      </c>
      <c r="S28" s="82">
        <f t="shared" si="58"/>
        <v>17240034.452375691</v>
      </c>
      <c r="T28" s="82">
        <f t="shared" si="58"/>
        <v>17618217.897263207</v>
      </c>
      <c r="U28" s="82">
        <f t="shared" si="58"/>
        <v>18003965.011048466</v>
      </c>
      <c r="V28" s="82">
        <f t="shared" si="58"/>
        <v>18397427.067109436</v>
      </c>
      <c r="W28" s="82">
        <f t="shared" si="58"/>
        <v>18798758.364291627</v>
      </c>
      <c r="X28" s="82">
        <f t="shared" si="58"/>
        <v>19208116.28741746</v>
      </c>
      <c r="Y28" s="82">
        <f t="shared" si="58"/>
        <v>19625661.369005807</v>
      </c>
      <c r="Z28" s="82">
        <f t="shared" si="58"/>
        <v>20051557.352225926</v>
      </c>
      <c r="AA28" s="82">
        <f t="shared" si="58"/>
        <v>20485971.255110439</v>
      </c>
      <c r="AB28" s="82">
        <f t="shared" si="58"/>
        <v>20929073.436052646</v>
      </c>
      <c r="AC28" s="82">
        <f t="shared" si="58"/>
        <v>21381037.660613704</v>
      </c>
      <c r="AD28" s="82">
        <f t="shared" si="58"/>
        <v>21842041.169665977</v>
      </c>
      <c r="AE28" s="82">
        <f t="shared" si="58"/>
        <v>22312264.748899296</v>
      </c>
      <c r="AF28" s="82">
        <f t="shared" si="58"/>
        <v>22791892.799717277</v>
      </c>
      <c r="AG28" s="227" t="s">
        <v>296</v>
      </c>
      <c r="AH28" s="246" t="s">
        <v>260</v>
      </c>
      <c r="AI28" s="246"/>
      <c r="AJ28" s="152"/>
      <c r="AK28" s="328"/>
      <c r="AL28" s="328"/>
      <c r="AM28" s="3"/>
      <c r="AN28" s="3">
        <f t="shared" si="52"/>
        <v>0</v>
      </c>
      <c r="AO28" s="3">
        <f t="shared" si="53"/>
        <v>0</v>
      </c>
      <c r="AP28" s="3">
        <f t="shared" ref="AP28:AP29" si="59">-(AO28*AK28*$AK$24)-(AO28*AL28*$AK$24)</f>
        <v>0</v>
      </c>
      <c r="AQ28" s="3"/>
      <c r="AR28" s="3">
        <f t="shared" ref="AR28:AR29" si="60">(AM28-AQ28)</f>
        <v>0</v>
      </c>
      <c r="AS28" s="3">
        <f t="shared" si="54"/>
        <v>0</v>
      </c>
      <c r="AT28" s="3">
        <f t="shared" si="55"/>
        <v>0</v>
      </c>
      <c r="AU28" s="3">
        <f t="shared" ref="AU28:AU29" si="61">-(AT28*AK28*$AL$24)-(AT28*AL28*$AL$24)</f>
        <v>0</v>
      </c>
      <c r="AV28" s="3">
        <f t="shared" si="56"/>
        <v>0</v>
      </c>
      <c r="AW28" s="3">
        <f t="shared" si="57"/>
        <v>0</v>
      </c>
    </row>
    <row r="29" spans="1:49" x14ac:dyDescent="0.25">
      <c r="A29" s="317" t="s">
        <v>221</v>
      </c>
      <c r="B29" s="255">
        <v>0.21</v>
      </c>
      <c r="C29" s="82"/>
      <c r="D29" s="207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227"/>
      <c r="AH29" s="240"/>
      <c r="AI29" s="240"/>
      <c r="AJ29" s="152" t="s">
        <v>240</v>
      </c>
      <c r="AK29" s="328">
        <v>0.43019800000000002</v>
      </c>
      <c r="AL29" s="328">
        <v>4.6459E-2</v>
      </c>
      <c r="AM29" s="3">
        <v>0</v>
      </c>
      <c r="AN29" s="3">
        <f t="shared" si="52"/>
        <v>0</v>
      </c>
      <c r="AO29" s="3">
        <f t="shared" si="53"/>
        <v>0</v>
      </c>
      <c r="AP29" s="3">
        <f t="shared" si="59"/>
        <v>0</v>
      </c>
      <c r="AQ29" s="3">
        <v>0</v>
      </c>
      <c r="AR29" s="3">
        <f t="shared" si="60"/>
        <v>0</v>
      </c>
      <c r="AS29" s="3">
        <f t="shared" si="54"/>
        <v>0</v>
      </c>
      <c r="AT29" s="3">
        <f t="shared" si="55"/>
        <v>0</v>
      </c>
      <c r="AU29" s="3">
        <f t="shared" si="61"/>
        <v>0</v>
      </c>
      <c r="AV29" s="3">
        <f t="shared" si="56"/>
        <v>0</v>
      </c>
      <c r="AW29" s="3">
        <f t="shared" si="57"/>
        <v>0</v>
      </c>
    </row>
    <row r="30" spans="1:49" x14ac:dyDescent="0.25">
      <c r="A30" s="316" t="s">
        <v>218</v>
      </c>
      <c r="B30" s="323">
        <f>AJ41</f>
        <v>0.43601084729514705</v>
      </c>
      <c r="C30" s="82">
        <f>-$B$30*$B$29*C28</f>
        <v>-222368.42653493368</v>
      </c>
      <c r="D30" s="207">
        <f t="shared" ref="D30:AF30" si="62">-$B$30*$B$29*D28</f>
        <v>-318134.85463909613</v>
      </c>
      <c r="E30" s="82">
        <f t="shared" si="62"/>
        <v>-455244.70820950577</v>
      </c>
      <c r="F30" s="82">
        <f t="shared" si="62"/>
        <v>-641850.65545806347</v>
      </c>
      <c r="G30" s="82">
        <f t="shared" si="62"/>
        <v>-781728.38403416588</v>
      </c>
      <c r="H30" s="82">
        <f t="shared" si="62"/>
        <v>-920521.42659747414</v>
      </c>
      <c r="I30" s="82">
        <f t="shared" si="62"/>
        <v>-1062090.3300120488</v>
      </c>
      <c r="J30" s="82">
        <f t="shared" si="62"/>
        <v>-1206490.6114949151</v>
      </c>
      <c r="K30" s="82">
        <f t="shared" si="62"/>
        <v>-1297315.7380487914</v>
      </c>
      <c r="L30" s="82">
        <f t="shared" si="62"/>
        <v>-1354429.0058014665</v>
      </c>
      <c r="M30" s="82">
        <f t="shared" si="62"/>
        <v>-1384574.1870858532</v>
      </c>
      <c r="N30" s="82">
        <f t="shared" si="62"/>
        <v>-1415322.2719959274</v>
      </c>
      <c r="O30" s="82">
        <f t="shared" si="62"/>
        <v>-1446685.3186042041</v>
      </c>
      <c r="P30" s="82">
        <f t="shared" si="62"/>
        <v>-1478675.626144646</v>
      </c>
      <c r="Q30" s="82">
        <f t="shared" si="62"/>
        <v>-1511305.7398358961</v>
      </c>
      <c r="R30" s="82">
        <f t="shared" si="62"/>
        <v>-1544588.4558009715</v>
      </c>
      <c r="S30" s="82">
        <f t="shared" si="62"/>
        <v>-1578536.8260853488</v>
      </c>
      <c r="T30" s="82">
        <f t="shared" si="62"/>
        <v>-1613164.1637754135</v>
      </c>
      <c r="U30" s="82">
        <f t="shared" si="62"/>
        <v>-1648484.0482192789</v>
      </c>
      <c r="V30" s="82">
        <f t="shared" si="62"/>
        <v>-1684510.3303520221</v>
      </c>
      <c r="W30" s="82">
        <f t="shared" si="62"/>
        <v>-1721257.1381274201</v>
      </c>
      <c r="X30" s="82">
        <f t="shared" si="62"/>
        <v>-1758738.8820583262</v>
      </c>
      <c r="Y30" s="82">
        <f t="shared" si="62"/>
        <v>-1796970.2608678499</v>
      </c>
      <c r="Z30" s="82">
        <f t="shared" si="62"/>
        <v>-1835966.2672535649</v>
      </c>
      <c r="AA30" s="82">
        <f t="shared" si="62"/>
        <v>-1875742.1937669932</v>
      </c>
      <c r="AB30" s="82">
        <f t="shared" si="62"/>
        <v>-1916313.6388106905</v>
      </c>
      <c r="AC30" s="82">
        <f t="shared" si="62"/>
        <v>-1957696.5127552622</v>
      </c>
      <c r="AD30" s="82">
        <f t="shared" si="62"/>
        <v>-1999907.044178725</v>
      </c>
      <c r="AE30" s="82">
        <f t="shared" si="62"/>
        <v>-2042961.7862306568</v>
      </c>
      <c r="AF30" s="82">
        <f t="shared" si="62"/>
        <v>-2086877.6231236272</v>
      </c>
      <c r="AG30" s="227" t="s">
        <v>226</v>
      </c>
      <c r="AH30" s="240" t="s">
        <v>298</v>
      </c>
      <c r="AI30" s="240"/>
      <c r="AJ30" s="23" t="s">
        <v>241</v>
      </c>
      <c r="AK30" s="328">
        <v>0.43019800000000002</v>
      </c>
      <c r="AL30" s="328">
        <v>4.6459E-2</v>
      </c>
      <c r="AM30" s="3">
        <v>1916.01</v>
      </c>
      <c r="AN30" s="3">
        <f t="shared" si="52"/>
        <v>-383.202</v>
      </c>
      <c r="AO30" s="3">
        <f t="shared" si="53"/>
        <v>1532.808</v>
      </c>
      <c r="AP30" s="3">
        <f>-(AO30*AK30*$AK$24)-(AO30*AL30*$AK$24)</f>
        <v>-182.655915714</v>
      </c>
      <c r="AQ30" s="3">
        <v>1659.78</v>
      </c>
      <c r="AR30" s="3">
        <f>(AM30-AQ30)</f>
        <v>256.23</v>
      </c>
      <c r="AS30" s="3">
        <f t="shared" si="54"/>
        <v>-51.246000000000009</v>
      </c>
      <c r="AT30" s="3">
        <f t="shared" si="55"/>
        <v>204.98400000000001</v>
      </c>
      <c r="AU30" s="3">
        <f>-(AT30*AK30*$AL$24)-(AT30*AL30*$AL$24)</f>
        <v>-20.518482282480001</v>
      </c>
      <c r="AV30" s="3">
        <f t="shared" si="56"/>
        <v>1329.6336020035201</v>
      </c>
      <c r="AW30" s="3">
        <f t="shared" si="57"/>
        <v>1278.8400025043998</v>
      </c>
    </row>
    <row r="31" spans="1:49" x14ac:dyDescent="0.25">
      <c r="A31" s="316" t="s">
        <v>219</v>
      </c>
      <c r="B31" s="323">
        <f>AJ42</f>
        <v>4.708428690072472E-2</v>
      </c>
      <c r="C31" s="346">
        <f>-$B$31*$B$29*C28</f>
        <v>-24013.298883699768</v>
      </c>
      <c r="D31" s="173">
        <f t="shared" ref="D31:AF31" si="63">-$B$31*$B$29*D28</f>
        <v>-34355.000252568898</v>
      </c>
      <c r="E31" s="346">
        <f t="shared" si="63"/>
        <v>-49161.328403518499</v>
      </c>
      <c r="F31" s="173">
        <f t="shared" si="63"/>
        <v>-69312.680169510189</v>
      </c>
      <c r="G31" s="173">
        <f t="shared" si="63"/>
        <v>-84417.907812712932</v>
      </c>
      <c r="H31" s="173">
        <f t="shared" si="63"/>
        <v>-99406.001518215664</v>
      </c>
      <c r="I31" s="173">
        <f t="shared" si="63"/>
        <v>-114693.85709782847</v>
      </c>
      <c r="J31" s="173">
        <f t="shared" si="63"/>
        <v>-130287.46978903354</v>
      </c>
      <c r="K31" s="173">
        <f t="shared" si="63"/>
        <v>-140095.5659476195</v>
      </c>
      <c r="L31" s="173">
        <f t="shared" si="63"/>
        <v>-146263.1590279002</v>
      </c>
      <c r="M31" s="173">
        <f t="shared" si="63"/>
        <v>-149518.50089169474</v>
      </c>
      <c r="N31" s="173">
        <f t="shared" si="63"/>
        <v>-152838.94959276516</v>
      </c>
      <c r="O31" s="173">
        <f t="shared" si="63"/>
        <v>-156225.80726785705</v>
      </c>
      <c r="P31" s="173">
        <f t="shared" si="63"/>
        <v>-159680.40209645077</v>
      </c>
      <c r="Q31" s="173">
        <f t="shared" si="63"/>
        <v>-163204.08882161631</v>
      </c>
      <c r="R31" s="173">
        <f t="shared" si="63"/>
        <v>-166798.24928128519</v>
      </c>
      <c r="S31" s="173">
        <f t="shared" si="63"/>
        <v>-170464.29295014747</v>
      </c>
      <c r="T31" s="173">
        <f t="shared" si="63"/>
        <v>-174203.65749238699</v>
      </c>
      <c r="U31" s="173">
        <f t="shared" si="63"/>
        <v>-178017.80932547126</v>
      </c>
      <c r="V31" s="173">
        <f t="shared" si="63"/>
        <v>-181908.24419521724</v>
      </c>
      <c r="W31" s="173">
        <f t="shared" si="63"/>
        <v>-185876.48776235816</v>
      </c>
      <c r="X31" s="173">
        <f t="shared" si="63"/>
        <v>-189924.09620084189</v>
      </c>
      <c r="Y31" s="173">
        <f t="shared" si="63"/>
        <v>-194052.65680809526</v>
      </c>
      <c r="Z31" s="173">
        <f t="shared" si="63"/>
        <v>-198263.78862749375</v>
      </c>
      <c r="AA31" s="173">
        <f t="shared" si="63"/>
        <v>-202559.14308328013</v>
      </c>
      <c r="AB31" s="173">
        <f t="shared" si="63"/>
        <v>-206940.40462818227</v>
      </c>
      <c r="AC31" s="173">
        <f t="shared" si="63"/>
        <v>-211409.2914039825</v>
      </c>
      <c r="AD31" s="173">
        <f t="shared" si="63"/>
        <v>-215967.5559152987</v>
      </c>
      <c r="AE31" s="173">
        <f t="shared" si="63"/>
        <v>-220616.98571684121</v>
      </c>
      <c r="AF31" s="173">
        <f t="shared" si="63"/>
        <v>-225359.40411441456</v>
      </c>
      <c r="AG31" s="227" t="s">
        <v>227</v>
      </c>
      <c r="AH31" s="240" t="s">
        <v>299</v>
      </c>
      <c r="AI31" s="240"/>
      <c r="AJ31" s="152" t="s">
        <v>242</v>
      </c>
      <c r="AK31" s="328">
        <v>0.42786000000000002</v>
      </c>
      <c r="AL31" s="328">
        <v>4.6205999999999997E-2</v>
      </c>
      <c r="AM31" s="3">
        <v>12727.39</v>
      </c>
      <c r="AN31" s="3">
        <f t="shared" si="52"/>
        <v>-2545.4780000000001</v>
      </c>
      <c r="AO31" s="3">
        <f t="shared" si="53"/>
        <v>10181.912</v>
      </c>
      <c r="AP31" s="3">
        <f>-(AO31*AK31*$AK$24)-(AO31*AL31*$AK$24)</f>
        <v>-1206.7245735480001</v>
      </c>
      <c r="AQ31" s="3">
        <v>23706.97</v>
      </c>
      <c r="AR31" s="3">
        <f>(AM31-AQ31)</f>
        <v>-10979.580000000002</v>
      </c>
      <c r="AS31" s="3">
        <f t="shared" si="54"/>
        <v>2195.9160000000006</v>
      </c>
      <c r="AT31" s="3">
        <f t="shared" si="55"/>
        <v>-8783.6640000000007</v>
      </c>
      <c r="AU31" s="3">
        <f>-(AT31*AK31*$AL$24)-(AT31*AL31*$AL$24)</f>
        <v>874.44765614304015</v>
      </c>
      <c r="AV31" s="3">
        <f t="shared" si="56"/>
        <v>9849.6350825950412</v>
      </c>
      <c r="AW31" s="3">
        <f t="shared" si="57"/>
        <v>9766.565853243801</v>
      </c>
    </row>
    <row r="32" spans="1:49" ht="26.25" x14ac:dyDescent="0.25">
      <c r="A32" s="322" t="s">
        <v>292</v>
      </c>
      <c r="B32" s="323"/>
      <c r="C32" s="82">
        <v>0</v>
      </c>
      <c r="D32" s="207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f>O22-$N$22</f>
        <v>342532.39780223742</v>
      </c>
      <c r="P32" s="82">
        <f t="shared" ref="P32:AF32" si="64">P22-$N$22</f>
        <v>691915.44356052205</v>
      </c>
      <c r="Q32" s="82">
        <f t="shared" si="64"/>
        <v>1048286.1502339654</v>
      </c>
      <c r="R32" s="82">
        <f t="shared" si="64"/>
        <v>1411784.2710408829</v>
      </c>
      <c r="S32" s="82">
        <f t="shared" si="64"/>
        <v>1782552.3542639352</v>
      </c>
      <c r="T32" s="82">
        <f t="shared" si="64"/>
        <v>2160735.7991514467</v>
      </c>
      <c r="U32" s="82">
        <f t="shared" si="64"/>
        <v>2546482.9129367098</v>
      </c>
      <c r="V32" s="82">
        <f t="shared" si="64"/>
        <v>2939944.9689976834</v>
      </c>
      <c r="W32" s="82">
        <f t="shared" si="64"/>
        <v>3341276.2661798708</v>
      </c>
      <c r="X32" s="82">
        <f t="shared" si="64"/>
        <v>3750634.1893057041</v>
      </c>
      <c r="Y32" s="82">
        <f t="shared" si="64"/>
        <v>4168179.2708940506</v>
      </c>
      <c r="Z32" s="82">
        <f t="shared" si="64"/>
        <v>4594075.2541141659</v>
      </c>
      <c r="AA32" s="82">
        <f t="shared" si="64"/>
        <v>5028489.1569986828</v>
      </c>
      <c r="AB32" s="82">
        <f t="shared" si="64"/>
        <v>5471591.3379408903</v>
      </c>
      <c r="AC32" s="82">
        <f t="shared" si="64"/>
        <v>5923555.5625019483</v>
      </c>
      <c r="AD32" s="82">
        <f t="shared" si="64"/>
        <v>6384559.0715542175</v>
      </c>
      <c r="AE32" s="82">
        <f t="shared" si="64"/>
        <v>6854782.6507875361</v>
      </c>
      <c r="AF32" s="82">
        <f t="shared" si="64"/>
        <v>7334410.7016055249</v>
      </c>
      <c r="AG32" s="227" t="s">
        <v>297</v>
      </c>
      <c r="AH32" s="246" t="s">
        <v>295</v>
      </c>
      <c r="AI32" s="246"/>
      <c r="AJ32" s="152"/>
      <c r="AK32" s="328"/>
      <c r="AL32" s="328"/>
      <c r="AM32" s="3"/>
      <c r="AN32" s="3">
        <f t="shared" ref="AN32:AN35" si="65">-AM32*0.2</f>
        <v>0</v>
      </c>
      <c r="AO32" s="3">
        <f t="shared" ref="AO32:AO35" si="66">AM32+AN32</f>
        <v>0</v>
      </c>
      <c r="AP32" s="3">
        <f t="shared" ref="AP32:AP33" si="67">-(AO32*AK32*$AK$24)-(AO32*AL32*$AK$24)</f>
        <v>0</v>
      </c>
      <c r="AQ32" s="3"/>
      <c r="AR32" s="3">
        <f t="shared" ref="AR32:AR33" si="68">(AM32-AQ32)</f>
        <v>0</v>
      </c>
      <c r="AS32" s="3">
        <f t="shared" ref="AS32:AS35" si="69">-AR32*0.2</f>
        <v>0</v>
      </c>
      <c r="AT32" s="3">
        <f t="shared" ref="AT32:AT35" si="70">AR32+AS32</f>
        <v>0</v>
      </c>
      <c r="AU32" s="3">
        <f t="shared" ref="AU32:AU33" si="71">-(AT32*AK32*$AL$24)-(AT32*AL32*$AL$24)</f>
        <v>0</v>
      </c>
      <c r="AV32" s="3">
        <f t="shared" ref="AV32:AV35" si="72">AO32+AP32+AU32</f>
        <v>0</v>
      </c>
      <c r="AW32" s="3">
        <f t="shared" ref="AW32:AW35" si="73">(AM32*0.8)-(AM32*$AK$24*AK32)-(AM32*$AK$24*AL32)-(AR32*$AL$24*AK32)-(AR32*$AL$24*AL32)</f>
        <v>0</v>
      </c>
    </row>
    <row r="33" spans="1:49" x14ac:dyDescent="0.25">
      <c r="A33" s="317" t="s">
        <v>282</v>
      </c>
      <c r="B33" s="255">
        <v>0.14000000000000001</v>
      </c>
      <c r="C33" s="82"/>
      <c r="D33" s="207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227"/>
      <c r="AH33" s="240"/>
      <c r="AI33" s="240"/>
      <c r="AJ33" s="152" t="s">
        <v>240</v>
      </c>
      <c r="AK33" s="328">
        <v>0.43019800000000002</v>
      </c>
      <c r="AL33" s="328">
        <v>4.6459E-2</v>
      </c>
      <c r="AM33" s="3">
        <v>0</v>
      </c>
      <c r="AN33" s="3">
        <f t="shared" si="65"/>
        <v>0</v>
      </c>
      <c r="AO33" s="3">
        <f t="shared" si="66"/>
        <v>0</v>
      </c>
      <c r="AP33" s="3">
        <f t="shared" si="67"/>
        <v>0</v>
      </c>
      <c r="AQ33" s="3">
        <v>0</v>
      </c>
      <c r="AR33" s="3">
        <f t="shared" si="68"/>
        <v>0</v>
      </c>
      <c r="AS33" s="3">
        <f t="shared" si="69"/>
        <v>0</v>
      </c>
      <c r="AT33" s="3">
        <f t="shared" si="70"/>
        <v>0</v>
      </c>
      <c r="AU33" s="3">
        <f t="shared" si="71"/>
        <v>0</v>
      </c>
      <c r="AV33" s="3">
        <f t="shared" si="72"/>
        <v>0</v>
      </c>
      <c r="AW33" s="3">
        <f t="shared" si="73"/>
        <v>0</v>
      </c>
    </row>
    <row r="34" spans="1:49" x14ac:dyDescent="0.25">
      <c r="A34" s="316" t="s">
        <v>218</v>
      </c>
      <c r="B34" s="323">
        <f>B30</f>
        <v>0.43601084729514705</v>
      </c>
      <c r="C34" s="82">
        <f>-$B$34*$B$33*C32</f>
        <v>0</v>
      </c>
      <c r="D34" s="207">
        <f>-$B$34*$B$33*D32</f>
        <v>0</v>
      </c>
      <c r="E34" s="82">
        <f t="shared" ref="E34:AF34" si="74">-$B$34*$B$33*E32</f>
        <v>0</v>
      </c>
      <c r="F34" s="82">
        <f t="shared" si="74"/>
        <v>0</v>
      </c>
      <c r="G34" s="82">
        <f t="shared" si="74"/>
        <v>0</v>
      </c>
      <c r="H34" s="82">
        <f t="shared" si="74"/>
        <v>0</v>
      </c>
      <c r="I34" s="82">
        <f t="shared" si="74"/>
        <v>0</v>
      </c>
      <c r="J34" s="82">
        <f t="shared" si="74"/>
        <v>0</v>
      </c>
      <c r="K34" s="82">
        <f t="shared" si="74"/>
        <v>0</v>
      </c>
      <c r="L34" s="82">
        <f t="shared" si="74"/>
        <v>0</v>
      </c>
      <c r="M34" s="82">
        <f t="shared" si="74"/>
        <v>0</v>
      </c>
      <c r="N34" s="82">
        <f>-$B$34*$B$33*N32</f>
        <v>0</v>
      </c>
      <c r="O34" s="82">
        <f t="shared" si="74"/>
        <v>-20908.697738850868</v>
      </c>
      <c r="P34" s="82">
        <f t="shared" si="74"/>
        <v>-42235.569432478907</v>
      </c>
      <c r="Q34" s="82">
        <f t="shared" si="74"/>
        <v>-63988.978559979078</v>
      </c>
      <c r="R34" s="82">
        <f t="shared" si="74"/>
        <v>-86177.455870029575</v>
      </c>
      <c r="S34" s="82">
        <f t="shared" si="74"/>
        <v>-108809.70272628087</v>
      </c>
      <c r="T34" s="82">
        <f t="shared" si="74"/>
        <v>-131894.59451965708</v>
      </c>
      <c r="U34" s="82">
        <f t="shared" si="74"/>
        <v>-155441.18414890088</v>
      </c>
      <c r="V34" s="82">
        <f t="shared" si="74"/>
        <v>-179458.70557072989</v>
      </c>
      <c r="W34" s="82">
        <f t="shared" si="74"/>
        <v>-203956.57742099513</v>
      </c>
      <c r="X34" s="82">
        <f t="shared" si="74"/>
        <v>-228944.4067082658</v>
      </c>
      <c r="Y34" s="82">
        <f t="shared" si="74"/>
        <v>-254431.99258128169</v>
      </c>
      <c r="Z34" s="82">
        <f t="shared" si="74"/>
        <v>-280429.33017175802</v>
      </c>
      <c r="AA34" s="82">
        <f t="shared" si="74"/>
        <v>-306946.61451404379</v>
      </c>
      <c r="AB34" s="82">
        <f t="shared" si="74"/>
        <v>-333994.24454317533</v>
      </c>
      <c r="AC34" s="82">
        <f t="shared" si="74"/>
        <v>-361582.8271728899</v>
      </c>
      <c r="AD34" s="82">
        <f t="shared" si="74"/>
        <v>-389723.18145519809</v>
      </c>
      <c r="AE34" s="82">
        <f t="shared" si="74"/>
        <v>-418426.34282315272</v>
      </c>
      <c r="AF34" s="82">
        <f t="shared" si="74"/>
        <v>-447703.56741846667</v>
      </c>
      <c r="AG34" s="227" t="s">
        <v>284</v>
      </c>
      <c r="AH34" s="240" t="s">
        <v>300</v>
      </c>
      <c r="AI34" s="240"/>
      <c r="AJ34" s="152" t="s">
        <v>241</v>
      </c>
      <c r="AK34" s="328">
        <v>0.43019800000000002</v>
      </c>
      <c r="AL34" s="328">
        <v>4.6459E-2</v>
      </c>
      <c r="AM34" s="3">
        <v>1916.01</v>
      </c>
      <c r="AN34" s="3">
        <f t="shared" si="65"/>
        <v>-383.202</v>
      </c>
      <c r="AO34" s="3">
        <f t="shared" si="66"/>
        <v>1532.808</v>
      </c>
      <c r="AP34" s="3">
        <f>-(AO34*AK34*$AK$24)-(AO34*AL34*$AK$24)</f>
        <v>-182.655915714</v>
      </c>
      <c r="AQ34" s="3">
        <v>1659.78</v>
      </c>
      <c r="AR34" s="3">
        <f>(AM34-AQ34)</f>
        <v>256.23</v>
      </c>
      <c r="AS34" s="3">
        <f t="shared" si="69"/>
        <v>-51.246000000000009</v>
      </c>
      <c r="AT34" s="3">
        <f t="shared" si="70"/>
        <v>204.98400000000001</v>
      </c>
      <c r="AU34" s="3">
        <f>-(AT34*AK34*$AL$24)-(AT34*AL34*$AL$24)</f>
        <v>-20.518482282480001</v>
      </c>
      <c r="AV34" s="3">
        <f t="shared" si="72"/>
        <v>1329.6336020035201</v>
      </c>
      <c r="AW34" s="3">
        <f t="shared" si="73"/>
        <v>1278.8400025043998</v>
      </c>
    </row>
    <row r="35" spans="1:49" x14ac:dyDescent="0.25">
      <c r="A35" s="316" t="s">
        <v>219</v>
      </c>
      <c r="B35" s="324">
        <f>B31</f>
        <v>4.708428690072472E-2</v>
      </c>
      <c r="C35" s="146">
        <f>-$B$35*$B$33*C32</f>
        <v>0</v>
      </c>
      <c r="D35" s="208">
        <f>-$B$35*$B$33*D32</f>
        <v>0</v>
      </c>
      <c r="E35" s="146">
        <f t="shared" ref="E35:AF35" si="75">-$B$35*$B$33*E32</f>
        <v>0</v>
      </c>
      <c r="F35" s="146">
        <f t="shared" si="75"/>
        <v>0</v>
      </c>
      <c r="G35" s="146">
        <f t="shared" si="75"/>
        <v>0</v>
      </c>
      <c r="H35" s="146">
        <f t="shared" si="75"/>
        <v>0</v>
      </c>
      <c r="I35" s="146">
        <f t="shared" si="75"/>
        <v>0</v>
      </c>
      <c r="J35" s="146">
        <f t="shared" si="75"/>
        <v>0</v>
      </c>
      <c r="K35" s="146">
        <f t="shared" si="75"/>
        <v>0</v>
      </c>
      <c r="L35" s="146">
        <f t="shared" si="75"/>
        <v>0</v>
      </c>
      <c r="M35" s="146">
        <f t="shared" si="75"/>
        <v>0</v>
      </c>
      <c r="N35" s="146">
        <f t="shared" si="75"/>
        <v>0</v>
      </c>
      <c r="O35" s="146">
        <f t="shared" si="75"/>
        <v>-2257.9051167279204</v>
      </c>
      <c r="P35" s="146">
        <f t="shared" si="75"/>
        <v>-4560.9683357904159</v>
      </c>
      <c r="Q35" s="146">
        <f t="shared" si="75"/>
        <v>-6910.0928192341144</v>
      </c>
      <c r="R35" s="146">
        <f t="shared" si="75"/>
        <v>-9306.1997923467225</v>
      </c>
      <c r="S35" s="146">
        <f t="shared" si="75"/>
        <v>-11750.22890492156</v>
      </c>
      <c r="T35" s="146">
        <f t="shared" si="75"/>
        <v>-14243.138599747881</v>
      </c>
      <c r="U35" s="146">
        <f t="shared" si="75"/>
        <v>-16785.906488470737</v>
      </c>
      <c r="V35" s="146">
        <f t="shared" si="75"/>
        <v>-19379.529734968084</v>
      </c>
      <c r="W35" s="146">
        <f t="shared" si="75"/>
        <v>-22025.025446395342</v>
      </c>
      <c r="X35" s="146">
        <f t="shared" si="75"/>
        <v>-24723.43107205116</v>
      </c>
      <c r="Y35" s="146">
        <f t="shared" si="75"/>
        <v>-27475.804810220074</v>
      </c>
      <c r="Z35" s="146">
        <f t="shared" si="75"/>
        <v>-30283.226023152372</v>
      </c>
      <c r="AA35" s="146">
        <f t="shared" si="75"/>
        <v>-33146.795660343319</v>
      </c>
      <c r="AB35" s="146">
        <f t="shared" si="75"/>
        <v>-36067.636690278079</v>
      </c>
      <c r="AC35" s="146">
        <f t="shared" si="75"/>
        <v>-39046.894540811583</v>
      </c>
      <c r="AD35" s="146">
        <f t="shared" si="75"/>
        <v>-42085.737548355683</v>
      </c>
      <c r="AE35" s="146">
        <f t="shared" si="75"/>
        <v>-45185.357416050698</v>
      </c>
      <c r="AF35" s="146">
        <f t="shared" si="75"/>
        <v>-48346.969681099639</v>
      </c>
      <c r="AG35" s="227" t="s">
        <v>285</v>
      </c>
      <c r="AH35" s="240" t="s">
        <v>301</v>
      </c>
      <c r="AI35" s="240"/>
      <c r="AJ35" s="152" t="s">
        <v>242</v>
      </c>
      <c r="AK35" s="328">
        <v>0.42786000000000002</v>
      </c>
      <c r="AL35" s="328">
        <v>4.6205999999999997E-2</v>
      </c>
      <c r="AM35" s="3">
        <v>12727.39</v>
      </c>
      <c r="AN35" s="3">
        <f t="shared" si="65"/>
        <v>-2545.4780000000001</v>
      </c>
      <c r="AO35" s="3">
        <f t="shared" si="66"/>
        <v>10181.912</v>
      </c>
      <c r="AP35" s="3">
        <f>-(AO35*AK35*$AK$24)-(AO35*AL35*$AK$24)</f>
        <v>-1206.7245735480001</v>
      </c>
      <c r="AQ35" s="3">
        <v>23706.97</v>
      </c>
      <c r="AR35" s="3">
        <f>(AM35-AQ35)</f>
        <v>-10979.580000000002</v>
      </c>
      <c r="AS35" s="3">
        <f t="shared" si="69"/>
        <v>2195.9160000000006</v>
      </c>
      <c r="AT35" s="3">
        <f t="shared" si="70"/>
        <v>-8783.6640000000007</v>
      </c>
      <c r="AU35" s="3">
        <f>-(AT35*AK35*$AL$24)-(AT35*AL35*$AL$24)</f>
        <v>874.44765614304015</v>
      </c>
      <c r="AV35" s="3">
        <f t="shared" si="72"/>
        <v>9849.6350825950412</v>
      </c>
      <c r="AW35" s="3">
        <f t="shared" si="73"/>
        <v>9766.565853243801</v>
      </c>
    </row>
    <row r="36" spans="1:49" x14ac:dyDescent="0.25">
      <c r="A36" s="1" t="s">
        <v>223</v>
      </c>
      <c r="B36" s="23"/>
      <c r="C36" s="114">
        <f>C22+SUM(C26:C27)+SUM(C30:C31)+SUM(C34:C35)</f>
        <v>3356459.4422976309</v>
      </c>
      <c r="D36" s="211">
        <f>D22+SUM(D26:D27)+SUM(D30:D31)+SUM(D34:D35)</f>
        <v>4169947.8557109907</v>
      </c>
      <c r="E36" s="111">
        <f>E22+SUM(E26:E27)+SUM(E30:E31)+SUM(E34:E35)</f>
        <v>5334628.208235099</v>
      </c>
      <c r="F36" s="111">
        <f t="shared" ref="F36:AF36" si="76">F22+SUM(F26:F27)+SUM(F30:F31)+SUM(F34:F35)</f>
        <v>6919753.3817000184</v>
      </c>
      <c r="G36" s="111">
        <f t="shared" si="76"/>
        <v>8107945.4626187421</v>
      </c>
      <c r="H36" s="111">
        <f t="shared" si="76"/>
        <v>9286923.6726531964</v>
      </c>
      <c r="I36" s="111">
        <f t="shared" si="76"/>
        <v>10489481.446888339</v>
      </c>
      <c r="J36" s="111">
        <f t="shared" si="76"/>
        <v>11716090.376608185</v>
      </c>
      <c r="K36" s="111">
        <f t="shared" si="76"/>
        <v>12487604.878725961</v>
      </c>
      <c r="L36" s="111">
        <f t="shared" si="76"/>
        <v>12972753.823807649</v>
      </c>
      <c r="M36" s="111">
        <f t="shared" si="76"/>
        <v>13228822.220432209</v>
      </c>
      <c r="N36" s="111">
        <f t="shared" si="76"/>
        <v>13490011.984989256</v>
      </c>
      <c r="O36" s="111">
        <f t="shared" si="76"/>
        <v>13733258.941981871</v>
      </c>
      <c r="P36" s="111">
        <f t="shared" si="76"/>
        <v>13981370.83811434</v>
      </c>
      <c r="Q36" s="111">
        <f t="shared" si="76"/>
        <v>14234444.972169453</v>
      </c>
      <c r="R36" s="111">
        <f t="shared" si="76"/>
        <v>14492580.58890567</v>
      </c>
      <c r="S36" s="111">
        <f t="shared" si="76"/>
        <v>14755878.917976608</v>
      </c>
      <c r="T36" s="111">
        <f t="shared" si="76"/>
        <v>15024443.213628968</v>
      </c>
      <c r="U36" s="111">
        <f t="shared" si="76"/>
        <v>15298378.795194373</v>
      </c>
      <c r="V36" s="111">
        <f t="shared" si="76"/>
        <v>15577793.088391094</v>
      </c>
      <c r="W36" s="111">
        <f t="shared" si="76"/>
        <v>15862795.667451739</v>
      </c>
      <c r="X36" s="111">
        <f t="shared" si="76"/>
        <v>16153498.2980936</v>
      </c>
      <c r="Y36" s="111">
        <f t="shared" si="76"/>
        <v>16450014.9813483</v>
      </c>
      <c r="Z36" s="111">
        <f t="shared" si="76"/>
        <v>16752461.998268092</v>
      </c>
      <c r="AA36" s="111">
        <f t="shared" si="76"/>
        <v>17060957.955526277</v>
      </c>
      <c r="AB36" s="111">
        <f t="shared" si="76"/>
        <v>17375623.831929632</v>
      </c>
      <c r="AC36" s="111">
        <f t="shared" si="76"/>
        <v>17696583.025861051</v>
      </c>
      <c r="AD36" s="111">
        <f t="shared" si="76"/>
        <v>18023961.403671101</v>
      </c>
      <c r="AE36" s="111">
        <f t="shared" si="76"/>
        <v>18357887.349037349</v>
      </c>
      <c r="AF36" s="111">
        <f t="shared" si="76"/>
        <v>18698491.813310925</v>
      </c>
      <c r="AG36" s="227" t="s">
        <v>182</v>
      </c>
      <c r="AH36" s="240" t="s">
        <v>286</v>
      </c>
      <c r="AI36" s="240"/>
      <c r="AJ36" s="23" t="s">
        <v>243</v>
      </c>
      <c r="AK36" s="328">
        <v>0.43797799999999998</v>
      </c>
      <c r="AL36" s="328">
        <v>4.7299000000000001E-2</v>
      </c>
      <c r="AM36" s="3">
        <v>176939.29</v>
      </c>
      <c r="AN36" s="3">
        <f t="shared" si="52"/>
        <v>-35387.858</v>
      </c>
      <c r="AO36" s="3">
        <f t="shared" si="53"/>
        <v>141551.432</v>
      </c>
      <c r="AP36" s="3">
        <f>-(AO36*AK36*$AK$24)-(AO36*AL36*$AK$24)</f>
        <v>-17172.913566666</v>
      </c>
      <c r="AQ36" s="3">
        <v>115230.61</v>
      </c>
      <c r="AR36" s="3">
        <f>(AM36-AQ36)</f>
        <v>61708.680000000008</v>
      </c>
      <c r="AS36" s="3">
        <f t="shared" si="54"/>
        <v>-12341.736000000003</v>
      </c>
      <c r="AT36" s="3">
        <f t="shared" si="55"/>
        <v>49366.944000000003</v>
      </c>
      <c r="AU36" s="3">
        <f>-(AT36*AK36*$AL$24)-(AT36*AL36*$AL$24)</f>
        <v>-5030.8949215324792</v>
      </c>
      <c r="AV36" s="3">
        <f t="shared" si="56"/>
        <v>119347.62351180152</v>
      </c>
      <c r="AW36" s="3">
        <f t="shared" si="57"/>
        <v>113796.67138975189</v>
      </c>
    </row>
    <row r="37" spans="1:49" ht="8.1" customHeight="1" x14ac:dyDescent="0.25">
      <c r="A37" s="1"/>
      <c r="B37" s="152"/>
      <c r="C37" s="114"/>
      <c r="D37" s="2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227"/>
      <c r="AH37" s="238"/>
      <c r="AI37" s="238"/>
      <c r="AJ37" s="152"/>
    </row>
    <row r="38" spans="1:49" x14ac:dyDescent="0.25">
      <c r="A38" s="193" t="s">
        <v>167</v>
      </c>
      <c r="B38" s="194"/>
      <c r="C38" s="195"/>
      <c r="D38" s="212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227"/>
      <c r="AH38" s="238"/>
      <c r="AI38" s="238"/>
      <c r="AJ38" s="152"/>
      <c r="AN38" s="8">
        <f>SUM(AN26:AN36)</f>
        <v>-1027363.8880000002</v>
      </c>
      <c r="AO38" s="8">
        <f>SUM(AO26:AO36)</f>
        <v>4109455.5520000006</v>
      </c>
      <c r="AP38" s="8">
        <f>SUM(AP26:AP36)</f>
        <v>-496291.52004417201</v>
      </c>
      <c r="AR38" s="8">
        <f t="shared" ref="AR38:AW38" si="77">SUM(AR26:AR36)</f>
        <v>3025030.4499999997</v>
      </c>
      <c r="AS38" s="8">
        <f t="shared" si="77"/>
        <v>-605006.09000000032</v>
      </c>
      <c r="AT38" s="8">
        <f t="shared" si="77"/>
        <v>2420024.3600000003</v>
      </c>
      <c r="AU38" s="8">
        <f t="shared" si="77"/>
        <v>-245695.47404428147</v>
      </c>
      <c r="AV38" s="8">
        <f t="shared" si="77"/>
        <v>3367468.5579115469</v>
      </c>
      <c r="AW38" s="8">
        <f t="shared" si="77"/>
        <v>3181971.8093894324</v>
      </c>
    </row>
    <row r="39" spans="1:49" ht="15" customHeight="1" x14ac:dyDescent="0.25">
      <c r="A39" s="179" t="s">
        <v>157</v>
      </c>
      <c r="B39" s="180">
        <v>0.25</v>
      </c>
      <c r="C39" s="181">
        <f>$B$39*C$36</f>
        <v>839114.86057440774</v>
      </c>
      <c r="D39" s="213">
        <f t="shared" ref="D39:L39" si="78">$B$39*D$36</f>
        <v>1042486.9639277477</v>
      </c>
      <c r="E39" s="181">
        <f t="shared" si="78"/>
        <v>1333657.0520587747</v>
      </c>
      <c r="F39" s="181">
        <f t="shared" si="78"/>
        <v>1729938.3454250046</v>
      </c>
      <c r="G39" s="181">
        <f t="shared" si="78"/>
        <v>2026986.3656546855</v>
      </c>
      <c r="H39" s="181">
        <f t="shared" si="78"/>
        <v>2321730.9181632991</v>
      </c>
      <c r="I39" s="181">
        <f t="shared" si="78"/>
        <v>2622370.3617220847</v>
      </c>
      <c r="J39" s="181">
        <f t="shared" si="78"/>
        <v>2929022.5941520464</v>
      </c>
      <c r="K39" s="181">
        <f t="shared" si="78"/>
        <v>3121901.2196814902</v>
      </c>
      <c r="L39" s="181">
        <f t="shared" si="78"/>
        <v>3243188.4559519123</v>
      </c>
      <c r="M39" s="181">
        <f>$B$39*M$36</f>
        <v>3307205.5551080522</v>
      </c>
      <c r="N39" s="181">
        <f t="shared" ref="N39:AF39" si="79">$B$39*N$36</f>
        <v>3372502.9962473139</v>
      </c>
      <c r="O39" s="181">
        <f t="shared" si="79"/>
        <v>3433314.7354954677</v>
      </c>
      <c r="P39" s="181">
        <f t="shared" si="79"/>
        <v>3495342.709528585</v>
      </c>
      <c r="Q39" s="181">
        <f t="shared" si="79"/>
        <v>3558611.2430423633</v>
      </c>
      <c r="R39" s="181">
        <f t="shared" si="79"/>
        <v>3623145.1472264174</v>
      </c>
      <c r="S39" s="181">
        <f t="shared" si="79"/>
        <v>3688969.7294941521</v>
      </c>
      <c r="T39" s="181">
        <f t="shared" si="79"/>
        <v>3756110.8034072421</v>
      </c>
      <c r="U39" s="181">
        <f t="shared" si="79"/>
        <v>3824594.6987985931</v>
      </c>
      <c r="V39" s="181">
        <f t="shared" si="79"/>
        <v>3894448.2720977734</v>
      </c>
      <c r="W39" s="181">
        <f t="shared" si="79"/>
        <v>3965698.9168629348</v>
      </c>
      <c r="X39" s="181">
        <f t="shared" si="79"/>
        <v>4038374.5745234</v>
      </c>
      <c r="Y39" s="181">
        <f t="shared" si="79"/>
        <v>4112503.7453370751</v>
      </c>
      <c r="Z39" s="181">
        <f t="shared" si="79"/>
        <v>4188115.499567023</v>
      </c>
      <c r="AA39" s="181">
        <f t="shared" si="79"/>
        <v>4265239.4888815694</v>
      </c>
      <c r="AB39" s="181">
        <f t="shared" si="79"/>
        <v>4343905.9579824079</v>
      </c>
      <c r="AC39" s="181">
        <f t="shared" si="79"/>
        <v>4424145.7564652627</v>
      </c>
      <c r="AD39" s="181">
        <f t="shared" si="79"/>
        <v>4505990.3509177752</v>
      </c>
      <c r="AE39" s="181">
        <f t="shared" si="79"/>
        <v>4589471.8372593373</v>
      </c>
      <c r="AF39" s="181">
        <f t="shared" si="79"/>
        <v>4674622.9533277312</v>
      </c>
      <c r="AG39" s="232"/>
      <c r="AH39" s="242" t="s">
        <v>169</v>
      </c>
      <c r="AI39" s="242"/>
      <c r="AJ39" s="124"/>
      <c r="AO39" t="s">
        <v>248</v>
      </c>
      <c r="AP39" s="80">
        <f>C26+C27</f>
        <v>-494899.66428373579</v>
      </c>
      <c r="AU39" s="80">
        <f>SUM(C30:C31)</f>
        <v>-246381.72541863343</v>
      </c>
      <c r="AV39" s="80">
        <f>C36</f>
        <v>3356459.4422976309</v>
      </c>
    </row>
    <row r="40" spans="1:49" ht="15" customHeight="1" x14ac:dyDescent="0.25">
      <c r="A40" s="179" t="s">
        <v>156</v>
      </c>
      <c r="B40" s="182">
        <v>0.05</v>
      </c>
      <c r="C40" s="181">
        <f>B40*C$36</f>
        <v>167822.97211488156</v>
      </c>
      <c r="D40" s="213">
        <f>B40*D$36</f>
        <v>208497.39278554954</v>
      </c>
      <c r="E40" s="181">
        <f>$B$40*E36</f>
        <v>266731.41041175497</v>
      </c>
      <c r="F40" s="181">
        <f t="shared" ref="F40:AF40" si="80">$B$40*F36</f>
        <v>345987.66908500093</v>
      </c>
      <c r="G40" s="181">
        <f t="shared" si="80"/>
        <v>405397.27313093713</v>
      </c>
      <c r="H40" s="181">
        <f t="shared" si="80"/>
        <v>464346.18363265984</v>
      </c>
      <c r="I40" s="181">
        <f t="shared" si="80"/>
        <v>524474.07234441699</v>
      </c>
      <c r="J40" s="181">
        <f t="shared" si="80"/>
        <v>585804.51883040927</v>
      </c>
      <c r="K40" s="181">
        <f t="shared" si="80"/>
        <v>624380.24393629807</v>
      </c>
      <c r="L40" s="181">
        <f t="shared" si="80"/>
        <v>648637.69119038247</v>
      </c>
      <c r="M40" s="181">
        <f t="shared" si="80"/>
        <v>661441.11102161044</v>
      </c>
      <c r="N40" s="181">
        <f t="shared" si="80"/>
        <v>674500.59924946283</v>
      </c>
      <c r="O40" s="181">
        <f t="shared" si="80"/>
        <v>686662.94709909358</v>
      </c>
      <c r="P40" s="181">
        <f t="shared" si="80"/>
        <v>699068.54190571699</v>
      </c>
      <c r="Q40" s="181">
        <f t="shared" si="80"/>
        <v>711722.24860847276</v>
      </c>
      <c r="R40" s="181">
        <f t="shared" si="80"/>
        <v>724629.02944528358</v>
      </c>
      <c r="S40" s="181">
        <f t="shared" si="80"/>
        <v>737793.94589883042</v>
      </c>
      <c r="T40" s="181">
        <f t="shared" si="80"/>
        <v>751222.16068144841</v>
      </c>
      <c r="U40" s="181">
        <f t="shared" si="80"/>
        <v>764918.93975971872</v>
      </c>
      <c r="V40" s="181">
        <f t="shared" si="80"/>
        <v>778889.65441955475</v>
      </c>
      <c r="W40" s="181">
        <f t="shared" si="80"/>
        <v>793139.78337258706</v>
      </c>
      <c r="X40" s="181">
        <f t="shared" si="80"/>
        <v>807674.9149046801</v>
      </c>
      <c r="Y40" s="181">
        <f t="shared" si="80"/>
        <v>822500.74906741502</v>
      </c>
      <c r="Z40" s="181">
        <f t="shared" si="80"/>
        <v>837623.09991340467</v>
      </c>
      <c r="AA40" s="181">
        <f t="shared" si="80"/>
        <v>853047.89777631394</v>
      </c>
      <c r="AB40" s="181">
        <f t="shared" si="80"/>
        <v>868781.1915964816</v>
      </c>
      <c r="AC40" s="181">
        <f t="shared" si="80"/>
        <v>884829.15129305259</v>
      </c>
      <c r="AD40" s="181">
        <f t="shared" si="80"/>
        <v>901198.07018355513</v>
      </c>
      <c r="AE40" s="181">
        <f t="shared" si="80"/>
        <v>917894.36745186755</v>
      </c>
      <c r="AF40" s="181">
        <f t="shared" si="80"/>
        <v>934924.59066554625</v>
      </c>
      <c r="AG40" s="233"/>
      <c r="AH40" s="243" t="s">
        <v>170</v>
      </c>
      <c r="AI40" s="243"/>
      <c r="AJ40" s="23"/>
      <c r="AP40" s="8">
        <f>AP38-AP39</f>
        <v>-1391.855760436214</v>
      </c>
      <c r="AU40" s="8">
        <f>AU39-AU38</f>
        <v>-686.25137435196666</v>
      </c>
      <c r="AV40" s="8">
        <f>AV39-AV38</f>
        <v>-11009.115613915958</v>
      </c>
    </row>
    <row r="41" spans="1:49" ht="15" customHeight="1" x14ac:dyDescent="0.25">
      <c r="A41" s="179" t="s">
        <v>58</v>
      </c>
      <c r="B41" s="182">
        <v>0.35</v>
      </c>
      <c r="C41" s="181">
        <f>B41*C$36</f>
        <v>1174760.8048041707</v>
      </c>
      <c r="D41" s="213">
        <f>B41*(D$36)</f>
        <v>1459481.7494988467</v>
      </c>
      <c r="E41" s="181">
        <f>$B$41*(E36)</f>
        <v>1867119.8728822845</v>
      </c>
      <c r="F41" s="181">
        <f t="shared" ref="F41:AF41" si="81">$B$41*(F36)</f>
        <v>2421913.6835950064</v>
      </c>
      <c r="G41" s="181">
        <f t="shared" si="81"/>
        <v>2837780.9119165596</v>
      </c>
      <c r="H41" s="181">
        <f t="shared" si="81"/>
        <v>3250423.2854286185</v>
      </c>
      <c r="I41" s="181">
        <f t="shared" si="81"/>
        <v>3671318.5064109182</v>
      </c>
      <c r="J41" s="181">
        <f t="shared" si="81"/>
        <v>4100631.6318128644</v>
      </c>
      <c r="K41" s="181">
        <f t="shared" si="81"/>
        <v>4370661.7075540861</v>
      </c>
      <c r="L41" s="181">
        <f t="shared" si="81"/>
        <v>4540463.8383326773</v>
      </c>
      <c r="M41" s="181">
        <f t="shared" si="81"/>
        <v>4630087.7771512726</v>
      </c>
      <c r="N41" s="181">
        <f t="shared" si="81"/>
        <v>4721504.1947462391</v>
      </c>
      <c r="O41" s="181">
        <f t="shared" si="81"/>
        <v>4806640.6296936544</v>
      </c>
      <c r="P41" s="181">
        <f t="shared" si="81"/>
        <v>4893479.793340019</v>
      </c>
      <c r="Q41" s="181">
        <f t="shared" si="81"/>
        <v>4982055.7402593084</v>
      </c>
      <c r="R41" s="181">
        <f t="shared" si="81"/>
        <v>5072403.2061169837</v>
      </c>
      <c r="S41" s="181">
        <f t="shared" si="81"/>
        <v>5164557.6212918125</v>
      </c>
      <c r="T41" s="181">
        <f t="shared" si="81"/>
        <v>5258555.1247701384</v>
      </c>
      <c r="U41" s="181">
        <f t="shared" si="81"/>
        <v>5354432.5783180296</v>
      </c>
      <c r="V41" s="181">
        <f t="shared" si="81"/>
        <v>5452227.5809368826</v>
      </c>
      <c r="W41" s="181">
        <f t="shared" si="81"/>
        <v>5551978.483608108</v>
      </c>
      <c r="X41" s="181">
        <f t="shared" si="81"/>
        <v>5653724.4043327598</v>
      </c>
      <c r="Y41" s="181">
        <f t="shared" si="81"/>
        <v>5757505.2434719047</v>
      </c>
      <c r="Z41" s="181">
        <f t="shared" si="81"/>
        <v>5863361.6993938321</v>
      </c>
      <c r="AA41" s="181">
        <f t="shared" si="81"/>
        <v>5971335.2844341965</v>
      </c>
      <c r="AB41" s="181">
        <f t="shared" si="81"/>
        <v>6081468.3411753708</v>
      </c>
      <c r="AC41" s="181">
        <f t="shared" si="81"/>
        <v>6193804.0590513675</v>
      </c>
      <c r="AD41" s="181">
        <f t="shared" si="81"/>
        <v>6308386.4912848845</v>
      </c>
      <c r="AE41" s="181">
        <f t="shared" si="81"/>
        <v>6425260.5721630715</v>
      </c>
      <c r="AF41" s="181">
        <f t="shared" si="81"/>
        <v>6544472.1346588237</v>
      </c>
      <c r="AG41" s="230"/>
      <c r="AH41" s="240" t="s">
        <v>171</v>
      </c>
      <c r="AI41" s="240"/>
      <c r="AJ41" s="325">
        <f>B26</f>
        <v>0.43601084729514705</v>
      </c>
      <c r="AU41" s="329" t="s">
        <v>255</v>
      </c>
    </row>
    <row r="42" spans="1:49" x14ac:dyDescent="0.25">
      <c r="A42" s="179" t="s">
        <v>165</v>
      </c>
      <c r="B42" s="183">
        <v>0.35</v>
      </c>
      <c r="C42" s="181">
        <f>B42*C36</f>
        <v>1174760.8048041707</v>
      </c>
      <c r="D42" s="213">
        <f>B42*D36</f>
        <v>1459481.7494988467</v>
      </c>
      <c r="E42" s="181">
        <f>$B$42*E36</f>
        <v>1867119.8728822845</v>
      </c>
      <c r="F42" s="181">
        <f t="shared" ref="F42:AF42" si="82">$B$42*F36</f>
        <v>2421913.6835950064</v>
      </c>
      <c r="G42" s="181">
        <f t="shared" si="82"/>
        <v>2837780.9119165596</v>
      </c>
      <c r="H42" s="181">
        <f t="shared" si="82"/>
        <v>3250423.2854286185</v>
      </c>
      <c r="I42" s="181">
        <f t="shared" si="82"/>
        <v>3671318.5064109182</v>
      </c>
      <c r="J42" s="181">
        <f t="shared" si="82"/>
        <v>4100631.6318128644</v>
      </c>
      <c r="K42" s="181">
        <f t="shared" si="82"/>
        <v>4370661.7075540861</v>
      </c>
      <c r="L42" s="181">
        <f t="shared" si="82"/>
        <v>4540463.8383326773</v>
      </c>
      <c r="M42" s="181">
        <f t="shared" si="82"/>
        <v>4630087.7771512726</v>
      </c>
      <c r="N42" s="181">
        <f t="shared" si="82"/>
        <v>4721504.1947462391</v>
      </c>
      <c r="O42" s="181">
        <f t="shared" si="82"/>
        <v>4806640.6296936544</v>
      </c>
      <c r="P42" s="181">
        <f t="shared" si="82"/>
        <v>4893479.793340019</v>
      </c>
      <c r="Q42" s="181">
        <f t="shared" si="82"/>
        <v>4982055.7402593084</v>
      </c>
      <c r="R42" s="181">
        <f t="shared" si="82"/>
        <v>5072403.2061169837</v>
      </c>
      <c r="S42" s="181">
        <f t="shared" si="82"/>
        <v>5164557.6212918125</v>
      </c>
      <c r="T42" s="181">
        <f t="shared" si="82"/>
        <v>5258555.1247701384</v>
      </c>
      <c r="U42" s="181">
        <f t="shared" si="82"/>
        <v>5354432.5783180296</v>
      </c>
      <c r="V42" s="181">
        <f t="shared" si="82"/>
        <v>5452227.5809368826</v>
      </c>
      <c r="W42" s="181">
        <f t="shared" si="82"/>
        <v>5551978.483608108</v>
      </c>
      <c r="X42" s="181">
        <f t="shared" si="82"/>
        <v>5653724.4043327598</v>
      </c>
      <c r="Y42" s="181">
        <f t="shared" si="82"/>
        <v>5757505.2434719047</v>
      </c>
      <c r="Z42" s="181">
        <f t="shared" si="82"/>
        <v>5863361.6993938321</v>
      </c>
      <c r="AA42" s="181">
        <f t="shared" si="82"/>
        <v>5971335.2844341965</v>
      </c>
      <c r="AB42" s="181">
        <f t="shared" si="82"/>
        <v>6081468.3411753708</v>
      </c>
      <c r="AC42" s="181">
        <f t="shared" si="82"/>
        <v>6193804.0590513675</v>
      </c>
      <c r="AD42" s="181">
        <f t="shared" si="82"/>
        <v>6308386.4912848845</v>
      </c>
      <c r="AE42" s="181">
        <f t="shared" si="82"/>
        <v>6425260.5721630715</v>
      </c>
      <c r="AF42" s="181">
        <f t="shared" si="82"/>
        <v>6544472.1346588237</v>
      </c>
      <c r="AG42" s="230" t="s">
        <v>164</v>
      </c>
      <c r="AH42" s="240" t="s">
        <v>194</v>
      </c>
      <c r="AI42" s="240"/>
      <c r="AJ42" s="325">
        <f>SUMPRODUCT(AL26:AL36,AM26:AM36)/SUM(AM26:AM36)</f>
        <v>4.708428690072472E-2</v>
      </c>
    </row>
    <row r="43" spans="1:49" x14ac:dyDescent="0.25">
      <c r="A43" s="197" t="s">
        <v>158</v>
      </c>
      <c r="B43" s="196">
        <f>SUM(B39:B42)</f>
        <v>0.99999999999999989</v>
      </c>
      <c r="C43" s="191">
        <f>SUM(C39:C42)</f>
        <v>3356459.4422976309</v>
      </c>
      <c r="D43" s="214">
        <f t="shared" ref="D43:AF43" si="83">SUM(D39:D42)</f>
        <v>4169947.8557109907</v>
      </c>
      <c r="E43" s="191">
        <f t="shared" si="83"/>
        <v>5334628.208235098</v>
      </c>
      <c r="F43" s="191">
        <f t="shared" si="83"/>
        <v>6919753.3817000184</v>
      </c>
      <c r="G43" s="191">
        <f t="shared" si="83"/>
        <v>8107945.4626187421</v>
      </c>
      <c r="H43" s="191">
        <f t="shared" si="83"/>
        <v>9286923.6726531964</v>
      </c>
      <c r="I43" s="191">
        <f t="shared" si="83"/>
        <v>10489481.446888339</v>
      </c>
      <c r="J43" s="191">
        <f t="shared" si="83"/>
        <v>11716090.376608185</v>
      </c>
      <c r="K43" s="191">
        <f t="shared" si="83"/>
        <v>12487604.878725961</v>
      </c>
      <c r="L43" s="191">
        <f t="shared" si="83"/>
        <v>12972753.823807649</v>
      </c>
      <c r="M43" s="191">
        <f t="shared" si="83"/>
        <v>13228822.220432207</v>
      </c>
      <c r="N43" s="191">
        <f t="shared" si="83"/>
        <v>13490011.984989254</v>
      </c>
      <c r="O43" s="191">
        <f t="shared" si="83"/>
        <v>13733258.941981871</v>
      </c>
      <c r="P43" s="191">
        <f t="shared" si="83"/>
        <v>13981370.83811434</v>
      </c>
      <c r="Q43" s="191">
        <f t="shared" si="83"/>
        <v>14234444.972169453</v>
      </c>
      <c r="R43" s="191">
        <f t="shared" si="83"/>
        <v>14492580.588905668</v>
      </c>
      <c r="S43" s="191">
        <f t="shared" si="83"/>
        <v>14755878.917976607</v>
      </c>
      <c r="T43" s="191">
        <f t="shared" si="83"/>
        <v>15024443.213628966</v>
      </c>
      <c r="U43" s="191">
        <f t="shared" si="83"/>
        <v>15298378.795194371</v>
      </c>
      <c r="V43" s="191">
        <f t="shared" si="83"/>
        <v>15577793.088391094</v>
      </c>
      <c r="W43" s="191">
        <f t="shared" si="83"/>
        <v>15862795.667451737</v>
      </c>
      <c r="X43" s="191">
        <f t="shared" si="83"/>
        <v>16153498.298093602</v>
      </c>
      <c r="Y43" s="191">
        <f t="shared" si="83"/>
        <v>16450014.981348298</v>
      </c>
      <c r="Z43" s="191">
        <f t="shared" si="83"/>
        <v>16752461.99826809</v>
      </c>
      <c r="AA43" s="191">
        <f t="shared" si="83"/>
        <v>17060957.955526277</v>
      </c>
      <c r="AB43" s="191">
        <f t="shared" si="83"/>
        <v>17375623.831929632</v>
      </c>
      <c r="AC43" s="191">
        <f t="shared" si="83"/>
        <v>17696583.025861051</v>
      </c>
      <c r="AD43" s="191">
        <f t="shared" si="83"/>
        <v>18023961.403671101</v>
      </c>
      <c r="AE43" s="191">
        <f t="shared" si="83"/>
        <v>18357887.349037349</v>
      </c>
      <c r="AF43" s="191">
        <f t="shared" si="83"/>
        <v>18698491.813310925</v>
      </c>
      <c r="AG43" s="227"/>
      <c r="AH43" s="238"/>
      <c r="AI43" s="238"/>
      <c r="AJ43" s="152"/>
    </row>
    <row r="44" spans="1:49" ht="8.1" customHeight="1" x14ac:dyDescent="0.25">
      <c r="A44" s="141"/>
      <c r="B44" s="174"/>
      <c r="C44" s="136"/>
      <c r="D44" s="205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227"/>
      <c r="AH44" s="238"/>
      <c r="AI44" s="238"/>
      <c r="AJ44" s="152"/>
    </row>
    <row r="45" spans="1:49" x14ac:dyDescent="0.25">
      <c r="A45" s="184" t="s">
        <v>159</v>
      </c>
      <c r="B45" s="439" t="s">
        <v>200</v>
      </c>
      <c r="C45" s="185"/>
      <c r="D45" s="21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227"/>
      <c r="AH45" s="238"/>
      <c r="AI45" s="238"/>
      <c r="AJ45" s="152"/>
    </row>
    <row r="46" spans="1:49" x14ac:dyDescent="0.25">
      <c r="A46" s="186" t="s">
        <v>165</v>
      </c>
      <c r="B46" s="439"/>
      <c r="C46" s="185">
        <f>C42</f>
        <v>1174760.8048041707</v>
      </c>
      <c r="D46" s="215">
        <f t="shared" ref="D46:AF46" si="84">D42</f>
        <v>1459481.7494988467</v>
      </c>
      <c r="E46" s="185">
        <f t="shared" si="84"/>
        <v>1867119.8728822845</v>
      </c>
      <c r="F46" s="185">
        <f t="shared" si="84"/>
        <v>2421913.6835950064</v>
      </c>
      <c r="G46" s="185">
        <f t="shared" si="84"/>
        <v>2837780.9119165596</v>
      </c>
      <c r="H46" s="185">
        <f t="shared" si="84"/>
        <v>3250423.2854286185</v>
      </c>
      <c r="I46" s="185">
        <f t="shared" si="84"/>
        <v>3671318.5064109182</v>
      </c>
      <c r="J46" s="185">
        <f t="shared" si="84"/>
        <v>4100631.6318128644</v>
      </c>
      <c r="K46" s="185">
        <f t="shared" si="84"/>
        <v>4370661.7075540861</v>
      </c>
      <c r="L46" s="185">
        <f t="shared" si="84"/>
        <v>4540463.8383326773</v>
      </c>
      <c r="M46" s="185">
        <f t="shared" si="84"/>
        <v>4630087.7771512726</v>
      </c>
      <c r="N46" s="185">
        <f t="shared" si="84"/>
        <v>4721504.1947462391</v>
      </c>
      <c r="O46" s="185">
        <f t="shared" si="84"/>
        <v>4806640.6296936544</v>
      </c>
      <c r="P46" s="185">
        <f t="shared" si="84"/>
        <v>4893479.793340019</v>
      </c>
      <c r="Q46" s="185">
        <f t="shared" si="84"/>
        <v>4982055.7402593084</v>
      </c>
      <c r="R46" s="185">
        <f t="shared" si="84"/>
        <v>5072403.2061169837</v>
      </c>
      <c r="S46" s="185">
        <f t="shared" si="84"/>
        <v>5164557.6212918125</v>
      </c>
      <c r="T46" s="185">
        <f t="shared" si="84"/>
        <v>5258555.1247701384</v>
      </c>
      <c r="U46" s="185">
        <f t="shared" si="84"/>
        <v>5354432.5783180296</v>
      </c>
      <c r="V46" s="185">
        <f t="shared" si="84"/>
        <v>5452227.5809368826</v>
      </c>
      <c r="W46" s="185">
        <f t="shared" si="84"/>
        <v>5551978.483608108</v>
      </c>
      <c r="X46" s="185">
        <f t="shared" si="84"/>
        <v>5653724.4043327598</v>
      </c>
      <c r="Y46" s="185">
        <f t="shared" si="84"/>
        <v>5757505.2434719047</v>
      </c>
      <c r="Z46" s="185">
        <f t="shared" si="84"/>
        <v>5863361.6993938321</v>
      </c>
      <c r="AA46" s="185">
        <f t="shared" si="84"/>
        <v>5971335.2844341965</v>
      </c>
      <c r="AB46" s="185">
        <f t="shared" si="84"/>
        <v>6081468.3411753708</v>
      </c>
      <c r="AC46" s="185">
        <f t="shared" si="84"/>
        <v>6193804.0590513675</v>
      </c>
      <c r="AD46" s="185">
        <f t="shared" si="84"/>
        <v>6308386.4912848845</v>
      </c>
      <c r="AE46" s="185">
        <f t="shared" si="84"/>
        <v>6425260.5721630715</v>
      </c>
      <c r="AF46" s="185">
        <f t="shared" si="84"/>
        <v>6544472.1346588237</v>
      </c>
      <c r="AG46" s="227" t="s">
        <v>164</v>
      </c>
      <c r="AH46" s="238" t="s">
        <v>164</v>
      </c>
      <c r="AI46" s="238"/>
      <c r="AJ46" s="152"/>
    </row>
    <row r="47" spans="1:49" x14ac:dyDescent="0.25">
      <c r="A47" s="186" t="str">
        <f>CONCATENATE("Less: 10% of Incremental FORA Share after 7/1/2012 (goes to ",A4,")")</f>
        <v>Less: 10% of Incremental FORA Share after 7/1/2012 (goes to Marina)</v>
      </c>
      <c r="B47" s="263">
        <v>590877</v>
      </c>
      <c r="C47" s="185">
        <f t="shared" ref="C47:AF47" si="85">IF(C46&gt;0,-(0.1*(C46-$B$47)),0)</f>
        <v>-58388.38048041708</v>
      </c>
      <c r="D47" s="215">
        <f t="shared" si="85"/>
        <v>-86860.47494988468</v>
      </c>
      <c r="E47" s="185">
        <f t="shared" si="85"/>
        <v>-127624.28728822846</v>
      </c>
      <c r="F47" s="185">
        <f t="shared" si="85"/>
        <v>-183103.66835950065</v>
      </c>
      <c r="G47" s="185">
        <f t="shared" si="85"/>
        <v>-224690.39119165597</v>
      </c>
      <c r="H47" s="185">
        <f t="shared" si="85"/>
        <v>-265954.62854286184</v>
      </c>
      <c r="I47" s="185">
        <f t="shared" si="85"/>
        <v>-308044.15064109181</v>
      </c>
      <c r="J47" s="185">
        <f t="shared" si="85"/>
        <v>-350975.46318128647</v>
      </c>
      <c r="K47" s="185">
        <f t="shared" si="85"/>
        <v>-377978.47075540863</v>
      </c>
      <c r="L47" s="185">
        <f t="shared" si="85"/>
        <v>-394958.68383326777</v>
      </c>
      <c r="M47" s="185">
        <f t="shared" si="85"/>
        <v>-403921.07771512726</v>
      </c>
      <c r="N47" s="185">
        <f t="shared" si="85"/>
        <v>-413062.71947462391</v>
      </c>
      <c r="O47" s="185">
        <f t="shared" si="85"/>
        <v>-421576.36296936544</v>
      </c>
      <c r="P47" s="185">
        <f t="shared" si="85"/>
        <v>-430260.27933400194</v>
      </c>
      <c r="Q47" s="185">
        <f t="shared" si="85"/>
        <v>-439117.87402593088</v>
      </c>
      <c r="R47" s="185">
        <f t="shared" si="85"/>
        <v>-448152.62061169837</v>
      </c>
      <c r="S47" s="185">
        <f t="shared" si="85"/>
        <v>-457368.06212918129</v>
      </c>
      <c r="T47" s="185">
        <f t="shared" si="85"/>
        <v>-466767.81247701385</v>
      </c>
      <c r="U47" s="185">
        <f t="shared" si="85"/>
        <v>-476355.55783180299</v>
      </c>
      <c r="V47" s="185">
        <f t="shared" si="85"/>
        <v>-486135.05809368828</v>
      </c>
      <c r="W47" s="185">
        <f t="shared" si="85"/>
        <v>-496110.14836081082</v>
      </c>
      <c r="X47" s="185">
        <f t="shared" si="85"/>
        <v>-506284.74043327599</v>
      </c>
      <c r="Y47" s="185">
        <f t="shared" si="85"/>
        <v>-516662.8243471905</v>
      </c>
      <c r="Z47" s="185">
        <f t="shared" si="85"/>
        <v>-527248.46993938321</v>
      </c>
      <c r="AA47" s="185">
        <f t="shared" si="85"/>
        <v>-538045.82844341965</v>
      </c>
      <c r="AB47" s="185">
        <f t="shared" si="85"/>
        <v>-549059.13411753706</v>
      </c>
      <c r="AC47" s="185">
        <f t="shared" si="85"/>
        <v>-560292.70590513677</v>
      </c>
      <c r="AD47" s="185">
        <f t="shared" si="85"/>
        <v>-571750.94912848843</v>
      </c>
      <c r="AE47" s="185">
        <f t="shared" si="85"/>
        <v>-583438.35721630719</v>
      </c>
      <c r="AF47" s="185">
        <f t="shared" si="85"/>
        <v>-595359.5134658824</v>
      </c>
      <c r="AG47" s="227" t="s">
        <v>148</v>
      </c>
      <c r="AH47" s="238"/>
      <c r="AI47" s="238"/>
      <c r="AJ47" s="48"/>
    </row>
    <row r="48" spans="1:49" ht="15" customHeight="1" x14ac:dyDescent="0.25">
      <c r="A48" s="186" t="s">
        <v>80</v>
      </c>
      <c r="B48" s="188"/>
      <c r="C48" s="189">
        <f t="shared" ref="C48:AF48" si="86">C42+C47</f>
        <v>1116372.4243237537</v>
      </c>
      <c r="D48" s="216">
        <f t="shared" si="86"/>
        <v>1372621.274548962</v>
      </c>
      <c r="E48" s="189">
        <f t="shared" si="86"/>
        <v>1739495.5855940559</v>
      </c>
      <c r="F48" s="189">
        <f t="shared" si="86"/>
        <v>2238810.0152355055</v>
      </c>
      <c r="G48" s="189">
        <f t="shared" si="86"/>
        <v>2613090.5207249038</v>
      </c>
      <c r="H48" s="189">
        <f t="shared" si="86"/>
        <v>2984468.6568857566</v>
      </c>
      <c r="I48" s="189">
        <f t="shared" si="86"/>
        <v>3363274.3557698266</v>
      </c>
      <c r="J48" s="189">
        <f t="shared" si="86"/>
        <v>3749656.1686315779</v>
      </c>
      <c r="K48" s="189">
        <f t="shared" si="86"/>
        <v>3992683.2367986776</v>
      </c>
      <c r="L48" s="189">
        <f t="shared" si="86"/>
        <v>4145505.1544994097</v>
      </c>
      <c r="M48" s="189">
        <f t="shared" si="86"/>
        <v>4226166.6994361449</v>
      </c>
      <c r="N48" s="189">
        <f t="shared" si="86"/>
        <v>4308441.4752716152</v>
      </c>
      <c r="O48" s="189">
        <f t="shared" si="86"/>
        <v>4385064.2667242885</v>
      </c>
      <c r="P48" s="189">
        <f t="shared" si="86"/>
        <v>4463219.5140060168</v>
      </c>
      <c r="Q48" s="189">
        <f t="shared" si="86"/>
        <v>4542937.8662333777</v>
      </c>
      <c r="R48" s="189">
        <f t="shared" si="86"/>
        <v>4624250.5855052853</v>
      </c>
      <c r="S48" s="189">
        <f t="shared" si="86"/>
        <v>4707189.5591626316</v>
      </c>
      <c r="T48" s="189">
        <f t="shared" si="86"/>
        <v>4791787.3122931244</v>
      </c>
      <c r="U48" s="189">
        <f t="shared" si="86"/>
        <v>4878077.0204862263</v>
      </c>
      <c r="V48" s="189">
        <f t="shared" si="86"/>
        <v>4966092.5228431942</v>
      </c>
      <c r="W48" s="189">
        <f t="shared" si="86"/>
        <v>5055868.3352472968</v>
      </c>
      <c r="X48" s="189">
        <f t="shared" si="86"/>
        <v>5147439.6638994841</v>
      </c>
      <c r="Y48" s="189">
        <f t="shared" si="86"/>
        <v>5240842.4191247141</v>
      </c>
      <c r="Z48" s="189">
        <f t="shared" si="86"/>
        <v>5336113.2294544484</v>
      </c>
      <c r="AA48" s="189">
        <f t="shared" si="86"/>
        <v>5433289.4559907764</v>
      </c>
      <c r="AB48" s="189">
        <f t="shared" si="86"/>
        <v>5532409.2070578337</v>
      </c>
      <c r="AC48" s="189">
        <f t="shared" si="86"/>
        <v>5633511.3531462308</v>
      </c>
      <c r="AD48" s="189">
        <f t="shared" si="86"/>
        <v>5736635.5421563964</v>
      </c>
      <c r="AE48" s="189">
        <f t="shared" si="86"/>
        <v>5841822.2149467645</v>
      </c>
      <c r="AF48" s="189">
        <f t="shared" si="86"/>
        <v>5949112.6211929414</v>
      </c>
      <c r="AG48" s="227" t="s">
        <v>183</v>
      </c>
      <c r="AH48" s="240" t="s">
        <v>195</v>
      </c>
      <c r="AI48" s="240"/>
      <c r="AJ48" s="23"/>
    </row>
    <row r="49" spans="1:36" ht="15" customHeight="1" x14ac:dyDescent="0.25">
      <c r="A49" s="186" t="str">
        <f>CONCATENATE("Less: ",$A$4," Portion of FORA Remediation Bonds Debt Service")</f>
        <v>Less: Marina Portion of FORA Remediation Bonds Debt Service</v>
      </c>
      <c r="B49" s="186"/>
      <c r="C49" s="185">
        <v>0</v>
      </c>
      <c r="D49" s="215">
        <f>-'DS (Base Case)'!N52</f>
        <v>-802343.68905899988</v>
      </c>
      <c r="E49" s="185">
        <f>-'DS (Base Case)'!O52</f>
        <v>-803087.0778480001</v>
      </c>
      <c r="F49" s="185">
        <f>-'DS (Base Case)'!P52</f>
        <v>-803312.60248800006</v>
      </c>
      <c r="G49" s="185">
        <f>-'DS (Base Case)'!Q52</f>
        <v>-803216.22743999993</v>
      </c>
      <c r="H49" s="185">
        <f>-'DS (Base Case)'!R52</f>
        <v>-802753.03943999985</v>
      </c>
      <c r="I49" s="185">
        <f>-'DS (Base Case)'!S52</f>
        <v>-803921.99018999992</v>
      </c>
      <c r="J49" s="185">
        <f>-'DS (Base Case)'!T52</f>
        <v>-802026.31343999994</v>
      </c>
      <c r="K49" s="185">
        <f>-'DS (Base Case)'!U52</f>
        <v>-801330.21375</v>
      </c>
      <c r="L49" s="185">
        <f>-'DS (Base Case)'!V52</f>
        <v>-804001.89012</v>
      </c>
      <c r="M49" s="185">
        <f>-'DS (Base Case)'!W52</f>
        <v>-802211.74836000009</v>
      </c>
      <c r="N49" s="185">
        <f>-'DS (Base Case)'!X52</f>
        <v>-803763.50801999995</v>
      </c>
      <c r="O49" s="185">
        <f>-'DS (Base Case)'!Y52</f>
        <v>-802493.41457999998</v>
      </c>
      <c r="P49" s="185">
        <f>-'DS (Base Case)'!Z52</f>
        <v>-802467.26043000002</v>
      </c>
      <c r="Q49" s="185">
        <f>-'DS (Base Case)'!AA52</f>
        <v>-803572.12352999998</v>
      </c>
      <c r="R49" s="185">
        <f>-'DS (Base Case)'!AB52</f>
        <v>-803839.65453000006</v>
      </c>
      <c r="S49" s="185">
        <f>-'DS (Base Case)'!AC52</f>
        <v>-801225.59714999993</v>
      </c>
      <c r="T49" s="185">
        <f>-'DS (Base Case)'!AD52</f>
        <v>-801864.47714999993</v>
      </c>
      <c r="U49" s="185">
        <f>-'DS (Base Case)'!AE52</f>
        <v>-803585.46014999994</v>
      </c>
      <c r="V49" s="185">
        <f>-'DS (Base Case)'!AF52</f>
        <v>-804403.62584999995</v>
      </c>
      <c r="W49" s="185">
        <f>-'DS (Base Case)'!AG52</f>
        <v>-802433.47964999999</v>
      </c>
      <c r="X49" s="185">
        <f>-'DS (Base Case)'!AH52</f>
        <v>-803775.92625000002</v>
      </c>
      <c r="Y49" s="185">
        <f>-'DS (Base Case)'!AI52</f>
        <v>-802225.64399999997</v>
      </c>
      <c r="Z49" s="185">
        <f>-'DS (Base Case)'!AJ52</f>
        <v>-803917.67775000003</v>
      </c>
      <c r="AA49" s="185">
        <f>-'DS (Base Case)'!AK52</f>
        <v>-802643.11214999994</v>
      </c>
      <c r="AB49" s="185">
        <f>-'DS (Base Case)'!AL52</f>
        <v>-802512.94034999993</v>
      </c>
      <c r="AC49" s="185">
        <f>-'DS (Base Case)'!AM52</f>
        <v>-803403.97829999996</v>
      </c>
      <c r="AD49" s="185">
        <f>-'DS (Base Case)'!AN52</f>
        <v>-803302.75575000001</v>
      </c>
      <c r="AE49" s="185">
        <f>-'DS (Base Case)'!AO52</f>
        <v>-804147.67455</v>
      </c>
      <c r="AF49" s="185">
        <f>-'DS (Base Case)'!AP52</f>
        <v>-801902.01134999993</v>
      </c>
      <c r="AG49" s="227" t="s">
        <v>147</v>
      </c>
      <c r="AH49" s="238" t="s">
        <v>147</v>
      </c>
      <c r="AI49" s="238"/>
      <c r="AJ49" s="48"/>
    </row>
    <row r="50" spans="1:36" ht="15" customHeight="1" x14ac:dyDescent="0.25">
      <c r="A50" s="192" t="s">
        <v>166</v>
      </c>
      <c r="B50" s="187"/>
      <c r="C50" s="190">
        <f>SUM(C48:C49)</f>
        <v>1116372.4243237537</v>
      </c>
      <c r="D50" s="217">
        <f t="shared" ref="D50" si="87">SUM(D48:D49)</f>
        <v>570277.58548996213</v>
      </c>
      <c r="E50" s="190">
        <f t="shared" ref="E50" si="88">SUM(E48:E49)</f>
        <v>936408.50774605584</v>
      </c>
      <c r="F50" s="190">
        <f t="shared" ref="F50" si="89">SUM(F48:F49)</f>
        <v>1435497.4127475056</v>
      </c>
      <c r="G50" s="190">
        <f t="shared" ref="G50" si="90">SUM(G48:G49)</f>
        <v>1809874.2932849037</v>
      </c>
      <c r="H50" s="190">
        <f t="shared" ref="H50" si="91">SUM(H48:H49)</f>
        <v>2181715.6174457567</v>
      </c>
      <c r="I50" s="190">
        <f t="shared" ref="I50" si="92">SUM(I48:I49)</f>
        <v>2559352.3655798268</v>
      </c>
      <c r="J50" s="190">
        <f t="shared" ref="J50" si="93">SUM(J48:J49)</f>
        <v>2947629.8551915782</v>
      </c>
      <c r="K50" s="190">
        <f t="shared" ref="K50" si="94">SUM(K48:K49)</f>
        <v>3191353.0230486775</v>
      </c>
      <c r="L50" s="190">
        <f t="shared" ref="L50" si="95">SUM(L48:L49)</f>
        <v>3341503.2643794096</v>
      </c>
      <c r="M50" s="190">
        <f t="shared" ref="M50:AF50" si="96">SUM(M48:M49)</f>
        <v>3423954.9510761448</v>
      </c>
      <c r="N50" s="190">
        <f t="shared" si="96"/>
        <v>3504677.9672516151</v>
      </c>
      <c r="O50" s="190">
        <f t="shared" si="96"/>
        <v>3582570.8521442884</v>
      </c>
      <c r="P50" s="190">
        <f t="shared" si="96"/>
        <v>3660752.253576017</v>
      </c>
      <c r="Q50" s="190">
        <f t="shared" si="96"/>
        <v>3739365.7427033777</v>
      </c>
      <c r="R50" s="190">
        <f t="shared" si="96"/>
        <v>3820410.9309752854</v>
      </c>
      <c r="S50" s="190">
        <f t="shared" si="96"/>
        <v>3905963.9620126318</v>
      </c>
      <c r="T50" s="190">
        <f t="shared" si="96"/>
        <v>3989922.8351431247</v>
      </c>
      <c r="U50" s="190">
        <f t="shared" si="96"/>
        <v>4074491.5603362266</v>
      </c>
      <c r="V50" s="190">
        <f t="shared" si="96"/>
        <v>4161688.8969931942</v>
      </c>
      <c r="W50" s="190">
        <f t="shared" si="96"/>
        <v>4253434.8555972967</v>
      </c>
      <c r="X50" s="190">
        <f t="shared" si="96"/>
        <v>4343663.7376494836</v>
      </c>
      <c r="Y50" s="190">
        <f t="shared" si="96"/>
        <v>4438616.7751247138</v>
      </c>
      <c r="Z50" s="190">
        <f t="shared" si="96"/>
        <v>4532195.5517044486</v>
      </c>
      <c r="AA50" s="190">
        <f t="shared" si="96"/>
        <v>4630646.343840776</v>
      </c>
      <c r="AB50" s="190">
        <f t="shared" si="96"/>
        <v>4729896.2667078339</v>
      </c>
      <c r="AC50" s="190">
        <f t="shared" si="96"/>
        <v>4830107.3748462312</v>
      </c>
      <c r="AD50" s="190">
        <f t="shared" si="96"/>
        <v>4933332.786406396</v>
      </c>
      <c r="AE50" s="190">
        <f t="shared" si="96"/>
        <v>5037674.5403967649</v>
      </c>
      <c r="AF50" s="190">
        <f t="shared" si="96"/>
        <v>5147210.6098429412</v>
      </c>
      <c r="AG50" s="227" t="s">
        <v>184</v>
      </c>
      <c r="AH50" s="240" t="s">
        <v>196</v>
      </c>
      <c r="AI50" s="240"/>
      <c r="AJ50" s="48"/>
    </row>
    <row r="51" spans="1:36" ht="8.1" customHeight="1" x14ac:dyDescent="0.25">
      <c r="A51" s="171"/>
      <c r="B51" s="172"/>
      <c r="C51" s="136"/>
      <c r="D51" s="205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227"/>
      <c r="AH51" s="238"/>
      <c r="AI51" s="238"/>
      <c r="AJ51" s="152"/>
    </row>
    <row r="52" spans="1:36" ht="15" customHeight="1" x14ac:dyDescent="0.25">
      <c r="A52" s="198" t="s">
        <v>168</v>
      </c>
      <c r="B52" s="199"/>
      <c r="C52" s="135"/>
      <c r="D52" s="218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227"/>
      <c r="AH52" s="238"/>
      <c r="AI52" s="238"/>
      <c r="AJ52" s="152"/>
    </row>
    <row r="53" spans="1:36" ht="15" customHeight="1" x14ac:dyDescent="0.25">
      <c r="A53" s="200" t="s">
        <v>161</v>
      </c>
      <c r="B53" s="201">
        <v>0.38</v>
      </c>
      <c r="C53" s="135">
        <v>0</v>
      </c>
      <c r="D53" s="218">
        <v>0</v>
      </c>
      <c r="E53" s="135">
        <f>E50*$B$53</f>
        <v>355835.23294350121</v>
      </c>
      <c r="F53" s="135">
        <f t="shared" ref="F53:L53" si="97">F50*$B$53</f>
        <v>545489.01684405212</v>
      </c>
      <c r="G53" s="135">
        <f t="shared" si="97"/>
        <v>687752.2314482634</v>
      </c>
      <c r="H53" s="135">
        <f t="shared" si="97"/>
        <v>829051.93462938757</v>
      </c>
      <c r="I53" s="135">
        <f t="shared" si="97"/>
        <v>972553.89892033418</v>
      </c>
      <c r="J53" s="135">
        <f t="shared" si="97"/>
        <v>1120099.3449727998</v>
      </c>
      <c r="K53" s="135">
        <f t="shared" si="97"/>
        <v>1212714.1487584976</v>
      </c>
      <c r="L53" s="135">
        <f t="shared" si="97"/>
        <v>1269771.2404641756</v>
      </c>
      <c r="M53" s="135">
        <f>M50*$B$53</f>
        <v>1301102.8814089349</v>
      </c>
      <c r="N53" s="135">
        <f t="shared" ref="N53:AF53" si="98">N50*$B$53</f>
        <v>1331777.6275556139</v>
      </c>
      <c r="O53" s="135">
        <f t="shared" si="98"/>
        <v>1361376.9238148297</v>
      </c>
      <c r="P53" s="135">
        <f t="shared" si="98"/>
        <v>1391085.8563588865</v>
      </c>
      <c r="Q53" s="135">
        <f t="shared" si="98"/>
        <v>1420958.9822272835</v>
      </c>
      <c r="R53" s="135">
        <f t="shared" si="98"/>
        <v>1451756.1537706084</v>
      </c>
      <c r="S53" s="135">
        <f t="shared" si="98"/>
        <v>1484266.3055648</v>
      </c>
      <c r="T53" s="135">
        <f t="shared" si="98"/>
        <v>1516170.6773543875</v>
      </c>
      <c r="U53" s="135">
        <f t="shared" si="98"/>
        <v>1548306.7929277662</v>
      </c>
      <c r="V53" s="135">
        <f t="shared" si="98"/>
        <v>1581441.7808574138</v>
      </c>
      <c r="W53" s="135">
        <f t="shared" si="98"/>
        <v>1616305.2451269727</v>
      </c>
      <c r="X53" s="135">
        <f t="shared" si="98"/>
        <v>1650592.2203068037</v>
      </c>
      <c r="Y53" s="135">
        <f t="shared" si="98"/>
        <v>1686674.3745473912</v>
      </c>
      <c r="Z53" s="135">
        <f t="shared" si="98"/>
        <v>1722234.3096476905</v>
      </c>
      <c r="AA53" s="135">
        <f t="shared" si="98"/>
        <v>1759645.610659495</v>
      </c>
      <c r="AB53" s="135">
        <f t="shared" si="98"/>
        <v>1797360.5813489768</v>
      </c>
      <c r="AC53" s="135">
        <f t="shared" si="98"/>
        <v>1835440.8024415679</v>
      </c>
      <c r="AD53" s="135">
        <f t="shared" si="98"/>
        <v>1874666.4588344304</v>
      </c>
      <c r="AE53" s="135">
        <f t="shared" si="98"/>
        <v>1914316.3253507707</v>
      </c>
      <c r="AF53" s="135">
        <f t="shared" si="98"/>
        <v>1955940.0317403176</v>
      </c>
      <c r="AG53" s="234"/>
      <c r="AH53" s="244" t="s">
        <v>172</v>
      </c>
      <c r="AI53" s="244"/>
      <c r="AJ53" s="124"/>
    </row>
    <row r="54" spans="1:36" ht="15" customHeight="1" x14ac:dyDescent="0.25">
      <c r="A54" s="200" t="s">
        <v>162</v>
      </c>
      <c r="B54" s="202">
        <v>0.08</v>
      </c>
      <c r="C54" s="135">
        <v>0</v>
      </c>
      <c r="D54" s="218">
        <v>0</v>
      </c>
      <c r="E54" s="135">
        <f t="shared" ref="E54:AF54" si="99">E50*$B$54</f>
        <v>74912.68061968447</v>
      </c>
      <c r="F54" s="135">
        <f t="shared" si="99"/>
        <v>114839.79301980045</v>
      </c>
      <c r="G54" s="135">
        <f t="shared" si="99"/>
        <v>144789.94346279229</v>
      </c>
      <c r="H54" s="135">
        <f t="shared" si="99"/>
        <v>174537.24939566053</v>
      </c>
      <c r="I54" s="135">
        <f t="shared" si="99"/>
        <v>204748.18924638614</v>
      </c>
      <c r="J54" s="135">
        <f t="shared" si="99"/>
        <v>235810.38841532625</v>
      </c>
      <c r="K54" s="135">
        <f t="shared" si="99"/>
        <v>255308.24184389421</v>
      </c>
      <c r="L54" s="135">
        <f t="shared" si="99"/>
        <v>267320.26115035277</v>
      </c>
      <c r="M54" s="135">
        <f t="shared" si="99"/>
        <v>273916.39608609158</v>
      </c>
      <c r="N54" s="135">
        <f t="shared" si="99"/>
        <v>280374.23738012923</v>
      </c>
      <c r="O54" s="135">
        <f t="shared" si="99"/>
        <v>286605.6681715431</v>
      </c>
      <c r="P54" s="135">
        <f t="shared" si="99"/>
        <v>292860.18028608139</v>
      </c>
      <c r="Q54" s="135">
        <f t="shared" si="99"/>
        <v>299149.25941627024</v>
      </c>
      <c r="R54" s="135">
        <f t="shared" si="99"/>
        <v>305632.87447802286</v>
      </c>
      <c r="S54" s="135">
        <f t="shared" si="99"/>
        <v>312477.11696101056</v>
      </c>
      <c r="T54" s="135">
        <f t="shared" si="99"/>
        <v>319193.82681145001</v>
      </c>
      <c r="U54" s="135">
        <f t="shared" si="99"/>
        <v>325959.32482689811</v>
      </c>
      <c r="V54" s="135">
        <f t="shared" si="99"/>
        <v>332935.11175945553</v>
      </c>
      <c r="W54" s="135">
        <f t="shared" si="99"/>
        <v>340274.78844778374</v>
      </c>
      <c r="X54" s="135">
        <f t="shared" si="99"/>
        <v>347493.09901195869</v>
      </c>
      <c r="Y54" s="135">
        <f t="shared" si="99"/>
        <v>355089.34200997709</v>
      </c>
      <c r="Z54" s="135">
        <f t="shared" si="99"/>
        <v>362575.6441363559</v>
      </c>
      <c r="AA54" s="135">
        <f t="shared" si="99"/>
        <v>370451.70750726206</v>
      </c>
      <c r="AB54" s="135">
        <f t="shared" si="99"/>
        <v>378391.70133662672</v>
      </c>
      <c r="AC54" s="135">
        <f t="shared" si="99"/>
        <v>386408.58998769848</v>
      </c>
      <c r="AD54" s="135">
        <f t="shared" si="99"/>
        <v>394666.6229125117</v>
      </c>
      <c r="AE54" s="135">
        <f t="shared" si="99"/>
        <v>403013.96323174122</v>
      </c>
      <c r="AF54" s="135">
        <f t="shared" si="99"/>
        <v>411776.84878743533</v>
      </c>
      <c r="AG54" s="233"/>
      <c r="AH54" s="243" t="s">
        <v>173</v>
      </c>
      <c r="AI54" s="243"/>
      <c r="AJ54" s="48"/>
    </row>
    <row r="55" spans="1:36" ht="15" customHeight="1" x14ac:dyDescent="0.25">
      <c r="A55" s="200" t="s">
        <v>163</v>
      </c>
      <c r="B55" s="203">
        <v>0.54</v>
      </c>
      <c r="C55" s="135">
        <v>0</v>
      </c>
      <c r="D55" s="218">
        <v>0</v>
      </c>
      <c r="E55" s="135">
        <f t="shared" ref="E55:AF55" si="100">$B$55*E50</f>
        <v>505660.59418287018</v>
      </c>
      <c r="F55" s="135">
        <f t="shared" si="100"/>
        <v>775168.60288365302</v>
      </c>
      <c r="G55" s="135">
        <f t="shared" si="100"/>
        <v>977332.11837384803</v>
      </c>
      <c r="H55" s="135">
        <f t="shared" si="100"/>
        <v>1178126.4334207086</v>
      </c>
      <c r="I55" s="135">
        <f t="shared" si="100"/>
        <v>1382050.2774131065</v>
      </c>
      <c r="J55" s="135">
        <f t="shared" si="100"/>
        <v>1591720.1218034523</v>
      </c>
      <c r="K55" s="135">
        <f t="shared" si="100"/>
        <v>1723330.632446286</v>
      </c>
      <c r="L55" s="135">
        <f t="shared" si="100"/>
        <v>1804411.7627648814</v>
      </c>
      <c r="M55" s="135">
        <f t="shared" si="100"/>
        <v>1848935.6735811182</v>
      </c>
      <c r="N55" s="135">
        <f t="shared" si="100"/>
        <v>1892526.1023158722</v>
      </c>
      <c r="O55" s="135">
        <f t="shared" si="100"/>
        <v>1934588.2601579158</v>
      </c>
      <c r="P55" s="135">
        <f t="shared" si="100"/>
        <v>1976806.2169310492</v>
      </c>
      <c r="Q55" s="135">
        <f t="shared" si="100"/>
        <v>2019257.5010598241</v>
      </c>
      <c r="R55" s="135">
        <f t="shared" si="100"/>
        <v>2063021.9027266542</v>
      </c>
      <c r="S55" s="135">
        <f t="shared" si="100"/>
        <v>2109220.5394868213</v>
      </c>
      <c r="T55" s="135">
        <f t="shared" si="100"/>
        <v>2154558.3309772876</v>
      </c>
      <c r="U55" s="135">
        <f t="shared" si="100"/>
        <v>2200225.4425815623</v>
      </c>
      <c r="V55" s="135">
        <f t="shared" si="100"/>
        <v>2247312.0043763248</v>
      </c>
      <c r="W55" s="135">
        <f t="shared" si="100"/>
        <v>2296854.8220225405</v>
      </c>
      <c r="X55" s="135">
        <f t="shared" si="100"/>
        <v>2345578.4183307211</v>
      </c>
      <c r="Y55" s="135">
        <f t="shared" si="100"/>
        <v>2396853.0585673456</v>
      </c>
      <c r="Z55" s="135">
        <f t="shared" si="100"/>
        <v>2447385.5979204024</v>
      </c>
      <c r="AA55" s="135">
        <f t="shared" si="100"/>
        <v>2500549.025674019</v>
      </c>
      <c r="AB55" s="135">
        <f t="shared" si="100"/>
        <v>2554143.9840222304</v>
      </c>
      <c r="AC55" s="135">
        <f t="shared" si="100"/>
        <v>2608257.9824169651</v>
      </c>
      <c r="AD55" s="135">
        <f t="shared" si="100"/>
        <v>2663999.7046594541</v>
      </c>
      <c r="AE55" s="135">
        <f t="shared" si="100"/>
        <v>2720344.2518142532</v>
      </c>
      <c r="AF55" s="135">
        <f t="shared" si="100"/>
        <v>2779493.7293151882</v>
      </c>
      <c r="AG55" s="227" t="s">
        <v>185</v>
      </c>
      <c r="AH55" s="240" t="s">
        <v>188</v>
      </c>
      <c r="AI55" s="240"/>
      <c r="AJ55" s="128"/>
    </row>
    <row r="56" spans="1:36" ht="15" customHeight="1" x14ac:dyDescent="0.25">
      <c r="A56" s="220" t="s">
        <v>160</v>
      </c>
      <c r="B56" s="221">
        <f>SUM(B53:B55)</f>
        <v>1</v>
      </c>
      <c r="C56" s="222">
        <f>SUM(C53:C55)</f>
        <v>0</v>
      </c>
      <c r="D56" s="223">
        <f t="shared" ref="D56:AF56" si="101">SUM(D53:D55)</f>
        <v>0</v>
      </c>
      <c r="E56" s="222">
        <f t="shared" si="101"/>
        <v>936408.50774605584</v>
      </c>
      <c r="F56" s="222">
        <f t="shared" si="101"/>
        <v>1435497.4127475056</v>
      </c>
      <c r="G56" s="222">
        <f t="shared" si="101"/>
        <v>1809874.2932849037</v>
      </c>
      <c r="H56" s="222">
        <f t="shared" si="101"/>
        <v>2181715.6174457567</v>
      </c>
      <c r="I56" s="222">
        <f t="shared" si="101"/>
        <v>2559352.3655798268</v>
      </c>
      <c r="J56" s="222">
        <f t="shared" si="101"/>
        <v>2947629.8551915782</v>
      </c>
      <c r="K56" s="222">
        <f t="shared" si="101"/>
        <v>3191353.0230486775</v>
      </c>
      <c r="L56" s="222">
        <f t="shared" si="101"/>
        <v>3341503.2643794096</v>
      </c>
      <c r="M56" s="222">
        <f t="shared" si="101"/>
        <v>3423954.9510761448</v>
      </c>
      <c r="N56" s="222">
        <f t="shared" si="101"/>
        <v>3504677.9672516156</v>
      </c>
      <c r="O56" s="222">
        <f t="shared" si="101"/>
        <v>3582570.8521442888</v>
      </c>
      <c r="P56" s="222">
        <f t="shared" si="101"/>
        <v>3660752.253576017</v>
      </c>
      <c r="Q56" s="222">
        <f t="shared" si="101"/>
        <v>3739365.7427033782</v>
      </c>
      <c r="R56" s="222">
        <f t="shared" si="101"/>
        <v>3820410.9309752854</v>
      </c>
      <c r="S56" s="222">
        <f t="shared" si="101"/>
        <v>3905963.9620126318</v>
      </c>
      <c r="T56" s="222">
        <f t="shared" si="101"/>
        <v>3989922.8351431252</v>
      </c>
      <c r="U56" s="222">
        <f t="shared" si="101"/>
        <v>4074491.5603362266</v>
      </c>
      <c r="V56" s="222">
        <f t="shared" si="101"/>
        <v>4161688.8969931942</v>
      </c>
      <c r="W56" s="222">
        <f t="shared" si="101"/>
        <v>4253434.8555972967</v>
      </c>
      <c r="X56" s="222">
        <f t="shared" si="101"/>
        <v>4343663.7376494836</v>
      </c>
      <c r="Y56" s="222">
        <f t="shared" si="101"/>
        <v>4438616.7751247138</v>
      </c>
      <c r="Z56" s="222">
        <f t="shared" si="101"/>
        <v>4532195.5517044486</v>
      </c>
      <c r="AA56" s="222">
        <f t="shared" si="101"/>
        <v>4630646.343840776</v>
      </c>
      <c r="AB56" s="222">
        <f t="shared" si="101"/>
        <v>4729896.2667078339</v>
      </c>
      <c r="AC56" s="222">
        <f t="shared" si="101"/>
        <v>4830107.3748462312</v>
      </c>
      <c r="AD56" s="222">
        <f t="shared" si="101"/>
        <v>4933332.786406396</v>
      </c>
      <c r="AE56" s="222">
        <f t="shared" si="101"/>
        <v>5037674.5403967649</v>
      </c>
      <c r="AF56" s="222">
        <f t="shared" si="101"/>
        <v>5147210.6098429412</v>
      </c>
      <c r="AG56" s="227"/>
      <c r="AH56" s="238"/>
      <c r="AI56" s="238"/>
      <c r="AJ56" s="152"/>
    </row>
    <row r="57" spans="1:36" ht="8.1" customHeight="1" x14ac:dyDescent="0.25">
      <c r="A57" s="140"/>
      <c r="B57" s="101"/>
      <c r="C57" s="136"/>
      <c r="D57" s="205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227"/>
      <c r="AH57" s="238"/>
      <c r="AI57" s="238"/>
      <c r="AJ57" s="152"/>
    </row>
    <row r="58" spans="1:36" ht="15" customHeight="1" x14ac:dyDescent="0.25">
      <c r="A58" s="150" t="str">
        <f>CONCATENATE("Increase in ",A4," General Fund Revenues")</f>
        <v>Increase in Marina General Fund Revenues</v>
      </c>
      <c r="B58" s="251" t="s">
        <v>198</v>
      </c>
      <c r="C58" s="136"/>
      <c r="D58" s="205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227"/>
      <c r="AH58" s="238"/>
      <c r="AI58" s="238"/>
      <c r="AJ58" s="152"/>
    </row>
    <row r="59" spans="1:36" ht="30" customHeight="1" x14ac:dyDescent="0.25">
      <c r="A59" s="178" t="s">
        <v>199</v>
      </c>
      <c r="B59" s="252">
        <f>Scenarios!B7</f>
        <v>0.2</v>
      </c>
      <c r="C59" s="177">
        <v>0</v>
      </c>
      <c r="D59" s="224">
        <v>0</v>
      </c>
      <c r="E59" s="177">
        <f>E55*$B$59</f>
        <v>101132.11883657404</v>
      </c>
      <c r="F59" s="177">
        <f>F55*$B$59</f>
        <v>155033.72057673061</v>
      </c>
      <c r="G59" s="177">
        <f t="shared" ref="G59:L59" si="102">G55*$B$59</f>
        <v>195466.42367476961</v>
      </c>
      <c r="H59" s="177">
        <f t="shared" si="102"/>
        <v>235625.28668414173</v>
      </c>
      <c r="I59" s="177">
        <f t="shared" si="102"/>
        <v>276410.0554826213</v>
      </c>
      <c r="J59" s="177">
        <f t="shared" si="102"/>
        <v>318344.0243606905</v>
      </c>
      <c r="K59" s="177">
        <f t="shared" si="102"/>
        <v>344666.12648925721</v>
      </c>
      <c r="L59" s="177">
        <f t="shared" si="102"/>
        <v>360882.35255297628</v>
      </c>
      <c r="M59" s="177">
        <f>M55*$B$59</f>
        <v>369787.13471622369</v>
      </c>
      <c r="N59" s="177">
        <f t="shared" ref="N59:AF59" si="103">N55*$B$59</f>
        <v>378505.22046317445</v>
      </c>
      <c r="O59" s="177">
        <f t="shared" si="103"/>
        <v>386917.65203158319</v>
      </c>
      <c r="P59" s="177">
        <f t="shared" si="103"/>
        <v>395361.24338620988</v>
      </c>
      <c r="Q59" s="177">
        <f t="shared" si="103"/>
        <v>403851.50021196483</v>
      </c>
      <c r="R59" s="177">
        <f t="shared" si="103"/>
        <v>412604.38054533087</v>
      </c>
      <c r="S59" s="177">
        <f t="shared" si="103"/>
        <v>421844.1078973643</v>
      </c>
      <c r="T59" s="177">
        <f t="shared" si="103"/>
        <v>430911.66619545757</v>
      </c>
      <c r="U59" s="177">
        <f t="shared" si="103"/>
        <v>440045.08851631248</v>
      </c>
      <c r="V59" s="177">
        <f t="shared" si="103"/>
        <v>449462.40087526501</v>
      </c>
      <c r="W59" s="177">
        <f t="shared" si="103"/>
        <v>459370.96440450812</v>
      </c>
      <c r="X59" s="177">
        <f t="shared" si="103"/>
        <v>469115.68366614426</v>
      </c>
      <c r="Y59" s="177">
        <f t="shared" si="103"/>
        <v>479370.61171346914</v>
      </c>
      <c r="Z59" s="177">
        <f t="shared" si="103"/>
        <v>489477.11958408053</v>
      </c>
      <c r="AA59" s="177">
        <f t="shared" si="103"/>
        <v>500109.80513480381</v>
      </c>
      <c r="AB59" s="177">
        <f t="shared" si="103"/>
        <v>510828.79680444609</v>
      </c>
      <c r="AC59" s="177">
        <f t="shared" si="103"/>
        <v>521651.59648339305</v>
      </c>
      <c r="AD59" s="177">
        <f t="shared" si="103"/>
        <v>532799.94093189086</v>
      </c>
      <c r="AE59" s="177">
        <f t="shared" si="103"/>
        <v>544068.8503628507</v>
      </c>
      <c r="AF59" s="177">
        <f t="shared" si="103"/>
        <v>555898.74586303765</v>
      </c>
      <c r="AG59" s="235" t="s">
        <v>186</v>
      </c>
      <c r="AH59" s="245" t="s">
        <v>187</v>
      </c>
      <c r="AI59" s="245"/>
      <c r="AJ59" s="129"/>
    </row>
    <row r="60" spans="1:36" ht="15" hidden="1" customHeight="1" x14ac:dyDescent="0.25">
      <c r="A60" s="151" t="str">
        <f>CONCATENATE("Add Back In: 10% of Incremental FORA Share sent to ",A4)</f>
        <v>Add Back In: 10% of Incremental FORA Share sent to Marina</v>
      </c>
      <c r="B60" s="142"/>
      <c r="C60" s="145">
        <f t="shared" ref="C60:M60" si="104">-C47</f>
        <v>58388.38048041708</v>
      </c>
      <c r="D60" s="211">
        <f t="shared" si="104"/>
        <v>86860.47494988468</v>
      </c>
      <c r="E60" s="145">
        <f t="shared" si="104"/>
        <v>127624.28728822846</v>
      </c>
      <c r="F60" s="145">
        <f t="shared" si="104"/>
        <v>183103.66835950065</v>
      </c>
      <c r="G60" s="145">
        <f t="shared" si="104"/>
        <v>224690.39119165597</v>
      </c>
      <c r="H60" s="145">
        <f t="shared" si="104"/>
        <v>265954.62854286184</v>
      </c>
      <c r="I60" s="145">
        <f t="shared" si="104"/>
        <v>308044.15064109181</v>
      </c>
      <c r="J60" s="145">
        <f t="shared" si="104"/>
        <v>350975.46318128647</v>
      </c>
      <c r="K60" s="145">
        <f t="shared" si="104"/>
        <v>377978.47075540863</v>
      </c>
      <c r="L60" s="145">
        <f t="shared" si="104"/>
        <v>394958.68383326777</v>
      </c>
      <c r="M60" s="145">
        <f t="shared" si="104"/>
        <v>403921.07771512726</v>
      </c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227" t="s">
        <v>148</v>
      </c>
      <c r="AH60" s="238"/>
      <c r="AI60" s="238"/>
      <c r="AJ60" s="26"/>
    </row>
    <row r="61" spans="1:36" x14ac:dyDescent="0.25">
      <c r="A61" s="153" t="str">
        <f>CONCATENATE("Increase in Net Property Taxes Received by ",A4," General Fund *****")</f>
        <v>Increase in Net Property Taxes Received by Marina General Fund *****</v>
      </c>
      <c r="B61" s="153"/>
      <c r="C61" s="154">
        <f>C59</f>
        <v>0</v>
      </c>
      <c r="D61" s="219">
        <f t="shared" ref="D61:AF61" si="105">D59</f>
        <v>0</v>
      </c>
      <c r="E61" s="154">
        <f>E59</f>
        <v>101132.11883657404</v>
      </c>
      <c r="F61" s="154">
        <f>F59</f>
        <v>155033.72057673061</v>
      </c>
      <c r="G61" s="154">
        <f t="shared" si="105"/>
        <v>195466.42367476961</v>
      </c>
      <c r="H61" s="154">
        <f t="shared" si="105"/>
        <v>235625.28668414173</v>
      </c>
      <c r="I61" s="154">
        <f t="shared" si="105"/>
        <v>276410.0554826213</v>
      </c>
      <c r="J61" s="154">
        <f t="shared" si="105"/>
        <v>318344.0243606905</v>
      </c>
      <c r="K61" s="154">
        <f t="shared" si="105"/>
        <v>344666.12648925721</v>
      </c>
      <c r="L61" s="154">
        <f t="shared" si="105"/>
        <v>360882.35255297628</v>
      </c>
      <c r="M61" s="154">
        <f t="shared" si="105"/>
        <v>369787.13471622369</v>
      </c>
      <c r="N61" s="154">
        <f t="shared" si="105"/>
        <v>378505.22046317445</v>
      </c>
      <c r="O61" s="154">
        <f t="shared" si="105"/>
        <v>386917.65203158319</v>
      </c>
      <c r="P61" s="154">
        <f t="shared" si="105"/>
        <v>395361.24338620988</v>
      </c>
      <c r="Q61" s="154">
        <f t="shared" si="105"/>
        <v>403851.50021196483</v>
      </c>
      <c r="R61" s="154">
        <f t="shared" si="105"/>
        <v>412604.38054533087</v>
      </c>
      <c r="S61" s="154">
        <f t="shared" si="105"/>
        <v>421844.1078973643</v>
      </c>
      <c r="T61" s="154">
        <f t="shared" si="105"/>
        <v>430911.66619545757</v>
      </c>
      <c r="U61" s="154">
        <f t="shared" si="105"/>
        <v>440045.08851631248</v>
      </c>
      <c r="V61" s="154">
        <f t="shared" si="105"/>
        <v>449462.40087526501</v>
      </c>
      <c r="W61" s="154">
        <f t="shared" si="105"/>
        <v>459370.96440450812</v>
      </c>
      <c r="X61" s="154">
        <f t="shared" si="105"/>
        <v>469115.68366614426</v>
      </c>
      <c r="Y61" s="154">
        <f t="shared" si="105"/>
        <v>479370.61171346914</v>
      </c>
      <c r="Z61" s="154">
        <f t="shared" si="105"/>
        <v>489477.11958408053</v>
      </c>
      <c r="AA61" s="154">
        <f t="shared" si="105"/>
        <v>500109.80513480381</v>
      </c>
      <c r="AB61" s="154">
        <f t="shared" si="105"/>
        <v>510828.79680444609</v>
      </c>
      <c r="AC61" s="154">
        <f t="shared" si="105"/>
        <v>521651.59648339305</v>
      </c>
      <c r="AD61" s="154">
        <f t="shared" si="105"/>
        <v>532799.94093189086</v>
      </c>
      <c r="AE61" s="154">
        <f t="shared" si="105"/>
        <v>544068.8503628507</v>
      </c>
      <c r="AF61" s="154">
        <f t="shared" si="105"/>
        <v>555898.74586303765</v>
      </c>
      <c r="AG61" s="230"/>
      <c r="AH61" s="240" t="s">
        <v>216</v>
      </c>
      <c r="AI61" s="240"/>
    </row>
    <row r="62" spans="1:36" x14ac:dyDescent="0.25">
      <c r="A62" s="1" t="s">
        <v>103</v>
      </c>
      <c r="C62" s="109">
        <f>NPV(Assumptions!D4,'1 - Marina'!D61:AF61)+'1 - Marina'!C61</f>
        <v>5435147.2201744867</v>
      </c>
      <c r="E62" s="80"/>
      <c r="AG62" s="227"/>
      <c r="AH62" s="238"/>
      <c r="AI62" s="238"/>
    </row>
    <row r="63" spans="1:36" x14ac:dyDescent="0.25">
      <c r="D63" s="80"/>
      <c r="AG63" s="227"/>
      <c r="AH63" s="238"/>
      <c r="AI63" s="238"/>
    </row>
    <row r="64" spans="1:36" x14ac:dyDescent="0.25">
      <c r="A64" s="19" t="s">
        <v>321</v>
      </c>
      <c r="D64" s="80"/>
      <c r="AG64" s="227"/>
      <c r="AH64" s="238"/>
      <c r="AI64" s="238"/>
    </row>
    <row r="65" spans="1:35" x14ac:dyDescent="0.25">
      <c r="A65" s="19" t="s">
        <v>95</v>
      </c>
      <c r="E65" s="80"/>
      <c r="AG65" s="227"/>
      <c r="AH65" s="238"/>
      <c r="AI65" s="238"/>
    </row>
    <row r="66" spans="1:35" x14ac:dyDescent="0.25">
      <c r="A66" s="19" t="s">
        <v>175</v>
      </c>
      <c r="E66" s="80"/>
      <c r="AG66" s="227"/>
      <c r="AH66" s="238"/>
      <c r="AI66" s="238"/>
    </row>
    <row r="67" spans="1:35" x14ac:dyDescent="0.25">
      <c r="A67" s="19" t="s">
        <v>259</v>
      </c>
      <c r="E67" s="80"/>
      <c r="AG67" s="227"/>
      <c r="AH67" s="238"/>
      <c r="AI67" s="238"/>
    </row>
    <row r="68" spans="1:35" x14ac:dyDescent="0.25">
      <c r="A68" s="19" t="s">
        <v>174</v>
      </c>
      <c r="AG68" s="227"/>
      <c r="AH68" s="238"/>
      <c r="AI68" s="238"/>
    </row>
    <row r="69" spans="1:35" x14ac:dyDescent="0.25">
      <c r="A69" s="19"/>
      <c r="AG69" s="227"/>
      <c r="AH69" s="238"/>
      <c r="AI69" s="238"/>
    </row>
    <row r="70" spans="1:35" ht="15.75" x14ac:dyDescent="0.25">
      <c r="A70" s="65"/>
      <c r="AG70" s="227"/>
      <c r="AH70" s="238"/>
      <c r="AI70" s="238"/>
    </row>
    <row r="71" spans="1:35" x14ac:dyDescent="0.25">
      <c r="AG71" s="227"/>
      <c r="AH71" s="238"/>
      <c r="AI71" s="238"/>
    </row>
    <row r="72" spans="1:35" x14ac:dyDescent="0.25">
      <c r="AG72" s="236"/>
      <c r="AH72" s="246"/>
      <c r="AI72" s="246"/>
    </row>
  </sheetData>
  <mergeCells count="14">
    <mergeCell ref="AS22:AS25"/>
    <mergeCell ref="AV22:AV25"/>
    <mergeCell ref="AU22:AU25"/>
    <mergeCell ref="AT21:AT25"/>
    <mergeCell ref="AO22:AO25"/>
    <mergeCell ref="AP23:AP25"/>
    <mergeCell ref="AQ23:AQ25"/>
    <mergeCell ref="B45:B46"/>
    <mergeCell ref="AR22:AR25"/>
    <mergeCell ref="C6:D6"/>
    <mergeCell ref="E6:M6"/>
    <mergeCell ref="AH10:AH12"/>
    <mergeCell ref="AM24:AM25"/>
    <mergeCell ref="AN22:AN25"/>
  </mergeCells>
  <pageMargins left="0.25" right="0.25" top="0.75" bottom="0.75" header="0.3" footer="0.3"/>
  <pageSetup scale="55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J69"/>
  <sheetViews>
    <sheetView showGridLines="0" zoomScale="85" zoomScaleNormal="85" workbookViewId="0">
      <selection activeCell="E8" sqref="E8:N8"/>
    </sheetView>
  </sheetViews>
  <sheetFormatPr defaultColWidth="8.85546875" defaultRowHeight="15" x14ac:dyDescent="0.25"/>
  <cols>
    <col min="1" max="1" width="63.28515625" customWidth="1"/>
    <col min="2" max="2" width="15.28515625" customWidth="1"/>
    <col min="3" max="32" width="13.28515625" customWidth="1"/>
    <col min="33" max="33" width="4.28515625" style="226" bestFit="1" customWidth="1"/>
    <col min="34" max="34" width="16.7109375" style="237" customWidth="1"/>
    <col min="35" max="35" width="13.85546875" customWidth="1"/>
  </cols>
  <sheetData>
    <row r="1" spans="1:36" ht="18.75" x14ac:dyDescent="0.3">
      <c r="A1" s="53" t="s">
        <v>56</v>
      </c>
    </row>
    <row r="2" spans="1:36" ht="18.75" x14ac:dyDescent="0.3">
      <c r="A2" s="54" t="s">
        <v>101</v>
      </c>
    </row>
    <row r="3" spans="1:36" ht="18.75" x14ac:dyDescent="0.3">
      <c r="A3" s="54"/>
    </row>
    <row r="4" spans="1:36" ht="18.75" x14ac:dyDescent="0.3">
      <c r="A4" s="149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6" x14ac:dyDescent="0.25">
      <c r="A5" s="52"/>
      <c r="AI5" s="264"/>
    </row>
    <row r="6" spans="1:36" x14ac:dyDescent="0.25">
      <c r="A6" s="52"/>
      <c r="B6" s="257"/>
      <c r="C6" s="449" t="s">
        <v>59</v>
      </c>
      <c r="D6" s="449"/>
      <c r="E6" s="443" t="s">
        <v>60</v>
      </c>
      <c r="F6" s="443"/>
      <c r="G6" s="443"/>
      <c r="H6" s="443"/>
      <c r="I6" s="443"/>
      <c r="J6" s="443"/>
      <c r="K6" s="443"/>
      <c r="L6" s="443"/>
      <c r="M6" s="443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I6" s="265"/>
    </row>
    <row r="7" spans="1:36" x14ac:dyDescent="0.25">
      <c r="A7" s="258" t="s">
        <v>92</v>
      </c>
      <c r="B7" s="259" t="s">
        <v>9</v>
      </c>
      <c r="C7" s="97">
        <v>201819</v>
      </c>
      <c r="D7" s="97">
        <f t="shared" ref="D7:M7" si="0">C7+101</f>
        <v>201920</v>
      </c>
      <c r="E7" s="337">
        <f t="shared" si="0"/>
        <v>202021</v>
      </c>
      <c r="F7" s="337">
        <f t="shared" si="0"/>
        <v>202122</v>
      </c>
      <c r="G7" s="337">
        <f t="shared" si="0"/>
        <v>202223</v>
      </c>
      <c r="H7" s="337">
        <f t="shared" si="0"/>
        <v>202324</v>
      </c>
      <c r="I7" s="337">
        <f t="shared" si="0"/>
        <v>202425</v>
      </c>
      <c r="J7" s="337">
        <f t="shared" si="0"/>
        <v>202526</v>
      </c>
      <c r="K7" s="337">
        <f>J7+101</f>
        <v>202627</v>
      </c>
      <c r="L7" s="337">
        <f t="shared" si="0"/>
        <v>202728</v>
      </c>
      <c r="M7" s="337">
        <f t="shared" si="0"/>
        <v>202829</v>
      </c>
      <c r="N7" s="337">
        <f t="shared" ref="N7" si="1">M7+101</f>
        <v>202930</v>
      </c>
      <c r="O7" s="337">
        <f t="shared" ref="O7" si="2">N7+101</f>
        <v>203031</v>
      </c>
      <c r="P7" s="337">
        <f t="shared" ref="P7" si="3">O7+101</f>
        <v>203132</v>
      </c>
      <c r="Q7" s="337">
        <f t="shared" ref="Q7" si="4">P7+101</f>
        <v>203233</v>
      </c>
      <c r="R7" s="337">
        <f t="shared" ref="R7" si="5">Q7+101</f>
        <v>203334</v>
      </c>
      <c r="S7" s="337">
        <f t="shared" ref="S7" si="6">R7+101</f>
        <v>203435</v>
      </c>
      <c r="T7" s="337">
        <f t="shared" ref="T7" si="7">S7+101</f>
        <v>203536</v>
      </c>
      <c r="U7" s="337">
        <f t="shared" ref="U7" si="8">T7+101</f>
        <v>203637</v>
      </c>
      <c r="V7" s="337">
        <f t="shared" ref="V7" si="9">U7+101</f>
        <v>203738</v>
      </c>
      <c r="W7" s="337">
        <f t="shared" ref="W7" si="10">V7+101</f>
        <v>203839</v>
      </c>
      <c r="X7" s="337">
        <f t="shared" ref="X7" si="11">W7+101</f>
        <v>203940</v>
      </c>
      <c r="Y7" s="337">
        <f t="shared" ref="Y7" si="12">X7+101</f>
        <v>204041</v>
      </c>
      <c r="Z7" s="337">
        <f t="shared" ref="Z7" si="13">Y7+101</f>
        <v>204142</v>
      </c>
      <c r="AA7" s="337">
        <f t="shared" ref="AA7" si="14">Z7+101</f>
        <v>204243</v>
      </c>
      <c r="AB7" s="337">
        <f t="shared" ref="AB7" si="15">AA7+101</f>
        <v>204344</v>
      </c>
      <c r="AC7" s="337">
        <f t="shared" ref="AC7" si="16">AB7+101</f>
        <v>204445</v>
      </c>
      <c r="AD7" s="337">
        <f t="shared" ref="AD7" si="17">AC7+101</f>
        <v>204546</v>
      </c>
      <c r="AE7" s="337">
        <f t="shared" ref="AE7" si="18">AD7+101</f>
        <v>204647</v>
      </c>
      <c r="AF7" s="337">
        <f t="shared" ref="AF7" si="19">AE7+101</f>
        <v>204748</v>
      </c>
      <c r="AG7" s="227"/>
      <c r="AH7" s="238"/>
      <c r="AI7" s="265"/>
    </row>
    <row r="8" spans="1:36" x14ac:dyDescent="0.25">
      <c r="A8" s="139" t="s">
        <v>43</v>
      </c>
      <c r="B8" s="260">
        <v>533000</v>
      </c>
      <c r="C8" s="247">
        <v>192</v>
      </c>
      <c r="D8" s="247">
        <v>235</v>
      </c>
      <c r="E8" s="419">
        <v>50</v>
      </c>
      <c r="F8" s="419">
        <v>60</v>
      </c>
      <c r="G8" s="419">
        <v>85</v>
      </c>
      <c r="H8" s="419">
        <v>85</v>
      </c>
      <c r="I8" s="419">
        <v>85</v>
      </c>
      <c r="J8" s="419">
        <v>54</v>
      </c>
      <c r="K8" s="419">
        <v>72</v>
      </c>
      <c r="L8" s="419">
        <v>60</v>
      </c>
      <c r="M8" s="419">
        <v>220</v>
      </c>
      <c r="N8" s="419">
        <v>220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60">
        <v>0</v>
      </c>
      <c r="AD8" s="60">
        <v>0</v>
      </c>
      <c r="AE8" s="60">
        <v>0</v>
      </c>
      <c r="AF8" s="60">
        <v>0</v>
      </c>
      <c r="AG8" s="227"/>
      <c r="AH8" s="238"/>
      <c r="AI8" s="265"/>
    </row>
    <row r="9" spans="1:36" x14ac:dyDescent="0.25">
      <c r="A9" s="139" t="s">
        <v>44</v>
      </c>
      <c r="B9" s="261">
        <v>220</v>
      </c>
      <c r="C9" s="247">
        <v>0</v>
      </c>
      <c r="D9" s="247">
        <v>23000</v>
      </c>
      <c r="E9" s="60">
        <v>0</v>
      </c>
      <c r="F9" s="60">
        <v>0</v>
      </c>
      <c r="G9" s="60">
        <v>50000</v>
      </c>
      <c r="H9" s="60">
        <v>50000</v>
      </c>
      <c r="I9" s="60">
        <v>50000</v>
      </c>
      <c r="J9" s="60">
        <v>50000</v>
      </c>
      <c r="K9" s="60">
        <v>50000</v>
      </c>
      <c r="L9" s="60">
        <v>50000</v>
      </c>
      <c r="M9" s="60">
        <v>50000</v>
      </c>
      <c r="N9" s="60">
        <v>50000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60">
        <v>0</v>
      </c>
      <c r="AD9" s="60">
        <v>0</v>
      </c>
      <c r="AE9" s="60">
        <v>0</v>
      </c>
      <c r="AF9" s="60">
        <v>0</v>
      </c>
      <c r="AG9" s="227"/>
      <c r="AH9" s="238"/>
      <c r="AI9" s="265"/>
    </row>
    <row r="10" spans="1:36" x14ac:dyDescent="0.25">
      <c r="A10" s="139" t="s">
        <v>45</v>
      </c>
      <c r="B10" s="261">
        <v>90</v>
      </c>
      <c r="C10" s="247">
        <v>0</v>
      </c>
      <c r="D10" s="247">
        <v>0</v>
      </c>
      <c r="E10" s="60">
        <v>0</v>
      </c>
      <c r="F10" s="60">
        <v>0</v>
      </c>
      <c r="G10" s="60">
        <v>0</v>
      </c>
      <c r="H10" s="60">
        <v>10000</v>
      </c>
      <c r="I10" s="60">
        <v>10000</v>
      </c>
      <c r="J10" s="60">
        <v>10000</v>
      </c>
      <c r="K10" s="60">
        <v>40000</v>
      </c>
      <c r="L10" s="60">
        <v>30000</v>
      </c>
      <c r="M10" s="60">
        <v>10000</v>
      </c>
      <c r="N10" s="60">
        <v>10000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C10" s="60">
        <v>0</v>
      </c>
      <c r="AD10" s="60">
        <v>0</v>
      </c>
      <c r="AE10" s="60">
        <v>0</v>
      </c>
      <c r="AF10" s="60">
        <v>0</v>
      </c>
      <c r="AG10" s="228"/>
      <c r="AH10" s="444" t="s">
        <v>197</v>
      </c>
      <c r="AI10" s="265"/>
    </row>
    <row r="11" spans="1:36" ht="15" customHeight="1" x14ac:dyDescent="0.25">
      <c r="A11" s="139" t="s">
        <v>46</v>
      </c>
      <c r="B11" s="261">
        <v>265</v>
      </c>
      <c r="C11" s="247">
        <v>0</v>
      </c>
      <c r="D11" s="247">
        <v>20000</v>
      </c>
      <c r="E11" s="60">
        <v>40000</v>
      </c>
      <c r="F11" s="60">
        <v>150000</v>
      </c>
      <c r="G11" s="60">
        <v>30000</v>
      </c>
      <c r="H11" s="60">
        <v>40000</v>
      </c>
      <c r="I11" s="60">
        <v>50000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60">
        <v>0</v>
      </c>
      <c r="AD11" s="60">
        <v>0</v>
      </c>
      <c r="AE11" s="60">
        <v>0</v>
      </c>
      <c r="AF11" s="60">
        <v>0</v>
      </c>
      <c r="AG11" s="228"/>
      <c r="AH11" s="444"/>
      <c r="AI11" s="143"/>
    </row>
    <row r="12" spans="1:36" ht="26.25" x14ac:dyDescent="0.25">
      <c r="A12" s="139" t="s">
        <v>47</v>
      </c>
      <c r="B12" s="262">
        <v>162000</v>
      </c>
      <c r="C12" s="249">
        <v>0</v>
      </c>
      <c r="D12" s="249">
        <v>0</v>
      </c>
      <c r="E12" s="60">
        <v>0</v>
      </c>
      <c r="F12" s="60">
        <v>600</v>
      </c>
      <c r="G12" s="60">
        <v>330</v>
      </c>
      <c r="H12" s="60">
        <v>344</v>
      </c>
      <c r="I12" s="60">
        <v>0</v>
      </c>
      <c r="J12" s="60">
        <v>0</v>
      </c>
      <c r="K12" s="60">
        <v>0</v>
      </c>
      <c r="L12" s="60">
        <v>100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60">
        <v>0</v>
      </c>
      <c r="AD12" s="60">
        <v>0</v>
      </c>
      <c r="AE12" s="60">
        <v>0</v>
      </c>
      <c r="AF12" s="60">
        <v>0</v>
      </c>
      <c r="AG12" s="228" t="s">
        <v>189</v>
      </c>
      <c r="AH12" s="444"/>
      <c r="AI12" s="152"/>
    </row>
    <row r="13" spans="1:36" x14ac:dyDescent="0.25">
      <c r="A13" s="37" t="s">
        <v>49</v>
      </c>
      <c r="B13" s="24"/>
      <c r="C13" s="318">
        <v>1622985</v>
      </c>
      <c r="D13" s="205">
        <v>165612790</v>
      </c>
      <c r="E13" s="347">
        <f>SUMPRODUCT($B$8:$B$12,E8:E12)</f>
        <v>37250000</v>
      </c>
      <c r="F13" s="302">
        <f>SUMPRODUCT($B$8:$B$12,F8:F12)</f>
        <v>168930000</v>
      </c>
      <c r="G13" s="302">
        <f t="shared" ref="G13:AF13" si="20">SUMPRODUCT($B$8:$B$12,G8:G12)</f>
        <v>117715000</v>
      </c>
      <c r="H13" s="302">
        <f t="shared" si="20"/>
        <v>123533000</v>
      </c>
      <c r="I13" s="302">
        <f t="shared" si="20"/>
        <v>70455000</v>
      </c>
      <c r="J13" s="302">
        <f t="shared" si="20"/>
        <v>40682000</v>
      </c>
      <c r="K13" s="302">
        <f t="shared" si="20"/>
        <v>52976000</v>
      </c>
      <c r="L13" s="302">
        <f t="shared" si="20"/>
        <v>61880000</v>
      </c>
      <c r="M13" s="302">
        <f t="shared" si="20"/>
        <v>129160000</v>
      </c>
      <c r="N13" s="302">
        <f t="shared" si="20"/>
        <v>129160000</v>
      </c>
      <c r="O13" s="302">
        <f t="shared" si="20"/>
        <v>0</v>
      </c>
      <c r="P13" s="302">
        <f t="shared" si="20"/>
        <v>0</v>
      </c>
      <c r="Q13" s="302">
        <f t="shared" si="20"/>
        <v>0</v>
      </c>
      <c r="R13" s="302">
        <f t="shared" si="20"/>
        <v>0</v>
      </c>
      <c r="S13" s="302">
        <f t="shared" si="20"/>
        <v>0</v>
      </c>
      <c r="T13" s="302">
        <f t="shared" si="20"/>
        <v>0</v>
      </c>
      <c r="U13" s="302">
        <f t="shared" si="20"/>
        <v>0</v>
      </c>
      <c r="V13" s="302">
        <f t="shared" si="20"/>
        <v>0</v>
      </c>
      <c r="W13" s="302">
        <f t="shared" si="20"/>
        <v>0</v>
      </c>
      <c r="X13" s="302">
        <f t="shared" si="20"/>
        <v>0</v>
      </c>
      <c r="Y13" s="302">
        <f t="shared" si="20"/>
        <v>0</v>
      </c>
      <c r="Z13" s="302">
        <f t="shared" si="20"/>
        <v>0</v>
      </c>
      <c r="AA13" s="302">
        <f t="shared" si="20"/>
        <v>0</v>
      </c>
      <c r="AB13" s="302">
        <f t="shared" si="20"/>
        <v>0</v>
      </c>
      <c r="AC13" s="302">
        <f t="shared" si="20"/>
        <v>0</v>
      </c>
      <c r="AD13" s="302">
        <f t="shared" si="20"/>
        <v>0</v>
      </c>
      <c r="AE13" s="302">
        <f t="shared" si="20"/>
        <v>0</v>
      </c>
      <c r="AF13" s="302">
        <f t="shared" si="20"/>
        <v>0</v>
      </c>
      <c r="AG13" s="229" t="s">
        <v>143</v>
      </c>
      <c r="AH13" s="239"/>
      <c r="AI13" s="143"/>
      <c r="AJ13" s="24"/>
    </row>
    <row r="14" spans="1:36" x14ac:dyDescent="0.25">
      <c r="A14" t="s">
        <v>97</v>
      </c>
      <c r="C14" s="319">
        <f>C16-C13-C15</f>
        <v>366312020.5882355</v>
      </c>
      <c r="D14" s="205">
        <f>C16</f>
        <v>375261246</v>
      </c>
      <c r="E14" s="144">
        <f>D16</f>
        <v>548379260.91999996</v>
      </c>
      <c r="F14" s="144">
        <f>E16</f>
        <v>596596846.13839996</v>
      </c>
      <c r="G14" s="144">
        <f t="shared" ref="G14:M14" si="21">F16</f>
        <v>777458783.06116796</v>
      </c>
      <c r="H14" s="144">
        <f t="shared" si="21"/>
        <v>910722958.72239137</v>
      </c>
      <c r="I14" s="144">
        <f t="shared" si="21"/>
        <v>1052470417.8968391</v>
      </c>
      <c r="J14" s="144">
        <f t="shared" si="21"/>
        <v>1143974826.254776</v>
      </c>
      <c r="K14" s="144">
        <f t="shared" si="21"/>
        <v>1207536322.7798715</v>
      </c>
      <c r="L14" s="144">
        <f t="shared" si="21"/>
        <v>1284663049.2354689</v>
      </c>
      <c r="M14" s="144">
        <f t="shared" si="21"/>
        <v>1372236310.2201781</v>
      </c>
      <c r="N14" s="144">
        <f t="shared" ref="N14" si="22">M16</f>
        <v>1528841036.4245818</v>
      </c>
      <c r="O14" s="144">
        <f t="shared" ref="O14" si="23">N16</f>
        <v>1688577857.1530733</v>
      </c>
      <c r="P14" s="144">
        <f t="shared" ref="P14" si="24">O16</f>
        <v>1722349414.2961347</v>
      </c>
      <c r="Q14" s="144">
        <f t="shared" ref="Q14" si="25">P16</f>
        <v>1756796402.5820575</v>
      </c>
      <c r="R14" s="144">
        <f t="shared" ref="R14" si="26">Q16</f>
        <v>1791932330.6336987</v>
      </c>
      <c r="S14" s="144">
        <f t="shared" ref="S14" si="27">R16</f>
        <v>1827770977.2463727</v>
      </c>
      <c r="T14" s="144">
        <f t="shared" ref="T14" si="28">S16</f>
        <v>1864326396.7913001</v>
      </c>
      <c r="U14" s="144">
        <f t="shared" ref="U14" si="29">T16</f>
        <v>1901612924.7271261</v>
      </c>
      <c r="V14" s="144">
        <f t="shared" ref="V14" si="30">U16</f>
        <v>1939645183.2216687</v>
      </c>
      <c r="W14" s="144">
        <f t="shared" ref="W14" si="31">V16</f>
        <v>1978438086.8861022</v>
      </c>
      <c r="X14" s="144">
        <f t="shared" ref="X14" si="32">W16</f>
        <v>2018006848.6238244</v>
      </c>
      <c r="Y14" s="144">
        <f t="shared" ref="Y14" si="33">X16</f>
        <v>2058366985.5963008</v>
      </c>
      <c r="Z14" s="144">
        <f t="shared" ref="Z14" si="34">Y16</f>
        <v>2099534325.3082268</v>
      </c>
      <c r="AA14" s="144">
        <f t="shared" ref="AA14" si="35">Z16</f>
        <v>2141525011.8143914</v>
      </c>
      <c r="AB14" s="144">
        <f t="shared" ref="AB14" si="36">AA16</f>
        <v>2184355512.0506792</v>
      </c>
      <c r="AC14" s="144">
        <f t="shared" ref="AC14" si="37">AB16</f>
        <v>2228042622.2916927</v>
      </c>
      <c r="AD14" s="144">
        <f t="shared" ref="AD14" si="38">AC16</f>
        <v>2272603474.7375264</v>
      </c>
      <c r="AE14" s="144">
        <f t="shared" ref="AE14" si="39">AD16</f>
        <v>2318055544.2322769</v>
      </c>
      <c r="AF14" s="144">
        <f t="shared" ref="AF14" si="40">AE16</f>
        <v>2364416655.1169224</v>
      </c>
      <c r="AG14" s="227" t="s">
        <v>145</v>
      </c>
      <c r="AH14" s="238"/>
      <c r="AI14" s="152"/>
    </row>
    <row r="15" spans="1:36" x14ac:dyDescent="0.25">
      <c r="A15" t="s">
        <v>94</v>
      </c>
      <c r="B15" s="8"/>
      <c r="C15" s="320">
        <v>7326240.4117645184</v>
      </c>
      <c r="D15" s="206">
        <f>D14*0.02</f>
        <v>7505224.9199999999</v>
      </c>
      <c r="E15" s="132">
        <f>E14*0.02</f>
        <v>10967585.2184</v>
      </c>
      <c r="F15" s="132">
        <f t="shared" ref="F15:AF15" si="41">F14*0.02</f>
        <v>11931936.922767999</v>
      </c>
      <c r="G15" s="132">
        <f t="shared" si="41"/>
        <v>15549175.661223359</v>
      </c>
      <c r="H15" s="132">
        <f t="shared" si="41"/>
        <v>18214459.174447827</v>
      </c>
      <c r="I15" s="132">
        <f t="shared" si="41"/>
        <v>21049408.357936785</v>
      </c>
      <c r="J15" s="132">
        <f t="shared" si="41"/>
        <v>22879496.525095519</v>
      </c>
      <c r="K15" s="132">
        <f t="shared" si="41"/>
        <v>24150726.45559743</v>
      </c>
      <c r="L15" s="132">
        <f t="shared" si="41"/>
        <v>25693260.984709378</v>
      </c>
      <c r="M15" s="132">
        <f t="shared" si="41"/>
        <v>27444726.204403564</v>
      </c>
      <c r="N15" s="132">
        <f t="shared" si="41"/>
        <v>30576820.728491634</v>
      </c>
      <c r="O15" s="132">
        <f t="shared" si="41"/>
        <v>33771557.143061467</v>
      </c>
      <c r="P15" s="132">
        <f t="shared" si="41"/>
        <v>34446988.285922691</v>
      </c>
      <c r="Q15" s="132">
        <f t="shared" si="41"/>
        <v>35135928.051641151</v>
      </c>
      <c r="R15" s="132">
        <f t="shared" si="41"/>
        <v>35838646.612673976</v>
      </c>
      <c r="S15" s="132">
        <f t="shared" si="41"/>
        <v>36555419.544927455</v>
      </c>
      <c r="T15" s="132">
        <f t="shared" si="41"/>
        <v>37286527.935826004</v>
      </c>
      <c r="U15" s="132">
        <f t="shared" si="41"/>
        <v>38032258.494542524</v>
      </c>
      <c r="V15" s="132">
        <f t="shared" si="41"/>
        <v>38792903.664433375</v>
      </c>
      <c r="W15" s="132">
        <f t="shared" si="41"/>
        <v>39568761.737722047</v>
      </c>
      <c r="X15" s="132">
        <f t="shared" si="41"/>
        <v>40360136.97247649</v>
      </c>
      <c r="Y15" s="132">
        <f t="shared" si="41"/>
        <v>41167339.711926021</v>
      </c>
      <c r="Z15" s="132">
        <f t="shared" si="41"/>
        <v>41990686.506164536</v>
      </c>
      <c r="AA15" s="132">
        <f t="shared" si="41"/>
        <v>42830500.236287825</v>
      </c>
      <c r="AB15" s="132">
        <f t="shared" si="41"/>
        <v>43687110.241013587</v>
      </c>
      <c r="AC15" s="132">
        <f t="shared" si="41"/>
        <v>44560852.445833854</v>
      </c>
      <c r="AD15" s="132">
        <f t="shared" si="41"/>
        <v>45452069.49475053</v>
      </c>
      <c r="AE15" s="132">
        <f t="shared" si="41"/>
        <v>46361110.884645537</v>
      </c>
      <c r="AF15" s="132">
        <f t="shared" si="41"/>
        <v>47288333.102338448</v>
      </c>
      <c r="AG15" s="227" t="s">
        <v>146</v>
      </c>
      <c r="AH15" s="238"/>
      <c r="AI15" s="152"/>
    </row>
    <row r="16" spans="1:36" x14ac:dyDescent="0.25">
      <c r="A16" t="s">
        <v>203</v>
      </c>
      <c r="C16" s="82">
        <f>C20/B20</f>
        <v>375261246</v>
      </c>
      <c r="D16" s="207">
        <f t="shared" ref="D16:AF16" si="42">D13+D14+D15</f>
        <v>548379260.91999996</v>
      </c>
      <c r="E16" s="82">
        <f t="shared" si="42"/>
        <v>596596846.13839996</v>
      </c>
      <c r="F16" s="82">
        <f t="shared" si="42"/>
        <v>777458783.06116796</v>
      </c>
      <c r="G16" s="82">
        <f t="shared" si="42"/>
        <v>910722958.72239137</v>
      </c>
      <c r="H16" s="82">
        <f t="shared" si="42"/>
        <v>1052470417.8968391</v>
      </c>
      <c r="I16" s="82">
        <f t="shared" si="42"/>
        <v>1143974826.254776</v>
      </c>
      <c r="J16" s="82">
        <f t="shared" si="42"/>
        <v>1207536322.7798715</v>
      </c>
      <c r="K16" s="82">
        <f t="shared" si="42"/>
        <v>1284663049.2354689</v>
      </c>
      <c r="L16" s="82">
        <f t="shared" si="42"/>
        <v>1372236310.2201781</v>
      </c>
      <c r="M16" s="82">
        <f t="shared" si="42"/>
        <v>1528841036.4245818</v>
      </c>
      <c r="N16" s="82">
        <f t="shared" si="42"/>
        <v>1688577857.1530733</v>
      </c>
      <c r="O16" s="82">
        <f t="shared" si="42"/>
        <v>1722349414.2961347</v>
      </c>
      <c r="P16" s="82">
        <f t="shared" si="42"/>
        <v>1756796402.5820575</v>
      </c>
      <c r="Q16" s="82">
        <f t="shared" si="42"/>
        <v>1791932330.6336987</v>
      </c>
      <c r="R16" s="82">
        <f t="shared" si="42"/>
        <v>1827770977.2463727</v>
      </c>
      <c r="S16" s="82">
        <f t="shared" si="42"/>
        <v>1864326396.7913001</v>
      </c>
      <c r="T16" s="82">
        <f t="shared" si="42"/>
        <v>1901612924.7271261</v>
      </c>
      <c r="U16" s="82">
        <f t="shared" si="42"/>
        <v>1939645183.2216687</v>
      </c>
      <c r="V16" s="82">
        <f t="shared" si="42"/>
        <v>1978438086.8861022</v>
      </c>
      <c r="W16" s="82">
        <f t="shared" si="42"/>
        <v>2018006848.6238244</v>
      </c>
      <c r="X16" s="82">
        <f t="shared" si="42"/>
        <v>2058366985.5963008</v>
      </c>
      <c r="Y16" s="82">
        <f t="shared" si="42"/>
        <v>2099534325.3082268</v>
      </c>
      <c r="Z16" s="82">
        <f t="shared" si="42"/>
        <v>2141525011.8143914</v>
      </c>
      <c r="AA16" s="82">
        <f t="shared" si="42"/>
        <v>2184355512.0506792</v>
      </c>
      <c r="AB16" s="82">
        <f t="shared" si="42"/>
        <v>2228042622.2916927</v>
      </c>
      <c r="AC16" s="82">
        <f t="shared" si="42"/>
        <v>2272603474.7375264</v>
      </c>
      <c r="AD16" s="82">
        <f t="shared" si="42"/>
        <v>2318055544.2322769</v>
      </c>
      <c r="AE16" s="82">
        <f t="shared" si="42"/>
        <v>2364416655.1169224</v>
      </c>
      <c r="AF16" s="82">
        <f t="shared" si="42"/>
        <v>2411704988.2192607</v>
      </c>
      <c r="AG16" s="230" t="s">
        <v>176</v>
      </c>
      <c r="AH16" s="240" t="s">
        <v>190</v>
      </c>
      <c r="AI16" s="152"/>
    </row>
    <row r="17" spans="1:35" x14ac:dyDescent="0.25">
      <c r="A17" t="s">
        <v>12</v>
      </c>
      <c r="C17" s="146">
        <f t="shared" ref="C17:AF17" si="43">-$B$6</f>
        <v>0</v>
      </c>
      <c r="D17" s="208">
        <f t="shared" si="43"/>
        <v>0</v>
      </c>
      <c r="E17" s="56">
        <f t="shared" si="43"/>
        <v>0</v>
      </c>
      <c r="F17" s="56">
        <f t="shared" si="43"/>
        <v>0</v>
      </c>
      <c r="G17" s="56">
        <f t="shared" si="43"/>
        <v>0</v>
      </c>
      <c r="H17" s="56">
        <f t="shared" si="43"/>
        <v>0</v>
      </c>
      <c r="I17" s="56">
        <f t="shared" si="43"/>
        <v>0</v>
      </c>
      <c r="J17" s="56">
        <f t="shared" si="43"/>
        <v>0</v>
      </c>
      <c r="K17" s="56">
        <f t="shared" si="43"/>
        <v>0</v>
      </c>
      <c r="L17" s="56">
        <f t="shared" si="43"/>
        <v>0</v>
      </c>
      <c r="M17" s="56">
        <f t="shared" si="43"/>
        <v>0</v>
      </c>
      <c r="N17" s="56">
        <f t="shared" si="43"/>
        <v>0</v>
      </c>
      <c r="O17" s="56">
        <f t="shared" si="43"/>
        <v>0</v>
      </c>
      <c r="P17" s="56">
        <f t="shared" si="43"/>
        <v>0</v>
      </c>
      <c r="Q17" s="56">
        <f t="shared" si="43"/>
        <v>0</v>
      </c>
      <c r="R17" s="56">
        <f t="shared" si="43"/>
        <v>0</v>
      </c>
      <c r="S17" s="56">
        <f t="shared" si="43"/>
        <v>0</v>
      </c>
      <c r="T17" s="56">
        <f t="shared" si="43"/>
        <v>0</v>
      </c>
      <c r="U17" s="56">
        <f t="shared" si="43"/>
        <v>0</v>
      </c>
      <c r="V17" s="56">
        <f t="shared" si="43"/>
        <v>0</v>
      </c>
      <c r="W17" s="56">
        <f t="shared" si="43"/>
        <v>0</v>
      </c>
      <c r="X17" s="56">
        <f t="shared" si="43"/>
        <v>0</v>
      </c>
      <c r="Y17" s="56">
        <f t="shared" si="43"/>
        <v>0</v>
      </c>
      <c r="Z17" s="56">
        <f t="shared" si="43"/>
        <v>0</v>
      </c>
      <c r="AA17" s="56">
        <f t="shared" si="43"/>
        <v>0</v>
      </c>
      <c r="AB17" s="56">
        <f t="shared" si="43"/>
        <v>0</v>
      </c>
      <c r="AC17" s="56">
        <f t="shared" si="43"/>
        <v>0</v>
      </c>
      <c r="AD17" s="56">
        <f t="shared" si="43"/>
        <v>0</v>
      </c>
      <c r="AE17" s="56">
        <f t="shared" si="43"/>
        <v>0</v>
      </c>
      <c r="AF17" s="56">
        <f t="shared" si="43"/>
        <v>0</v>
      </c>
      <c r="AG17" s="227" t="s">
        <v>144</v>
      </c>
      <c r="AH17" s="238" t="s">
        <v>144</v>
      </c>
      <c r="AI17" s="152"/>
    </row>
    <row r="18" spans="1:35" x14ac:dyDescent="0.25">
      <c r="A18" s="1" t="s">
        <v>51</v>
      </c>
      <c r="C18" s="96">
        <f>C20/B20</f>
        <v>375261246</v>
      </c>
      <c r="D18" s="209">
        <f t="shared" ref="D18:AF18" si="44">SUM(D16:D17)</f>
        <v>548379260.91999996</v>
      </c>
      <c r="E18" s="70">
        <f t="shared" si="44"/>
        <v>596596846.13839996</v>
      </c>
      <c r="F18" s="70">
        <f t="shared" si="44"/>
        <v>777458783.06116796</v>
      </c>
      <c r="G18" s="70">
        <f t="shared" si="44"/>
        <v>910722958.72239137</v>
      </c>
      <c r="H18" s="70">
        <f t="shared" si="44"/>
        <v>1052470417.8968391</v>
      </c>
      <c r="I18" s="70">
        <f t="shared" si="44"/>
        <v>1143974826.254776</v>
      </c>
      <c r="J18" s="70">
        <f t="shared" si="44"/>
        <v>1207536322.7798715</v>
      </c>
      <c r="K18" s="70">
        <f t="shared" si="44"/>
        <v>1284663049.2354689</v>
      </c>
      <c r="L18" s="70">
        <f t="shared" si="44"/>
        <v>1372236310.2201781</v>
      </c>
      <c r="M18" s="70">
        <f t="shared" si="44"/>
        <v>1528841036.4245818</v>
      </c>
      <c r="N18" s="70">
        <f t="shared" si="44"/>
        <v>1688577857.1530733</v>
      </c>
      <c r="O18" s="70">
        <f t="shared" si="44"/>
        <v>1722349414.2961347</v>
      </c>
      <c r="P18" s="70">
        <f t="shared" si="44"/>
        <v>1756796402.5820575</v>
      </c>
      <c r="Q18" s="70">
        <f t="shared" si="44"/>
        <v>1791932330.6336987</v>
      </c>
      <c r="R18" s="70">
        <f t="shared" si="44"/>
        <v>1827770977.2463727</v>
      </c>
      <c r="S18" s="70">
        <f t="shared" si="44"/>
        <v>1864326396.7913001</v>
      </c>
      <c r="T18" s="70">
        <f t="shared" si="44"/>
        <v>1901612924.7271261</v>
      </c>
      <c r="U18" s="70">
        <f t="shared" si="44"/>
        <v>1939645183.2216687</v>
      </c>
      <c r="V18" s="70">
        <f t="shared" si="44"/>
        <v>1978438086.8861022</v>
      </c>
      <c r="W18" s="70">
        <f t="shared" si="44"/>
        <v>2018006848.6238244</v>
      </c>
      <c r="X18" s="70">
        <f t="shared" si="44"/>
        <v>2058366985.5963008</v>
      </c>
      <c r="Y18" s="70">
        <f t="shared" si="44"/>
        <v>2099534325.3082268</v>
      </c>
      <c r="Z18" s="70">
        <f t="shared" si="44"/>
        <v>2141525011.8143914</v>
      </c>
      <c r="AA18" s="70">
        <f t="shared" si="44"/>
        <v>2184355512.0506792</v>
      </c>
      <c r="AB18" s="70">
        <f t="shared" si="44"/>
        <v>2228042622.2916927</v>
      </c>
      <c r="AC18" s="70">
        <f t="shared" si="44"/>
        <v>2272603474.7375264</v>
      </c>
      <c r="AD18" s="70">
        <f t="shared" si="44"/>
        <v>2318055544.2322769</v>
      </c>
      <c r="AE18" s="70">
        <f t="shared" si="44"/>
        <v>2364416655.1169224</v>
      </c>
      <c r="AF18" s="70">
        <f t="shared" si="44"/>
        <v>2411704988.2192607</v>
      </c>
      <c r="AG18" s="227" t="s">
        <v>177</v>
      </c>
      <c r="AH18" s="238" t="s">
        <v>191</v>
      </c>
      <c r="AI18" s="152"/>
    </row>
    <row r="19" spans="1:35" ht="8.1" customHeight="1" x14ac:dyDescent="0.25">
      <c r="C19" s="82"/>
      <c r="D19" s="207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227"/>
      <c r="AH19" s="238"/>
      <c r="AI19" s="152"/>
    </row>
    <row r="20" spans="1:35" x14ac:dyDescent="0.25">
      <c r="A20" t="s">
        <v>42</v>
      </c>
      <c r="B20" s="253">
        <v>0.01</v>
      </c>
      <c r="C20" s="82">
        <f>440.8+3752171.66</f>
        <v>3752612.46</v>
      </c>
      <c r="D20" s="207">
        <f>D18*B20</f>
        <v>5483792.6091999998</v>
      </c>
      <c r="E20" s="68">
        <f t="shared" ref="E20:L20" si="45">1%*E18</f>
        <v>5965968.4613839993</v>
      </c>
      <c r="F20" s="68">
        <f t="shared" si="45"/>
        <v>7774587.8306116797</v>
      </c>
      <c r="G20" s="68">
        <f t="shared" si="45"/>
        <v>9107229.5872239135</v>
      </c>
      <c r="H20" s="68">
        <f t="shared" si="45"/>
        <v>10524704.178968392</v>
      </c>
      <c r="I20" s="68">
        <f t="shared" si="45"/>
        <v>11439748.262547759</v>
      </c>
      <c r="J20" s="68">
        <f t="shared" si="45"/>
        <v>12075363.227798715</v>
      </c>
      <c r="K20" s="68">
        <f t="shared" si="45"/>
        <v>12846630.492354689</v>
      </c>
      <c r="L20" s="68">
        <f t="shared" si="45"/>
        <v>13722363.102201782</v>
      </c>
      <c r="M20" s="68">
        <f>1%*M18</f>
        <v>15288410.364245817</v>
      </c>
      <c r="N20" s="68">
        <f t="shared" ref="N20:AF20" si="46">1%*N18</f>
        <v>16885778.571530733</v>
      </c>
      <c r="O20" s="68">
        <f t="shared" si="46"/>
        <v>17223494.142961346</v>
      </c>
      <c r="P20" s="68">
        <f t="shared" si="46"/>
        <v>17567964.025820576</v>
      </c>
      <c r="Q20" s="68">
        <f t="shared" si="46"/>
        <v>17919323.306336988</v>
      </c>
      <c r="R20" s="68">
        <f t="shared" si="46"/>
        <v>18277709.772463728</v>
      </c>
      <c r="S20" s="68">
        <f t="shared" si="46"/>
        <v>18643263.967913002</v>
      </c>
      <c r="T20" s="68">
        <f t="shared" si="46"/>
        <v>19016129.247271262</v>
      </c>
      <c r="U20" s="68">
        <f t="shared" si="46"/>
        <v>19396451.832216688</v>
      </c>
      <c r="V20" s="68">
        <f t="shared" si="46"/>
        <v>19784380.868861023</v>
      </c>
      <c r="W20" s="68">
        <f t="shared" si="46"/>
        <v>20180068.486238245</v>
      </c>
      <c r="X20" s="68">
        <f t="shared" si="46"/>
        <v>20583669.85596301</v>
      </c>
      <c r="Y20" s="68">
        <f t="shared" si="46"/>
        <v>20995343.253082268</v>
      </c>
      <c r="Z20" s="68">
        <f t="shared" si="46"/>
        <v>21415250.118143912</v>
      </c>
      <c r="AA20" s="68">
        <f t="shared" si="46"/>
        <v>21843555.120506793</v>
      </c>
      <c r="AB20" s="68">
        <f t="shared" si="46"/>
        <v>22280426.222916927</v>
      </c>
      <c r="AC20" s="68">
        <f t="shared" si="46"/>
        <v>22726034.747375265</v>
      </c>
      <c r="AD20" s="68">
        <f t="shared" si="46"/>
        <v>23180555.442322768</v>
      </c>
      <c r="AE20" s="68">
        <f t="shared" si="46"/>
        <v>23644166.551169224</v>
      </c>
      <c r="AF20" s="68">
        <f t="shared" si="46"/>
        <v>24117049.882192608</v>
      </c>
      <c r="AG20" s="227" t="s">
        <v>178</v>
      </c>
      <c r="AH20" s="240" t="s">
        <v>192</v>
      </c>
      <c r="AI20" s="152"/>
    </row>
    <row r="21" spans="1:35" x14ac:dyDescent="0.25">
      <c r="A21" t="s">
        <v>41</v>
      </c>
      <c r="B21" s="176">
        <v>0.2</v>
      </c>
      <c r="C21" s="173">
        <f t="shared" ref="C21:L21" si="47">-$B21*C20</f>
        <v>-750522.49200000009</v>
      </c>
      <c r="D21" s="207">
        <f t="shared" si="47"/>
        <v>-1096758.5218400001</v>
      </c>
      <c r="E21" s="69">
        <f t="shared" si="47"/>
        <v>-1193193.6922767998</v>
      </c>
      <c r="F21" s="69">
        <f t="shared" si="47"/>
        <v>-1554917.5661223361</v>
      </c>
      <c r="G21" s="69">
        <f t="shared" si="47"/>
        <v>-1821445.9174447828</v>
      </c>
      <c r="H21" s="69">
        <f t="shared" si="47"/>
        <v>-2104940.8357936786</v>
      </c>
      <c r="I21" s="69">
        <f t="shared" si="47"/>
        <v>-2287949.652509552</v>
      </c>
      <c r="J21" s="69">
        <f t="shared" si="47"/>
        <v>-2415072.645559743</v>
      </c>
      <c r="K21" s="69">
        <f t="shared" si="47"/>
        <v>-2569326.0984709379</v>
      </c>
      <c r="L21" s="69">
        <f t="shared" si="47"/>
        <v>-2744472.6204403564</v>
      </c>
      <c r="M21" s="69">
        <f>-$B21*M20</f>
        <v>-3057682.0728491638</v>
      </c>
      <c r="N21" s="69">
        <f t="shared" ref="N21:AF21" si="48">-$B21*N20</f>
        <v>-3377155.7143061468</v>
      </c>
      <c r="O21" s="69">
        <f t="shared" si="48"/>
        <v>-3444698.8285922692</v>
      </c>
      <c r="P21" s="69">
        <f t="shared" si="48"/>
        <v>-3513592.8051641155</v>
      </c>
      <c r="Q21" s="69">
        <f t="shared" si="48"/>
        <v>-3583864.6612673979</v>
      </c>
      <c r="R21" s="69">
        <f t="shared" si="48"/>
        <v>-3655541.9544927459</v>
      </c>
      <c r="S21" s="69">
        <f t="shared" si="48"/>
        <v>-3728652.7935826005</v>
      </c>
      <c r="T21" s="69">
        <f t="shared" si="48"/>
        <v>-3803225.8494542525</v>
      </c>
      <c r="U21" s="69">
        <f t="shared" si="48"/>
        <v>-3879290.3664433379</v>
      </c>
      <c r="V21" s="69">
        <f t="shared" si="48"/>
        <v>-3956876.1737722047</v>
      </c>
      <c r="W21" s="69">
        <f t="shared" si="48"/>
        <v>-4036013.6972476491</v>
      </c>
      <c r="X21" s="69">
        <f t="shared" si="48"/>
        <v>-4116733.9711926021</v>
      </c>
      <c r="Y21" s="69">
        <f t="shared" si="48"/>
        <v>-4199068.650616454</v>
      </c>
      <c r="Z21" s="69">
        <f t="shared" si="48"/>
        <v>-4283050.0236287825</v>
      </c>
      <c r="AA21" s="69">
        <f t="shared" si="48"/>
        <v>-4368711.0241013588</v>
      </c>
      <c r="AB21" s="69">
        <f t="shared" si="48"/>
        <v>-4456085.244583386</v>
      </c>
      <c r="AC21" s="69">
        <f t="shared" si="48"/>
        <v>-4545206.9494750528</v>
      </c>
      <c r="AD21" s="69">
        <f t="shared" si="48"/>
        <v>-4636111.0884645535</v>
      </c>
      <c r="AE21" s="69">
        <f t="shared" si="48"/>
        <v>-4728833.3102338454</v>
      </c>
      <c r="AF21" s="69">
        <f t="shared" si="48"/>
        <v>-4823409.9764385214</v>
      </c>
      <c r="AG21" s="231" t="s">
        <v>179</v>
      </c>
      <c r="AH21" s="241" t="s">
        <v>193</v>
      </c>
      <c r="AI21" s="152"/>
    </row>
    <row r="22" spans="1:35" x14ac:dyDescent="0.25">
      <c r="A22" s="1" t="s">
        <v>69</v>
      </c>
      <c r="B22" s="254"/>
      <c r="C22" s="204">
        <f>C20+C21</f>
        <v>3002089.9679999999</v>
      </c>
      <c r="D22" s="210">
        <f t="shared" ref="D22:AF22" si="49">D20+D21</f>
        <v>4387034.0873600002</v>
      </c>
      <c r="E22" s="71">
        <f t="shared" si="49"/>
        <v>4772774.7691071993</v>
      </c>
      <c r="F22" s="71">
        <f t="shared" si="49"/>
        <v>6219670.2644893434</v>
      </c>
      <c r="G22" s="71">
        <f t="shared" si="49"/>
        <v>7285783.6697791312</v>
      </c>
      <c r="H22" s="71">
        <f t="shared" si="49"/>
        <v>8419763.3431747146</v>
      </c>
      <c r="I22" s="71">
        <f t="shared" si="49"/>
        <v>9151798.6100382078</v>
      </c>
      <c r="J22" s="71">
        <f t="shared" si="49"/>
        <v>9660290.5822389722</v>
      </c>
      <c r="K22" s="71">
        <f t="shared" si="49"/>
        <v>10277304.393883752</v>
      </c>
      <c r="L22" s="71">
        <f t="shared" si="49"/>
        <v>10977890.481761426</v>
      </c>
      <c r="M22" s="71">
        <f t="shared" si="49"/>
        <v>12230728.291396653</v>
      </c>
      <c r="N22" s="71">
        <f t="shared" si="49"/>
        <v>13508622.857224587</v>
      </c>
      <c r="O22" s="71">
        <f t="shared" si="49"/>
        <v>13778795.314369077</v>
      </c>
      <c r="P22" s="71">
        <f t="shared" si="49"/>
        <v>14054371.22065646</v>
      </c>
      <c r="Q22" s="71">
        <f t="shared" si="49"/>
        <v>14335458.64506959</v>
      </c>
      <c r="R22" s="71">
        <f t="shared" si="49"/>
        <v>14622167.817970982</v>
      </c>
      <c r="S22" s="71">
        <f t="shared" si="49"/>
        <v>14914611.174330402</v>
      </c>
      <c r="T22" s="71">
        <f t="shared" si="49"/>
        <v>15212903.39781701</v>
      </c>
      <c r="U22" s="71">
        <f t="shared" si="49"/>
        <v>15517161.46577335</v>
      </c>
      <c r="V22" s="71">
        <f t="shared" si="49"/>
        <v>15827504.695088819</v>
      </c>
      <c r="W22" s="71">
        <f t="shared" si="49"/>
        <v>16144054.788990596</v>
      </c>
      <c r="X22" s="71">
        <f t="shared" si="49"/>
        <v>16466935.884770408</v>
      </c>
      <c r="Y22" s="71">
        <f t="shared" si="49"/>
        <v>16796274.602465816</v>
      </c>
      <c r="Z22" s="71">
        <f t="shared" si="49"/>
        <v>17132200.09451513</v>
      </c>
      <c r="AA22" s="71">
        <f t="shared" si="49"/>
        <v>17474844.096405435</v>
      </c>
      <c r="AB22" s="71">
        <f t="shared" si="49"/>
        <v>17824340.97833354</v>
      </c>
      <c r="AC22" s="71">
        <f t="shared" si="49"/>
        <v>18180827.797900211</v>
      </c>
      <c r="AD22" s="71">
        <f t="shared" si="49"/>
        <v>18544444.353858214</v>
      </c>
      <c r="AE22" s="71">
        <f t="shared" si="49"/>
        <v>18915333.240935378</v>
      </c>
      <c r="AF22" s="71">
        <f t="shared" si="49"/>
        <v>19293639.905754086</v>
      </c>
      <c r="AG22" s="227" t="s">
        <v>180</v>
      </c>
      <c r="AH22" s="238" t="s">
        <v>150</v>
      </c>
      <c r="AI22" s="152"/>
    </row>
    <row r="23" spans="1:35" ht="8.1" customHeight="1" x14ac:dyDescent="0.25">
      <c r="A23" s="1"/>
      <c r="B23" s="254"/>
      <c r="C23" s="82"/>
      <c r="D23" s="207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227"/>
      <c r="AH23" s="238"/>
      <c r="AI23" s="152"/>
    </row>
    <row r="24" spans="1:35" x14ac:dyDescent="0.25">
      <c r="A24" s="1" t="s">
        <v>222</v>
      </c>
      <c r="B24" s="255"/>
      <c r="C24" s="82"/>
      <c r="D24" s="207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227"/>
      <c r="AH24" s="240"/>
      <c r="AI24" s="152"/>
    </row>
    <row r="25" spans="1:35" x14ac:dyDescent="0.25">
      <c r="A25" s="19" t="s">
        <v>220</v>
      </c>
      <c r="B25" s="255">
        <v>0.25</v>
      </c>
      <c r="C25" s="82"/>
      <c r="D25" s="207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227"/>
      <c r="AH25" s="240"/>
      <c r="AI25" s="152"/>
    </row>
    <row r="26" spans="1:35" x14ac:dyDescent="0.25">
      <c r="A26" t="s">
        <v>218</v>
      </c>
      <c r="B26" s="255">
        <v>0.41253499999999999</v>
      </c>
      <c r="C26" s="82">
        <f>-$B$26*C$22*$B$25</f>
        <v>-309616.79623722</v>
      </c>
      <c r="D26" s="207">
        <f t="shared" ref="D26:L26" si="50">-$B$26*D$22*$B$25</f>
        <v>-452451.27680726442</v>
      </c>
      <c r="E26" s="68">
        <f t="shared" si="50"/>
        <v>-492234.15984340961</v>
      </c>
      <c r="F26" s="68">
        <f t="shared" si="50"/>
        <v>-641457.91814027785</v>
      </c>
      <c r="G26" s="68">
        <f t="shared" si="50"/>
        <v>-751410.19155308348</v>
      </c>
      <c r="H26" s="68">
        <f t="shared" si="50"/>
        <v>-868361.76769414521</v>
      </c>
      <c r="I26" s="68">
        <f t="shared" si="50"/>
        <v>-943859.30989802803</v>
      </c>
      <c r="J26" s="68">
        <f t="shared" si="50"/>
        <v>-996301.99383598857</v>
      </c>
      <c r="K26" s="68">
        <f t="shared" si="50"/>
        <v>-1059936.9420327083</v>
      </c>
      <c r="L26" s="68">
        <f t="shared" si="50"/>
        <v>-1132191.0124733625</v>
      </c>
      <c r="M26" s="68">
        <f>-$B$26*M$22*$B$25</f>
        <v>-1261400.8739228295</v>
      </c>
      <c r="N26" s="68">
        <f t="shared" ref="N26:AF26" si="51">-$B$26*N$22*$B$25</f>
        <v>-1393194.9326012863</v>
      </c>
      <c r="O26" s="68">
        <f t="shared" si="51"/>
        <v>-1421058.8312533118</v>
      </c>
      <c r="P26" s="68">
        <f t="shared" si="51"/>
        <v>-1449480.007878378</v>
      </c>
      <c r="Q26" s="68">
        <f t="shared" si="51"/>
        <v>-1478469.6080359458</v>
      </c>
      <c r="R26" s="68">
        <f t="shared" si="51"/>
        <v>-1508039.0001966646</v>
      </c>
      <c r="S26" s="68">
        <f t="shared" si="51"/>
        <v>-1538199.7802005981</v>
      </c>
      <c r="T26" s="68">
        <f t="shared" si="51"/>
        <v>-1568963.77580461</v>
      </c>
      <c r="U26" s="68">
        <f t="shared" si="51"/>
        <v>-1600343.0513207021</v>
      </c>
      <c r="V26" s="68">
        <f t="shared" si="51"/>
        <v>-1632349.9123471165</v>
      </c>
      <c r="W26" s="68">
        <f t="shared" si="51"/>
        <v>-1664996.9105940589</v>
      </c>
      <c r="X26" s="68">
        <f t="shared" si="51"/>
        <v>-1698296.84880594</v>
      </c>
      <c r="Y26" s="68">
        <f t="shared" si="51"/>
        <v>-1732262.7857820587</v>
      </c>
      <c r="Z26" s="68">
        <f t="shared" si="51"/>
        <v>-1766908.0414976997</v>
      </c>
      <c r="AA26" s="68">
        <f t="shared" si="51"/>
        <v>-1802246.202327654</v>
      </c>
      <c r="AB26" s="68">
        <f t="shared" si="51"/>
        <v>-1838291.1263742067</v>
      </c>
      <c r="AC26" s="68">
        <f t="shared" si="51"/>
        <v>-1875056.9489016908</v>
      </c>
      <c r="AD26" s="68">
        <f t="shared" si="51"/>
        <v>-1912558.0878797246</v>
      </c>
      <c r="AE26" s="68">
        <f t="shared" si="51"/>
        <v>-1950809.249637319</v>
      </c>
      <c r="AF26" s="68">
        <f t="shared" si="51"/>
        <v>-1989825.4346300655</v>
      </c>
      <c r="AG26" s="227" t="s">
        <v>224</v>
      </c>
      <c r="AH26" s="240" t="s">
        <v>256</v>
      </c>
      <c r="AI26" s="152"/>
    </row>
    <row r="27" spans="1:35" x14ac:dyDescent="0.25">
      <c r="A27" t="s">
        <v>219</v>
      </c>
      <c r="B27" s="255">
        <v>4.4551E-2</v>
      </c>
      <c r="C27" s="82">
        <f>-$B$27*C$22*$B$25</f>
        <v>-33436.527541092</v>
      </c>
      <c r="D27" s="207">
        <f t="shared" ref="D27:AF27" si="52">-$B$27*D$22*$B$25</f>
        <v>-48861.688906493844</v>
      </c>
      <c r="E27" s="68">
        <f t="shared" si="52"/>
        <v>-53157.972184623708</v>
      </c>
      <c r="F27" s="68">
        <f t="shared" si="52"/>
        <v>-69273.132488316187</v>
      </c>
      <c r="G27" s="68">
        <f t="shared" si="52"/>
        <v>-81147.237068082526</v>
      </c>
      <c r="H27" s="68">
        <f t="shared" si="52"/>
        <v>-93777.219175444174</v>
      </c>
      <c r="I27" s="68">
        <f t="shared" si="52"/>
        <v>-101930.44496895304</v>
      </c>
      <c r="J27" s="68">
        <f t="shared" si="52"/>
        <v>-107593.90143233212</v>
      </c>
      <c r="K27" s="68">
        <f t="shared" si="52"/>
        <v>-114466.04701297876</v>
      </c>
      <c r="L27" s="68">
        <f t="shared" si="52"/>
        <v>-122268.99971323831</v>
      </c>
      <c r="M27" s="68">
        <f t="shared" si="52"/>
        <v>-136222.79402750309</v>
      </c>
      <c r="N27" s="68">
        <f t="shared" si="52"/>
        <v>-150455.66422805315</v>
      </c>
      <c r="O27" s="68">
        <f t="shared" si="52"/>
        <v>-153464.77751261418</v>
      </c>
      <c r="P27" s="68">
        <f t="shared" si="52"/>
        <v>-156534.07306286649</v>
      </c>
      <c r="Q27" s="68">
        <f t="shared" si="52"/>
        <v>-159664.75452412383</v>
      </c>
      <c r="R27" s="68">
        <f t="shared" si="52"/>
        <v>-162858.04961460631</v>
      </c>
      <c r="S27" s="68">
        <f t="shared" si="52"/>
        <v>-166115.21060689844</v>
      </c>
      <c r="T27" s="68">
        <f t="shared" si="52"/>
        <v>-169437.51481903641</v>
      </c>
      <c r="U27" s="68">
        <f t="shared" si="52"/>
        <v>-172826.26511541713</v>
      </c>
      <c r="V27" s="68">
        <f t="shared" si="52"/>
        <v>-176282.79041772548</v>
      </c>
      <c r="W27" s="68">
        <f t="shared" si="52"/>
        <v>-179808.44622608001</v>
      </c>
      <c r="X27" s="68">
        <f t="shared" si="52"/>
        <v>-183404.6151506016</v>
      </c>
      <c r="Y27" s="68">
        <f t="shared" si="52"/>
        <v>-187072.70745361364</v>
      </c>
      <c r="Z27" s="68">
        <f t="shared" si="52"/>
        <v>-190814.1616026859</v>
      </c>
      <c r="AA27" s="68">
        <f t="shared" si="52"/>
        <v>-194630.44483473964</v>
      </c>
      <c r="AB27" s="68">
        <f t="shared" si="52"/>
        <v>-198523.0537314344</v>
      </c>
      <c r="AC27" s="68">
        <f t="shared" si="52"/>
        <v>-202493.51480606309</v>
      </c>
      <c r="AD27" s="68">
        <f t="shared" si="52"/>
        <v>-206543.38510218431</v>
      </c>
      <c r="AE27" s="68">
        <f t="shared" si="52"/>
        <v>-210674.25280422802</v>
      </c>
      <c r="AF27" s="68">
        <f t="shared" si="52"/>
        <v>-214887.73786031257</v>
      </c>
      <c r="AG27" s="227" t="s">
        <v>225</v>
      </c>
      <c r="AH27" s="240" t="s">
        <v>257</v>
      </c>
      <c r="AI27" s="152"/>
    </row>
    <row r="28" spans="1:35" ht="26.25" x14ac:dyDescent="0.25">
      <c r="A28" s="322" t="s">
        <v>234</v>
      </c>
      <c r="B28" s="255"/>
      <c r="C28" s="82">
        <f>(C20-(8009.1+2870848.25))*0.8</f>
        <v>699004.08799999999</v>
      </c>
      <c r="D28" s="207">
        <f t="shared" ref="D28:AF28" si="53">(D20-(8009.1+2870848.25))*0.8</f>
        <v>2083948.2073599999</v>
      </c>
      <c r="E28" s="68">
        <f t="shared" si="53"/>
        <v>2469688.8891071994</v>
      </c>
      <c r="F28" s="68">
        <f t="shared" si="53"/>
        <v>3916584.3844893444</v>
      </c>
      <c r="G28" s="68">
        <f t="shared" si="53"/>
        <v>4982697.7897791313</v>
      </c>
      <c r="H28" s="68">
        <f t="shared" si="53"/>
        <v>6116677.4631747147</v>
      </c>
      <c r="I28" s="68">
        <f t="shared" si="53"/>
        <v>6848712.730038208</v>
      </c>
      <c r="J28" s="68">
        <f t="shared" si="53"/>
        <v>7357204.7022389732</v>
      </c>
      <c r="K28" s="68">
        <f t="shared" si="53"/>
        <v>7974218.5138837518</v>
      </c>
      <c r="L28" s="68">
        <f t="shared" si="53"/>
        <v>8674804.6017614268</v>
      </c>
      <c r="M28" s="68">
        <f t="shared" si="53"/>
        <v>9927642.4113966543</v>
      </c>
      <c r="N28" s="68">
        <f t="shared" si="53"/>
        <v>11205536.977224588</v>
      </c>
      <c r="O28" s="68">
        <f t="shared" si="53"/>
        <v>11475709.434369078</v>
      </c>
      <c r="P28" s="68">
        <f t="shared" si="53"/>
        <v>11751285.340656461</v>
      </c>
      <c r="Q28" s="68">
        <f t="shared" si="53"/>
        <v>12032372.765069591</v>
      </c>
      <c r="R28" s="68">
        <f t="shared" si="53"/>
        <v>12319081.937970983</v>
      </c>
      <c r="S28" s="68">
        <f t="shared" si="53"/>
        <v>12611525.294330403</v>
      </c>
      <c r="T28" s="68">
        <f t="shared" si="53"/>
        <v>12909817.517817011</v>
      </c>
      <c r="U28" s="68">
        <f t="shared" si="53"/>
        <v>13214075.585773351</v>
      </c>
      <c r="V28" s="68">
        <f t="shared" si="53"/>
        <v>13524418.815088818</v>
      </c>
      <c r="W28" s="68">
        <f t="shared" si="53"/>
        <v>13840968.908990595</v>
      </c>
      <c r="X28" s="68">
        <f t="shared" si="53"/>
        <v>14163850.004770407</v>
      </c>
      <c r="Y28" s="68">
        <f t="shared" si="53"/>
        <v>14493188.722465813</v>
      </c>
      <c r="Z28" s="68">
        <f t="shared" si="53"/>
        <v>14829114.214515129</v>
      </c>
      <c r="AA28" s="68">
        <f t="shared" si="53"/>
        <v>15171758.216405435</v>
      </c>
      <c r="AB28" s="68">
        <f t="shared" si="53"/>
        <v>15521255.098333541</v>
      </c>
      <c r="AC28" s="68">
        <f t="shared" si="53"/>
        <v>15877741.917900212</v>
      </c>
      <c r="AD28" s="68">
        <f t="shared" si="53"/>
        <v>16241358.473858215</v>
      </c>
      <c r="AE28" s="68">
        <f t="shared" si="53"/>
        <v>16612247.360935379</v>
      </c>
      <c r="AF28" s="68">
        <f t="shared" si="53"/>
        <v>16990554.025754087</v>
      </c>
      <c r="AG28" s="227" t="s">
        <v>296</v>
      </c>
      <c r="AH28" s="246" t="s">
        <v>261</v>
      </c>
      <c r="AI28" s="152"/>
    </row>
    <row r="29" spans="1:35" x14ac:dyDescent="0.25">
      <c r="A29" s="317" t="s">
        <v>221</v>
      </c>
      <c r="B29" s="255">
        <v>0.21</v>
      </c>
      <c r="C29" s="82"/>
      <c r="D29" s="207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227"/>
      <c r="AH29" s="240"/>
      <c r="AI29" s="152"/>
    </row>
    <row r="30" spans="1:35" x14ac:dyDescent="0.25">
      <c r="A30" s="316" t="s">
        <v>218</v>
      </c>
      <c r="B30" s="255">
        <f>B26</f>
        <v>0.41253499999999999</v>
      </c>
      <c r="C30" s="82">
        <f>-C28*$B$30*$B$29</f>
        <v>-60556.366803046796</v>
      </c>
      <c r="D30" s="207">
        <f t="shared" ref="D30:AF30" si="54">-D28*$B$30*$B$29</f>
        <v>-180537.33048188407</v>
      </c>
      <c r="E30" s="68">
        <f t="shared" si="54"/>
        <v>-213954.95223224608</v>
      </c>
      <c r="F30" s="68">
        <f t="shared" si="54"/>
        <v>-339302.90920161543</v>
      </c>
      <c r="G30" s="68">
        <f t="shared" si="54"/>
        <v>-431662.81886837207</v>
      </c>
      <c r="H30" s="68">
        <f t="shared" si="54"/>
        <v>-529902.14282686391</v>
      </c>
      <c r="I30" s="68">
        <f t="shared" si="54"/>
        <v>-593320.0782781255</v>
      </c>
      <c r="J30" s="68">
        <f t="shared" si="54"/>
        <v>-637371.93278601242</v>
      </c>
      <c r="K30" s="68">
        <f t="shared" si="54"/>
        <v>-690825.289271257</v>
      </c>
      <c r="L30" s="68">
        <f t="shared" si="54"/>
        <v>-751518.70844140649</v>
      </c>
      <c r="M30" s="68">
        <f t="shared" si="54"/>
        <v>-860054.99205895897</v>
      </c>
      <c r="N30" s="68">
        <f t="shared" si="54"/>
        <v>-970762.00134886242</v>
      </c>
      <c r="O30" s="68">
        <f t="shared" si="54"/>
        <v>-994167.67621656391</v>
      </c>
      <c r="P30" s="68">
        <f t="shared" si="54"/>
        <v>-1018041.4645816197</v>
      </c>
      <c r="Q30" s="68">
        <f t="shared" si="54"/>
        <v>-1042392.7287139766</v>
      </c>
      <c r="R30" s="68">
        <f t="shared" si="54"/>
        <v>-1067231.0181289804</v>
      </c>
      <c r="S30" s="68">
        <f t="shared" si="54"/>
        <v>-1092566.0733322846</v>
      </c>
      <c r="T30" s="68">
        <f t="shared" si="54"/>
        <v>-1118407.8296396546</v>
      </c>
      <c r="U30" s="68">
        <f t="shared" si="54"/>
        <v>-1144766.4210731718</v>
      </c>
      <c r="V30" s="68">
        <f t="shared" si="54"/>
        <v>-1171652.1843353596</v>
      </c>
      <c r="W30" s="68">
        <f t="shared" si="54"/>
        <v>-1199075.6628627914</v>
      </c>
      <c r="X30" s="68">
        <f t="shared" si="54"/>
        <v>-1227047.6109607716</v>
      </c>
      <c r="Y30" s="68">
        <f t="shared" si="54"/>
        <v>-1255578.9980207111</v>
      </c>
      <c r="Z30" s="68">
        <f t="shared" si="54"/>
        <v>-1284681.0128218497</v>
      </c>
      <c r="AA30" s="68">
        <f t="shared" si="54"/>
        <v>-1314365.0679190112</v>
      </c>
      <c r="AB30" s="68">
        <f t="shared" si="54"/>
        <v>-1344642.8041181157</v>
      </c>
      <c r="AC30" s="68">
        <f t="shared" si="54"/>
        <v>-1375526.0950412024</v>
      </c>
      <c r="AD30" s="68">
        <f t="shared" si="54"/>
        <v>-1407027.0517827505</v>
      </c>
      <c r="AE30" s="68">
        <f t="shared" si="54"/>
        <v>-1439158.0276591298</v>
      </c>
      <c r="AF30" s="68">
        <f t="shared" si="54"/>
        <v>-1471931.6230530369</v>
      </c>
      <c r="AG30" s="227" t="s">
        <v>226</v>
      </c>
      <c r="AH30" s="240" t="s">
        <v>306</v>
      </c>
      <c r="AI30" s="152"/>
    </row>
    <row r="31" spans="1:35" x14ac:dyDescent="0.25">
      <c r="A31" s="316" t="s">
        <v>219</v>
      </c>
      <c r="B31" s="255">
        <f>B27</f>
        <v>4.4551E-2</v>
      </c>
      <c r="C31" s="173">
        <f>-($B$29*$B$31*C28)</f>
        <v>-6539.6795361424793</v>
      </c>
      <c r="D31" s="207">
        <f t="shared" ref="D31:AF31" si="55">-($B$29*$B$31*D28)</f>
        <v>-19496.815083080022</v>
      </c>
      <c r="E31" s="69">
        <f t="shared" si="55"/>
        <v>-23105.693036709115</v>
      </c>
      <c r="F31" s="69">
        <f t="shared" si="55"/>
        <v>-36642.427691810801</v>
      </c>
      <c r="G31" s="69">
        <f t="shared" si="55"/>
        <v>-46616.675538814517</v>
      </c>
      <c r="H31" s="69">
        <f t="shared" si="55"/>
        <v>-57225.86050899831</v>
      </c>
      <c r="I31" s="69">
        <f t="shared" si="55"/>
        <v>-64074.570175545763</v>
      </c>
      <c r="J31" s="69">
        <f t="shared" si="55"/>
        <v>-68831.873604784181</v>
      </c>
      <c r="K31" s="69">
        <f t="shared" si="55"/>
        <v>-74604.475892527349</v>
      </c>
      <c r="L31" s="69">
        <f t="shared" si="55"/>
        <v>-81158.956160745394</v>
      </c>
      <c r="M31" s="69">
        <f t="shared" si="55"/>
        <v>-92880.143384727795</v>
      </c>
      <c r="N31" s="69">
        <f t="shared" si="55"/>
        <v>-104835.75435318986</v>
      </c>
      <c r="O31" s="69">
        <f t="shared" si="55"/>
        <v>-107363.40951222113</v>
      </c>
      <c r="P31" s="69">
        <f t="shared" si="55"/>
        <v>-109941.61777443306</v>
      </c>
      <c r="Q31" s="69">
        <f t="shared" si="55"/>
        <v>-112571.39020188923</v>
      </c>
      <c r="R31" s="69">
        <f t="shared" si="55"/>
        <v>-115253.7580778945</v>
      </c>
      <c r="S31" s="69">
        <f t="shared" si="55"/>
        <v>-117989.77331141989</v>
      </c>
      <c r="T31" s="69">
        <f t="shared" si="55"/>
        <v>-120780.50884961578</v>
      </c>
      <c r="U31" s="69">
        <f t="shared" si="55"/>
        <v>-123627.05909857558</v>
      </c>
      <c r="V31" s="69">
        <f t="shared" si="55"/>
        <v>-126530.5403525146</v>
      </c>
      <c r="W31" s="69">
        <f t="shared" si="55"/>
        <v>-129492.09123153239</v>
      </c>
      <c r="X31" s="69">
        <f t="shared" si="55"/>
        <v>-132512.87312813054</v>
      </c>
      <c r="Y31" s="69">
        <f t="shared" si="55"/>
        <v>-135594.07066266064</v>
      </c>
      <c r="Z31" s="69">
        <f t="shared" si="55"/>
        <v>-138736.89214788133</v>
      </c>
      <c r="AA31" s="69">
        <f t="shared" si="55"/>
        <v>-141942.57006280648</v>
      </c>
      <c r="AB31" s="69">
        <f t="shared" si="55"/>
        <v>-145212.3615360301</v>
      </c>
      <c r="AC31" s="69">
        <f t="shared" si="55"/>
        <v>-148547.54883871818</v>
      </c>
      <c r="AD31" s="69">
        <f t="shared" si="55"/>
        <v>-151949.43988746003</v>
      </c>
      <c r="AE31" s="69">
        <f t="shared" si="55"/>
        <v>-155419.36875717674</v>
      </c>
      <c r="AF31" s="69">
        <f t="shared" si="55"/>
        <v>-158958.69620428776</v>
      </c>
      <c r="AG31" s="227" t="s">
        <v>227</v>
      </c>
      <c r="AH31" s="240" t="s">
        <v>307</v>
      </c>
      <c r="AI31" s="152"/>
    </row>
    <row r="32" spans="1:35" ht="26.25" x14ac:dyDescent="0.25">
      <c r="A32" s="322" t="s">
        <v>293</v>
      </c>
      <c r="B32" s="255"/>
      <c r="C32" s="173">
        <v>0</v>
      </c>
      <c r="D32" s="207">
        <v>0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>O22-$N$22</f>
        <v>270172.45714448951</v>
      </c>
      <c r="P32" s="69">
        <f t="shared" ref="P32:AF32" si="56">P22-$N$22</f>
        <v>545748.3634318728</v>
      </c>
      <c r="Q32" s="69">
        <f t="shared" si="56"/>
        <v>826835.78784500249</v>
      </c>
      <c r="R32" s="69">
        <f t="shared" si="56"/>
        <v>1113544.9607463945</v>
      </c>
      <c r="S32" s="69">
        <f t="shared" si="56"/>
        <v>1405988.3171058148</v>
      </c>
      <c r="T32" s="69">
        <f t="shared" si="56"/>
        <v>1704280.5405924227</v>
      </c>
      <c r="U32" s="69">
        <f t="shared" si="56"/>
        <v>2008538.6085487623</v>
      </c>
      <c r="V32" s="69">
        <f t="shared" si="56"/>
        <v>2318881.8378642313</v>
      </c>
      <c r="W32" s="69">
        <f t="shared" si="56"/>
        <v>2635431.931766009</v>
      </c>
      <c r="X32" s="69">
        <f t="shared" si="56"/>
        <v>2958313.0275458209</v>
      </c>
      <c r="Y32" s="69">
        <f t="shared" si="56"/>
        <v>3287651.7452412285</v>
      </c>
      <c r="Z32" s="69">
        <f t="shared" si="56"/>
        <v>3623577.2372905426</v>
      </c>
      <c r="AA32" s="69">
        <f t="shared" si="56"/>
        <v>3966221.239180848</v>
      </c>
      <c r="AB32" s="69">
        <f t="shared" si="56"/>
        <v>4315718.1211089529</v>
      </c>
      <c r="AC32" s="69">
        <f t="shared" si="56"/>
        <v>4672204.9406756237</v>
      </c>
      <c r="AD32" s="69">
        <f t="shared" si="56"/>
        <v>5035821.4966336265</v>
      </c>
      <c r="AE32" s="69">
        <f t="shared" si="56"/>
        <v>5406710.3837107904</v>
      </c>
      <c r="AF32" s="69">
        <f t="shared" si="56"/>
        <v>5785017.0485294983</v>
      </c>
      <c r="AG32" s="227" t="s">
        <v>297</v>
      </c>
      <c r="AH32" s="246" t="s">
        <v>261</v>
      </c>
      <c r="AI32" s="152"/>
    </row>
    <row r="33" spans="1:35" x14ac:dyDescent="0.25">
      <c r="A33" s="317" t="s">
        <v>221</v>
      </c>
      <c r="B33" s="255">
        <v>0.14000000000000001</v>
      </c>
      <c r="C33" s="82"/>
      <c r="D33" s="207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227"/>
      <c r="AH33" s="240"/>
      <c r="AI33" s="152"/>
    </row>
    <row r="34" spans="1:35" x14ac:dyDescent="0.25">
      <c r="A34" s="316" t="s">
        <v>218</v>
      </c>
      <c r="B34" s="255">
        <f>B30</f>
        <v>0.41253499999999999</v>
      </c>
      <c r="C34" s="82">
        <f>-C32*$B$30*$B$29</f>
        <v>0</v>
      </c>
      <c r="D34" s="207">
        <f t="shared" ref="D34:N34" si="57">-D32*$B$30*$B$29</f>
        <v>0</v>
      </c>
      <c r="E34" s="68">
        <f t="shared" si="57"/>
        <v>0</v>
      </c>
      <c r="F34" s="68">
        <f t="shared" si="57"/>
        <v>0</v>
      </c>
      <c r="G34" s="68">
        <f t="shared" si="57"/>
        <v>0</v>
      </c>
      <c r="H34" s="68">
        <f t="shared" si="57"/>
        <v>0</v>
      </c>
      <c r="I34" s="68">
        <f t="shared" si="57"/>
        <v>0</v>
      </c>
      <c r="J34" s="68">
        <f t="shared" si="57"/>
        <v>0</v>
      </c>
      <c r="K34" s="68">
        <f t="shared" si="57"/>
        <v>0</v>
      </c>
      <c r="L34" s="68">
        <f t="shared" si="57"/>
        <v>0</v>
      </c>
      <c r="M34" s="68">
        <f t="shared" si="57"/>
        <v>0</v>
      </c>
      <c r="N34" s="68">
        <f t="shared" si="57"/>
        <v>0</v>
      </c>
      <c r="O34" s="68">
        <f>-O32*$B$34*$B$33</f>
        <v>-15603.783245134278</v>
      </c>
      <c r="P34" s="68">
        <f t="shared" ref="P34:AF34" si="58">-P32*$B$34*$B$33</f>
        <v>-31519.64215517147</v>
      </c>
      <c r="Q34" s="68">
        <f>-Q32*$B$34*$B$33</f>
        <v>-47753.81824340934</v>
      </c>
      <c r="R34" s="68">
        <f t="shared" si="58"/>
        <v>-64312.677853411937</v>
      </c>
      <c r="S34" s="68">
        <f t="shared" si="58"/>
        <v>-81202.714655614633</v>
      </c>
      <c r="T34" s="68">
        <f t="shared" si="58"/>
        <v>-98430.552193861324</v>
      </c>
      <c r="U34" s="68">
        <f t="shared" si="58"/>
        <v>-116002.94648287293</v>
      </c>
      <c r="V34" s="68">
        <f t="shared" si="58"/>
        <v>-133926.7886576649</v>
      </c>
      <c r="W34" s="68">
        <f t="shared" si="58"/>
        <v>-152209.10767595266</v>
      </c>
      <c r="X34" s="68">
        <f t="shared" si="58"/>
        <v>-170857.07307460613</v>
      </c>
      <c r="Y34" s="68">
        <f t="shared" si="58"/>
        <v>-189877.99778123261</v>
      </c>
      <c r="Z34" s="68">
        <f t="shared" si="58"/>
        <v>-209279.34098199155</v>
      </c>
      <c r="AA34" s="68">
        <f t="shared" si="58"/>
        <v>-229068.71104676599</v>
      </c>
      <c r="AB34" s="68">
        <f t="shared" si="58"/>
        <v>-249253.86851283547</v>
      </c>
      <c r="AC34" s="68">
        <f t="shared" si="58"/>
        <v>-269842.72912822658</v>
      </c>
      <c r="AD34" s="68">
        <f t="shared" si="58"/>
        <v>-290843.36695592542</v>
      </c>
      <c r="AE34" s="68">
        <f t="shared" si="58"/>
        <v>-312264.01754017832</v>
      </c>
      <c r="AF34" s="68">
        <f t="shared" si="58"/>
        <v>-334113.08113611635</v>
      </c>
      <c r="AG34" s="227" t="s">
        <v>284</v>
      </c>
      <c r="AH34" s="240" t="s">
        <v>308</v>
      </c>
      <c r="AI34" s="152"/>
    </row>
    <row r="35" spans="1:35" x14ac:dyDescent="0.25">
      <c r="A35" s="316" t="s">
        <v>219</v>
      </c>
      <c r="B35" s="256">
        <f>B31</f>
        <v>4.4551E-2</v>
      </c>
      <c r="C35" s="146">
        <f>-($B$29*$B$31*C32)</f>
        <v>0</v>
      </c>
      <c r="D35" s="208">
        <f t="shared" ref="D35:N35" si="59">-($B$29*$B$31*D32)</f>
        <v>0</v>
      </c>
      <c r="E35" s="56">
        <f t="shared" si="59"/>
        <v>0</v>
      </c>
      <c r="F35" s="56">
        <f t="shared" si="59"/>
        <v>0</v>
      </c>
      <c r="G35" s="56">
        <f t="shared" si="59"/>
        <v>0</v>
      </c>
      <c r="H35" s="56">
        <f t="shared" si="59"/>
        <v>0</v>
      </c>
      <c r="I35" s="56">
        <f t="shared" si="59"/>
        <v>0</v>
      </c>
      <c r="J35" s="56">
        <f t="shared" si="59"/>
        <v>0</v>
      </c>
      <c r="K35" s="56">
        <f t="shared" si="59"/>
        <v>0</v>
      </c>
      <c r="L35" s="56">
        <f t="shared" si="59"/>
        <v>0</v>
      </c>
      <c r="M35" s="56">
        <f t="shared" si="59"/>
        <v>0</v>
      </c>
      <c r="N35" s="56">
        <f t="shared" si="59"/>
        <v>0</v>
      </c>
      <c r="O35" s="56">
        <f>-($B$33*$B$35*O32)</f>
        <v>-1685.1034393541813</v>
      </c>
      <c r="P35" s="56">
        <f t="shared" ref="P35:AF35" si="60">-($B$33*$B$35*P32)</f>
        <v>-3403.9089474954712</v>
      </c>
      <c r="Q35" s="56">
        <f t="shared" si="60"/>
        <v>-5157.0905657995791</v>
      </c>
      <c r="R35" s="56">
        <f t="shared" si="60"/>
        <v>-6945.3358164697675</v>
      </c>
      <c r="S35" s="56">
        <f t="shared" si="60"/>
        <v>-8769.3459721533618</v>
      </c>
      <c r="T35" s="56">
        <f t="shared" si="60"/>
        <v>-10629.836330950624</v>
      </c>
      <c r="U35" s="56">
        <f t="shared" si="60"/>
        <v>-12527.536496923827</v>
      </c>
      <c r="V35" s="56">
        <f t="shared" si="60"/>
        <v>-14463.190666216513</v>
      </c>
      <c r="W35" s="56">
        <f t="shared" si="60"/>
        <v>-16437.557918895047</v>
      </c>
      <c r="X35" s="56">
        <f t="shared" si="60"/>
        <v>-18451.412516627144</v>
      </c>
      <c r="Y35" s="56">
        <f t="shared" si="60"/>
        <v>-20505.544206313876</v>
      </c>
      <c r="Z35" s="56">
        <f t="shared" si="60"/>
        <v>-22600.758529794337</v>
      </c>
      <c r="AA35" s="56">
        <f t="shared" si="60"/>
        <v>-24737.877139744436</v>
      </c>
      <c r="AB35" s="56">
        <f t="shared" si="60"/>
        <v>-26917.738121893497</v>
      </c>
      <c r="AC35" s="56">
        <f t="shared" si="60"/>
        <v>-29141.196323685563</v>
      </c>
      <c r="AD35" s="56">
        <f t="shared" si="60"/>
        <v>-31409.123689513461</v>
      </c>
      <c r="AE35" s="56">
        <f t="shared" si="60"/>
        <v>-33722.409602657921</v>
      </c>
      <c r="AF35" s="56">
        <f t="shared" si="60"/>
        <v>-36081.961234065275</v>
      </c>
      <c r="AG35" s="227" t="s">
        <v>285</v>
      </c>
      <c r="AH35" s="240" t="s">
        <v>309</v>
      </c>
      <c r="AI35" s="152"/>
    </row>
    <row r="36" spans="1:35" x14ac:dyDescent="0.25">
      <c r="A36" s="1" t="s">
        <v>223</v>
      </c>
      <c r="B36" s="266"/>
      <c r="C36" s="112">
        <f>C22+SUM(C26:C27)+SUM(C30:C31)+SUM(C34:C35)</f>
        <v>2591940.5978824985</v>
      </c>
      <c r="D36" s="210">
        <f t="shared" ref="D36:AF36" si="61">D22+SUM(D26:D27)+SUM(D30:D31)+SUM(D34:D35)</f>
        <v>3685686.9760812782</v>
      </c>
      <c r="E36" s="71">
        <f t="shared" si="61"/>
        <v>3990321.991810211</v>
      </c>
      <c r="F36" s="71">
        <f t="shared" si="61"/>
        <v>5132993.876967323</v>
      </c>
      <c r="G36" s="71">
        <f t="shared" si="61"/>
        <v>5974946.7467507785</v>
      </c>
      <c r="H36" s="71">
        <f t="shared" si="61"/>
        <v>6870496.3529692627</v>
      </c>
      <c r="I36" s="71">
        <f t="shared" si="61"/>
        <v>7448614.2067175554</v>
      </c>
      <c r="J36" s="71">
        <f t="shared" si="61"/>
        <v>7850190.8805798544</v>
      </c>
      <c r="K36" s="71">
        <f t="shared" si="61"/>
        <v>8337471.6396742798</v>
      </c>
      <c r="L36" s="71">
        <f t="shared" si="61"/>
        <v>8890752.8049726728</v>
      </c>
      <c r="M36" s="71">
        <f t="shared" si="61"/>
        <v>9880169.4880026337</v>
      </c>
      <c r="N36" s="134">
        <f>N22+SUM(N26:N27)+SUM(N30:N31)+SUM(N34:N35)</f>
        <v>10889374.504693195</v>
      </c>
      <c r="O36" s="134">
        <f>O22+SUM(O26:O27)+SUM(O30:O31)+SUM(O34:O35)</f>
        <v>11085451.733189877</v>
      </c>
      <c r="P36" s="134">
        <f>P22+SUM(P26:P27)+SUM(P30:P31)+SUM(P34:P35)</f>
        <v>11285450.506256497</v>
      </c>
      <c r="Q36" s="134">
        <f>Q22+SUM(Q26:Q27)+SUM(Q30:Q31)+SUM(Q34:Q35)</f>
        <v>11489449.254784446</v>
      </c>
      <c r="R36" s="134">
        <f t="shared" si="61"/>
        <v>11697527.978282953</v>
      </c>
      <c r="S36" s="134">
        <f t="shared" si="61"/>
        <v>11909768.276251433</v>
      </c>
      <c r="T36" s="134">
        <f t="shared" si="61"/>
        <v>12126253.380179282</v>
      </c>
      <c r="U36" s="134">
        <f t="shared" si="61"/>
        <v>12347068.186185686</v>
      </c>
      <c r="V36" s="134">
        <f t="shared" si="61"/>
        <v>12572299.288312221</v>
      </c>
      <c r="W36" s="134">
        <f t="shared" si="61"/>
        <v>12802035.012481287</v>
      </c>
      <c r="X36" s="134">
        <f t="shared" si="61"/>
        <v>13036365.451133732</v>
      </c>
      <c r="Y36" s="134">
        <f t="shared" si="61"/>
        <v>13275382.498559225</v>
      </c>
      <c r="Z36" s="134">
        <f t="shared" si="61"/>
        <v>13519179.886933228</v>
      </c>
      <c r="AA36" s="134">
        <f t="shared" si="61"/>
        <v>13767853.223074716</v>
      </c>
      <c r="AB36" s="134">
        <f t="shared" si="61"/>
        <v>14021500.025939025</v>
      </c>
      <c r="AC36" s="134">
        <f t="shared" si="61"/>
        <v>14280219.764860624</v>
      </c>
      <c r="AD36" s="134">
        <f t="shared" si="61"/>
        <v>14544113.898560656</v>
      </c>
      <c r="AE36" s="134">
        <f t="shared" si="61"/>
        <v>14813285.914934687</v>
      </c>
      <c r="AF36" s="134">
        <f t="shared" si="61"/>
        <v>15087841.371636203</v>
      </c>
      <c r="AG36" s="227" t="s">
        <v>182</v>
      </c>
      <c r="AH36" s="240" t="s">
        <v>230</v>
      </c>
      <c r="AI36" s="152"/>
    </row>
    <row r="37" spans="1:35" ht="8.1" customHeight="1" x14ac:dyDescent="0.25">
      <c r="A37" s="1"/>
      <c r="B37" s="152"/>
      <c r="C37" s="114"/>
      <c r="D37" s="2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227"/>
      <c r="AH37" s="238"/>
      <c r="AI37" s="152"/>
    </row>
    <row r="38" spans="1:35" x14ac:dyDescent="0.25">
      <c r="A38" s="193" t="s">
        <v>167</v>
      </c>
      <c r="B38" s="194"/>
      <c r="C38" s="195"/>
      <c r="D38" s="212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227"/>
      <c r="AH38" s="238"/>
      <c r="AI38" s="152"/>
    </row>
    <row r="39" spans="1:35" ht="15" customHeight="1" x14ac:dyDescent="0.25">
      <c r="A39" s="179" t="s">
        <v>157</v>
      </c>
      <c r="B39" s="180">
        <v>0.25</v>
      </c>
      <c r="C39" s="181">
        <f>$B$39*C$36</f>
        <v>647985.14947062463</v>
      </c>
      <c r="D39" s="213">
        <f t="shared" ref="D39:AF39" si="62">$B$39*D$36</f>
        <v>921421.74402031954</v>
      </c>
      <c r="E39" s="181">
        <f t="shared" si="62"/>
        <v>997580.49795255275</v>
      </c>
      <c r="F39" s="181">
        <f t="shared" si="62"/>
        <v>1283248.4692418308</v>
      </c>
      <c r="G39" s="181">
        <f t="shared" si="62"/>
        <v>1493736.6866876946</v>
      </c>
      <c r="H39" s="181">
        <f t="shared" si="62"/>
        <v>1717624.0882423157</v>
      </c>
      <c r="I39" s="181">
        <f t="shared" si="62"/>
        <v>1862153.5516793889</v>
      </c>
      <c r="J39" s="181">
        <f t="shared" si="62"/>
        <v>1962547.7201449636</v>
      </c>
      <c r="K39" s="181">
        <f t="shared" si="62"/>
        <v>2084367.90991857</v>
      </c>
      <c r="L39" s="181">
        <f t="shared" si="62"/>
        <v>2222688.2012431682</v>
      </c>
      <c r="M39" s="181">
        <f t="shared" si="62"/>
        <v>2470042.3720006584</v>
      </c>
      <c r="N39" s="181">
        <f t="shared" si="62"/>
        <v>2722343.6261732988</v>
      </c>
      <c r="O39" s="181">
        <f t="shared" si="62"/>
        <v>2771362.9332974693</v>
      </c>
      <c r="P39" s="181">
        <f t="shared" si="62"/>
        <v>2821362.6265641241</v>
      </c>
      <c r="Q39" s="181">
        <f t="shared" si="62"/>
        <v>2872362.3136961116</v>
      </c>
      <c r="R39" s="181">
        <f t="shared" si="62"/>
        <v>2924381.9945707382</v>
      </c>
      <c r="S39" s="181">
        <f t="shared" si="62"/>
        <v>2977442.0690628584</v>
      </c>
      <c r="T39" s="181">
        <f t="shared" si="62"/>
        <v>3031563.3450448206</v>
      </c>
      <c r="U39" s="181">
        <f t="shared" si="62"/>
        <v>3086767.0465464215</v>
      </c>
      <c r="V39" s="181">
        <f t="shared" si="62"/>
        <v>3143074.8220780552</v>
      </c>
      <c r="W39" s="181">
        <f t="shared" si="62"/>
        <v>3200508.7531203218</v>
      </c>
      <c r="X39" s="181">
        <f t="shared" si="62"/>
        <v>3259091.3627834329</v>
      </c>
      <c r="Y39" s="181">
        <f t="shared" si="62"/>
        <v>3318845.6246398063</v>
      </c>
      <c r="Z39" s="181">
        <f t="shared" si="62"/>
        <v>3379794.971733307</v>
      </c>
      <c r="AA39" s="181">
        <f t="shared" si="62"/>
        <v>3441963.3057686789</v>
      </c>
      <c r="AB39" s="181">
        <f t="shared" si="62"/>
        <v>3505375.0064847562</v>
      </c>
      <c r="AC39" s="181">
        <f t="shared" si="62"/>
        <v>3570054.9412151561</v>
      </c>
      <c r="AD39" s="181">
        <f t="shared" si="62"/>
        <v>3636028.4746401641</v>
      </c>
      <c r="AE39" s="181">
        <f t="shared" si="62"/>
        <v>3703321.4787336718</v>
      </c>
      <c r="AF39" s="181">
        <f t="shared" si="62"/>
        <v>3771960.3429090506</v>
      </c>
      <c r="AG39" s="232"/>
      <c r="AH39" s="242" t="s">
        <v>169</v>
      </c>
      <c r="AI39" s="124"/>
    </row>
    <row r="40" spans="1:35" ht="15" customHeight="1" x14ac:dyDescent="0.25">
      <c r="A40" s="179" t="s">
        <v>156</v>
      </c>
      <c r="B40" s="182">
        <v>0.05</v>
      </c>
      <c r="C40" s="181">
        <f>B40*C$36</f>
        <v>129597.02989412493</v>
      </c>
      <c r="D40" s="213">
        <f>B40*D$36</f>
        <v>184284.34880406392</v>
      </c>
      <c r="E40" s="181">
        <f>$B$40*E36</f>
        <v>199516.09959051057</v>
      </c>
      <c r="F40" s="181">
        <f t="shared" ref="F40:AF40" si="63">$B$40*F36</f>
        <v>256649.69384836615</v>
      </c>
      <c r="G40" s="181">
        <f t="shared" si="63"/>
        <v>298747.33733753895</v>
      </c>
      <c r="H40" s="181">
        <f t="shared" si="63"/>
        <v>343524.81764846318</v>
      </c>
      <c r="I40" s="181">
        <f t="shared" si="63"/>
        <v>372430.71033587778</v>
      </c>
      <c r="J40" s="181">
        <f t="shared" si="63"/>
        <v>392509.54402899276</v>
      </c>
      <c r="K40" s="181">
        <f t="shared" si="63"/>
        <v>416873.58198371402</v>
      </c>
      <c r="L40" s="181">
        <f t="shared" si="63"/>
        <v>444537.64024863369</v>
      </c>
      <c r="M40" s="181">
        <f t="shared" si="63"/>
        <v>494008.47440013173</v>
      </c>
      <c r="N40" s="181">
        <f t="shared" si="63"/>
        <v>544468.72523465974</v>
      </c>
      <c r="O40" s="181">
        <f t="shared" si="63"/>
        <v>554272.58665949386</v>
      </c>
      <c r="P40" s="181">
        <f t="shared" si="63"/>
        <v>564272.52531282487</v>
      </c>
      <c r="Q40" s="181">
        <f t="shared" si="63"/>
        <v>574472.46273922233</v>
      </c>
      <c r="R40" s="181">
        <f t="shared" si="63"/>
        <v>584876.39891414763</v>
      </c>
      <c r="S40" s="181">
        <f t="shared" si="63"/>
        <v>595488.41381257167</v>
      </c>
      <c r="T40" s="181">
        <f t="shared" si="63"/>
        <v>606312.66900896409</v>
      </c>
      <c r="U40" s="181">
        <f t="shared" si="63"/>
        <v>617353.4093092843</v>
      </c>
      <c r="V40" s="181">
        <f t="shared" si="63"/>
        <v>628614.96441561112</v>
      </c>
      <c r="W40" s="181">
        <f t="shared" si="63"/>
        <v>640101.75062406436</v>
      </c>
      <c r="X40" s="181">
        <f t="shared" si="63"/>
        <v>651818.27255668666</v>
      </c>
      <c r="Y40" s="181">
        <f t="shared" si="63"/>
        <v>663769.12492796127</v>
      </c>
      <c r="Z40" s="181">
        <f t="shared" si="63"/>
        <v>675958.99434666149</v>
      </c>
      <c r="AA40" s="181">
        <f t="shared" si="63"/>
        <v>688392.66115373583</v>
      </c>
      <c r="AB40" s="181">
        <f t="shared" si="63"/>
        <v>701075.00129695132</v>
      </c>
      <c r="AC40" s="181">
        <f t="shared" si="63"/>
        <v>714010.98824303132</v>
      </c>
      <c r="AD40" s="181">
        <f t="shared" si="63"/>
        <v>727205.69492803281</v>
      </c>
      <c r="AE40" s="181">
        <f t="shared" si="63"/>
        <v>740664.29574673437</v>
      </c>
      <c r="AF40" s="181">
        <f t="shared" si="63"/>
        <v>754392.06858181022</v>
      </c>
      <c r="AG40" s="233"/>
      <c r="AH40" s="243" t="s">
        <v>170</v>
      </c>
      <c r="AI40" s="152"/>
    </row>
    <row r="41" spans="1:35" ht="15" customHeight="1" x14ac:dyDescent="0.25">
      <c r="A41" s="179" t="s">
        <v>58</v>
      </c>
      <c r="B41" s="182">
        <v>0.35</v>
      </c>
      <c r="C41" s="181">
        <f>B41*C$36</f>
        <v>907179.20925887441</v>
      </c>
      <c r="D41" s="213">
        <f>B41*(D$36)</f>
        <v>1289990.4416284473</v>
      </c>
      <c r="E41" s="181">
        <f>$B$41*(E36)</f>
        <v>1396612.6971335737</v>
      </c>
      <c r="F41" s="181">
        <f t="shared" ref="F41:AF41" si="64">$B$41*(F36)</f>
        <v>1796547.8569385631</v>
      </c>
      <c r="G41" s="181">
        <f t="shared" si="64"/>
        <v>2091231.3613627723</v>
      </c>
      <c r="H41" s="181">
        <f t="shared" si="64"/>
        <v>2404673.7235392416</v>
      </c>
      <c r="I41" s="181">
        <f t="shared" si="64"/>
        <v>2607014.9723511441</v>
      </c>
      <c r="J41" s="181">
        <f t="shared" si="64"/>
        <v>2747566.8082029489</v>
      </c>
      <c r="K41" s="181">
        <f t="shared" si="64"/>
        <v>2918115.0738859978</v>
      </c>
      <c r="L41" s="181">
        <f t="shared" si="64"/>
        <v>3111763.4817404351</v>
      </c>
      <c r="M41" s="181">
        <f t="shared" si="64"/>
        <v>3458059.3208009214</v>
      </c>
      <c r="N41" s="181">
        <f t="shared" si="64"/>
        <v>3811281.076642618</v>
      </c>
      <c r="O41" s="181">
        <f t="shared" si="64"/>
        <v>3879908.1066164565</v>
      </c>
      <c r="P41" s="181">
        <f t="shared" si="64"/>
        <v>3949907.6771897734</v>
      </c>
      <c r="Q41" s="181">
        <f t="shared" si="64"/>
        <v>4021307.239174556</v>
      </c>
      <c r="R41" s="181">
        <f t="shared" si="64"/>
        <v>4094134.792399033</v>
      </c>
      <c r="S41" s="181">
        <f t="shared" si="64"/>
        <v>4168418.8966880012</v>
      </c>
      <c r="T41" s="181">
        <f t="shared" si="64"/>
        <v>4244188.683062749</v>
      </c>
      <c r="U41" s="181">
        <f t="shared" si="64"/>
        <v>4321473.8651649896</v>
      </c>
      <c r="V41" s="181">
        <f t="shared" si="64"/>
        <v>4400304.7509092772</v>
      </c>
      <c r="W41" s="181">
        <f t="shared" si="64"/>
        <v>4480712.2543684505</v>
      </c>
      <c r="X41" s="181">
        <f t="shared" si="64"/>
        <v>4562727.9078968056</v>
      </c>
      <c r="Y41" s="181">
        <f t="shared" si="64"/>
        <v>4646383.8744957289</v>
      </c>
      <c r="Z41" s="181">
        <f t="shared" si="64"/>
        <v>4731712.9604266295</v>
      </c>
      <c r="AA41" s="181">
        <f t="shared" si="64"/>
        <v>4818748.6280761501</v>
      </c>
      <c r="AB41" s="181">
        <f t="shared" si="64"/>
        <v>4907525.0090786582</v>
      </c>
      <c r="AC41" s="181">
        <f t="shared" si="64"/>
        <v>4998076.9177012183</v>
      </c>
      <c r="AD41" s="181">
        <f t="shared" si="64"/>
        <v>5090439.8644962292</v>
      </c>
      <c r="AE41" s="181">
        <f t="shared" si="64"/>
        <v>5184650.0702271406</v>
      </c>
      <c r="AF41" s="181">
        <f t="shared" si="64"/>
        <v>5280744.4800726706</v>
      </c>
      <c r="AG41" s="230"/>
      <c r="AH41" s="240" t="s">
        <v>171</v>
      </c>
      <c r="AI41" s="152"/>
    </row>
    <row r="42" spans="1:35" x14ac:dyDescent="0.25">
      <c r="A42" s="179" t="s">
        <v>165</v>
      </c>
      <c r="B42" s="183">
        <v>0.35</v>
      </c>
      <c r="C42" s="181">
        <f>B42*C36</f>
        <v>907179.20925887441</v>
      </c>
      <c r="D42" s="213">
        <f>B42*D36</f>
        <v>1289990.4416284473</v>
      </c>
      <c r="E42" s="181">
        <f>$B$42*E36</f>
        <v>1396612.6971335737</v>
      </c>
      <c r="F42" s="181">
        <f t="shared" ref="F42:AF42" si="65">$B$42*F36</f>
        <v>1796547.8569385631</v>
      </c>
      <c r="G42" s="181">
        <f t="shared" si="65"/>
        <v>2091231.3613627723</v>
      </c>
      <c r="H42" s="181">
        <f t="shared" si="65"/>
        <v>2404673.7235392416</v>
      </c>
      <c r="I42" s="181">
        <f t="shared" si="65"/>
        <v>2607014.9723511441</v>
      </c>
      <c r="J42" s="181">
        <f t="shared" si="65"/>
        <v>2747566.8082029489</v>
      </c>
      <c r="K42" s="181">
        <f t="shared" si="65"/>
        <v>2918115.0738859978</v>
      </c>
      <c r="L42" s="181">
        <f t="shared" si="65"/>
        <v>3111763.4817404351</v>
      </c>
      <c r="M42" s="181">
        <f t="shared" si="65"/>
        <v>3458059.3208009214</v>
      </c>
      <c r="N42" s="181">
        <f t="shared" si="65"/>
        <v>3811281.076642618</v>
      </c>
      <c r="O42" s="181">
        <f t="shared" si="65"/>
        <v>3879908.1066164565</v>
      </c>
      <c r="P42" s="181">
        <f t="shared" si="65"/>
        <v>3949907.6771897734</v>
      </c>
      <c r="Q42" s="181">
        <f t="shared" si="65"/>
        <v>4021307.239174556</v>
      </c>
      <c r="R42" s="181">
        <f t="shared" si="65"/>
        <v>4094134.792399033</v>
      </c>
      <c r="S42" s="181">
        <f t="shared" si="65"/>
        <v>4168418.8966880012</v>
      </c>
      <c r="T42" s="181">
        <f t="shared" si="65"/>
        <v>4244188.683062749</v>
      </c>
      <c r="U42" s="181">
        <f t="shared" si="65"/>
        <v>4321473.8651649896</v>
      </c>
      <c r="V42" s="181">
        <f t="shared" si="65"/>
        <v>4400304.7509092772</v>
      </c>
      <c r="W42" s="181">
        <f t="shared" si="65"/>
        <v>4480712.2543684505</v>
      </c>
      <c r="X42" s="181">
        <f t="shared" si="65"/>
        <v>4562727.9078968056</v>
      </c>
      <c r="Y42" s="181">
        <f t="shared" si="65"/>
        <v>4646383.8744957289</v>
      </c>
      <c r="Z42" s="181">
        <f t="shared" si="65"/>
        <v>4731712.9604266295</v>
      </c>
      <c r="AA42" s="181">
        <f t="shared" si="65"/>
        <v>4818748.6280761501</v>
      </c>
      <c r="AB42" s="181">
        <f t="shared" si="65"/>
        <v>4907525.0090786582</v>
      </c>
      <c r="AC42" s="181">
        <f t="shared" si="65"/>
        <v>4998076.9177012183</v>
      </c>
      <c r="AD42" s="181">
        <f t="shared" si="65"/>
        <v>5090439.8644962292</v>
      </c>
      <c r="AE42" s="181">
        <f t="shared" si="65"/>
        <v>5184650.0702271406</v>
      </c>
      <c r="AF42" s="181">
        <f t="shared" si="65"/>
        <v>5280744.4800726706</v>
      </c>
      <c r="AG42" s="230" t="s">
        <v>164</v>
      </c>
      <c r="AH42" s="240" t="s">
        <v>194</v>
      </c>
      <c r="AI42" s="152"/>
    </row>
    <row r="43" spans="1:35" x14ac:dyDescent="0.25">
      <c r="A43" s="197" t="s">
        <v>158</v>
      </c>
      <c r="B43" s="196">
        <f>SUM(B39:B42)</f>
        <v>0.99999999999999989</v>
      </c>
      <c r="C43" s="191">
        <f>SUM(C39:C42)</f>
        <v>2591940.5978824985</v>
      </c>
      <c r="D43" s="214">
        <f t="shared" ref="D43:AF43" si="66">SUM(D39:D42)</f>
        <v>3685686.9760812777</v>
      </c>
      <c r="E43" s="191">
        <f t="shared" si="66"/>
        <v>3990321.991810211</v>
      </c>
      <c r="F43" s="191">
        <f t="shared" si="66"/>
        <v>5132993.876967323</v>
      </c>
      <c r="G43" s="191">
        <f t="shared" si="66"/>
        <v>5974946.7467507776</v>
      </c>
      <c r="H43" s="191">
        <f t="shared" si="66"/>
        <v>6870496.3529692618</v>
      </c>
      <c r="I43" s="191">
        <f t="shared" si="66"/>
        <v>7448614.2067175554</v>
      </c>
      <c r="J43" s="191">
        <f t="shared" si="66"/>
        <v>7850190.8805798534</v>
      </c>
      <c r="K43" s="191">
        <f t="shared" si="66"/>
        <v>8337471.6396742798</v>
      </c>
      <c r="L43" s="191">
        <f t="shared" si="66"/>
        <v>8890752.8049726728</v>
      </c>
      <c r="M43" s="191">
        <f t="shared" si="66"/>
        <v>9880169.4880026318</v>
      </c>
      <c r="N43" s="191">
        <f t="shared" si="66"/>
        <v>10889374.504693195</v>
      </c>
      <c r="O43" s="191">
        <f t="shared" si="66"/>
        <v>11085451.733189875</v>
      </c>
      <c r="P43" s="191">
        <f t="shared" si="66"/>
        <v>11285450.506256495</v>
      </c>
      <c r="Q43" s="191">
        <f t="shared" si="66"/>
        <v>11489449.254784446</v>
      </c>
      <c r="R43" s="191">
        <f t="shared" si="66"/>
        <v>11697527.978282951</v>
      </c>
      <c r="S43" s="191">
        <f t="shared" si="66"/>
        <v>11909768.276251432</v>
      </c>
      <c r="T43" s="191">
        <f t="shared" si="66"/>
        <v>12126253.380179282</v>
      </c>
      <c r="U43" s="191">
        <f t="shared" si="66"/>
        <v>12347068.186185684</v>
      </c>
      <c r="V43" s="191">
        <f t="shared" si="66"/>
        <v>12572299.288312221</v>
      </c>
      <c r="W43" s="191">
        <f t="shared" si="66"/>
        <v>12802035.012481287</v>
      </c>
      <c r="X43" s="191">
        <f t="shared" si="66"/>
        <v>13036365.451133732</v>
      </c>
      <c r="Y43" s="191">
        <f t="shared" si="66"/>
        <v>13275382.498559225</v>
      </c>
      <c r="Z43" s="191">
        <f t="shared" si="66"/>
        <v>13519179.886933226</v>
      </c>
      <c r="AA43" s="191">
        <f t="shared" si="66"/>
        <v>13767853.223074716</v>
      </c>
      <c r="AB43" s="191">
        <f t="shared" si="66"/>
        <v>14021500.025939025</v>
      </c>
      <c r="AC43" s="191">
        <f t="shared" si="66"/>
        <v>14280219.764860624</v>
      </c>
      <c r="AD43" s="191">
        <f t="shared" si="66"/>
        <v>14544113.898560656</v>
      </c>
      <c r="AE43" s="191">
        <f t="shared" si="66"/>
        <v>14813285.914934687</v>
      </c>
      <c r="AF43" s="191">
        <f t="shared" si="66"/>
        <v>15087841.371636201</v>
      </c>
      <c r="AG43" s="227"/>
      <c r="AH43" s="238"/>
      <c r="AI43" s="152"/>
    </row>
    <row r="44" spans="1:35" ht="8.1" customHeight="1" x14ac:dyDescent="0.25">
      <c r="A44" s="141"/>
      <c r="B44" s="174"/>
      <c r="C44" s="136"/>
      <c r="D44" s="205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227"/>
      <c r="AH44" s="238"/>
      <c r="AI44" s="152"/>
    </row>
    <row r="45" spans="1:35" x14ac:dyDescent="0.25">
      <c r="A45" s="184" t="s">
        <v>159</v>
      </c>
      <c r="B45" s="439" t="s">
        <v>200</v>
      </c>
      <c r="C45" s="185"/>
      <c r="D45" s="21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227"/>
      <c r="AH45" s="238"/>
      <c r="AI45" s="152"/>
    </row>
    <row r="46" spans="1:35" x14ac:dyDescent="0.25">
      <c r="A46" s="186" t="s">
        <v>165</v>
      </c>
      <c r="B46" s="439"/>
      <c r="C46" s="185">
        <f>C42</f>
        <v>907179.20925887441</v>
      </c>
      <c r="D46" s="215">
        <f t="shared" ref="D46:AF46" si="67">D42</f>
        <v>1289990.4416284473</v>
      </c>
      <c r="E46" s="185">
        <f t="shared" si="67"/>
        <v>1396612.6971335737</v>
      </c>
      <c r="F46" s="185">
        <f t="shared" si="67"/>
        <v>1796547.8569385631</v>
      </c>
      <c r="G46" s="185">
        <f t="shared" si="67"/>
        <v>2091231.3613627723</v>
      </c>
      <c r="H46" s="185">
        <f t="shared" si="67"/>
        <v>2404673.7235392416</v>
      </c>
      <c r="I46" s="185">
        <f t="shared" si="67"/>
        <v>2607014.9723511441</v>
      </c>
      <c r="J46" s="185">
        <f t="shared" si="67"/>
        <v>2747566.8082029489</v>
      </c>
      <c r="K46" s="185">
        <f t="shared" si="67"/>
        <v>2918115.0738859978</v>
      </c>
      <c r="L46" s="185">
        <f t="shared" si="67"/>
        <v>3111763.4817404351</v>
      </c>
      <c r="M46" s="185">
        <f t="shared" si="67"/>
        <v>3458059.3208009214</v>
      </c>
      <c r="N46" s="185">
        <f t="shared" si="67"/>
        <v>3811281.076642618</v>
      </c>
      <c r="O46" s="185">
        <f t="shared" si="67"/>
        <v>3879908.1066164565</v>
      </c>
      <c r="P46" s="185">
        <f t="shared" si="67"/>
        <v>3949907.6771897734</v>
      </c>
      <c r="Q46" s="185">
        <f t="shared" si="67"/>
        <v>4021307.239174556</v>
      </c>
      <c r="R46" s="185">
        <f t="shared" si="67"/>
        <v>4094134.792399033</v>
      </c>
      <c r="S46" s="185">
        <f t="shared" si="67"/>
        <v>4168418.8966880012</v>
      </c>
      <c r="T46" s="185">
        <f t="shared" si="67"/>
        <v>4244188.683062749</v>
      </c>
      <c r="U46" s="185">
        <f t="shared" si="67"/>
        <v>4321473.8651649896</v>
      </c>
      <c r="V46" s="185">
        <f t="shared" si="67"/>
        <v>4400304.7509092772</v>
      </c>
      <c r="W46" s="185">
        <f t="shared" si="67"/>
        <v>4480712.2543684505</v>
      </c>
      <c r="X46" s="185">
        <f>X42</f>
        <v>4562727.9078968056</v>
      </c>
      <c r="Y46" s="185">
        <f t="shared" si="67"/>
        <v>4646383.8744957289</v>
      </c>
      <c r="Z46" s="185">
        <f t="shared" si="67"/>
        <v>4731712.9604266295</v>
      </c>
      <c r="AA46" s="185">
        <f t="shared" si="67"/>
        <v>4818748.6280761501</v>
      </c>
      <c r="AB46" s="185">
        <f t="shared" si="67"/>
        <v>4907525.0090786582</v>
      </c>
      <c r="AC46" s="185">
        <f t="shared" si="67"/>
        <v>4998076.9177012183</v>
      </c>
      <c r="AD46" s="185">
        <f t="shared" si="67"/>
        <v>5090439.8644962292</v>
      </c>
      <c r="AE46" s="185">
        <f t="shared" si="67"/>
        <v>5184650.0702271406</v>
      </c>
      <c r="AF46" s="185">
        <f t="shared" si="67"/>
        <v>5280744.4800726706</v>
      </c>
      <c r="AG46" s="227" t="s">
        <v>164</v>
      </c>
      <c r="AH46" s="238" t="s">
        <v>164</v>
      </c>
      <c r="AI46" s="152"/>
    </row>
    <row r="47" spans="1:35" x14ac:dyDescent="0.25">
      <c r="A47" s="186" t="str">
        <f>CONCATENATE("Less: 10% of Incremental FORA Share after 7/1/2012 (goes to ",A4,")")</f>
        <v>Less: 10% of Incremental FORA Share after 7/1/2012 (goes to Seaside)</v>
      </c>
      <c r="B47" s="263">
        <v>391585.68236800004</v>
      </c>
      <c r="C47" s="185">
        <f t="shared" ref="C47:AF47" si="68">IF(C46&gt;0,-(0.1*(C46-$B$47)),0)</f>
        <v>-51559.352689087442</v>
      </c>
      <c r="D47" s="215">
        <f t="shared" si="68"/>
        <v>-89840.475926044732</v>
      </c>
      <c r="E47" s="185">
        <f t="shared" si="68"/>
        <v>-100502.70147655737</v>
      </c>
      <c r="F47" s="185">
        <f t="shared" si="68"/>
        <v>-140496.21745705631</v>
      </c>
      <c r="G47" s="185">
        <f t="shared" si="68"/>
        <v>-169964.56789947723</v>
      </c>
      <c r="H47" s="185">
        <f t="shared" si="68"/>
        <v>-201308.80411712418</v>
      </c>
      <c r="I47" s="185">
        <f t="shared" si="68"/>
        <v>-221542.92899831443</v>
      </c>
      <c r="J47" s="185">
        <f t="shared" si="68"/>
        <v>-235598.11258349489</v>
      </c>
      <c r="K47" s="185">
        <f t="shared" si="68"/>
        <v>-252652.93915179977</v>
      </c>
      <c r="L47" s="185">
        <f t="shared" si="68"/>
        <v>-272017.7799372435</v>
      </c>
      <c r="M47" s="185">
        <f t="shared" si="68"/>
        <v>-306647.36384329217</v>
      </c>
      <c r="N47" s="185">
        <f t="shared" si="68"/>
        <v>-341969.5394274618</v>
      </c>
      <c r="O47" s="185">
        <f t="shared" si="68"/>
        <v>-348832.2424248457</v>
      </c>
      <c r="P47" s="185">
        <f t="shared" si="68"/>
        <v>-355832.19948217738</v>
      </c>
      <c r="Q47" s="185">
        <f t="shared" si="68"/>
        <v>-362972.15568065562</v>
      </c>
      <c r="R47" s="185">
        <f t="shared" si="68"/>
        <v>-370254.91100310331</v>
      </c>
      <c r="S47" s="185">
        <f t="shared" si="68"/>
        <v>-377683.32143200014</v>
      </c>
      <c r="T47" s="185">
        <f t="shared" si="68"/>
        <v>-385260.30006947491</v>
      </c>
      <c r="U47" s="185">
        <f t="shared" si="68"/>
        <v>-392988.81827969896</v>
      </c>
      <c r="V47" s="185">
        <f t="shared" si="68"/>
        <v>-400871.90685412777</v>
      </c>
      <c r="W47" s="185">
        <f t="shared" si="68"/>
        <v>-408912.65720004507</v>
      </c>
      <c r="X47" s="185">
        <f t="shared" si="68"/>
        <v>-417114.22255288059</v>
      </c>
      <c r="Y47" s="185">
        <f t="shared" si="68"/>
        <v>-425479.81921277288</v>
      </c>
      <c r="Z47" s="185">
        <f t="shared" si="68"/>
        <v>-434012.72780586296</v>
      </c>
      <c r="AA47" s="185">
        <f t="shared" si="68"/>
        <v>-442716.29457081505</v>
      </c>
      <c r="AB47" s="185">
        <f t="shared" si="68"/>
        <v>-451593.93267106585</v>
      </c>
      <c r="AC47" s="185">
        <f t="shared" si="68"/>
        <v>-460649.12353332184</v>
      </c>
      <c r="AD47" s="185">
        <f t="shared" si="68"/>
        <v>-469885.41821282293</v>
      </c>
      <c r="AE47" s="185">
        <f t="shared" si="68"/>
        <v>-479306.4387859141</v>
      </c>
      <c r="AF47" s="185">
        <f t="shared" si="68"/>
        <v>-488915.87977046706</v>
      </c>
      <c r="AG47" s="227" t="s">
        <v>148</v>
      </c>
      <c r="AH47" s="238"/>
      <c r="AI47" s="152"/>
    </row>
    <row r="48" spans="1:35" ht="15" customHeight="1" x14ac:dyDescent="0.25">
      <c r="A48" s="186" t="s">
        <v>80</v>
      </c>
      <c r="B48" s="188"/>
      <c r="C48" s="189">
        <f t="shared" ref="C48:AF48" si="69">C42+C47</f>
        <v>855619.85656978702</v>
      </c>
      <c r="D48" s="216">
        <f t="shared" si="69"/>
        <v>1200149.9657024026</v>
      </c>
      <c r="E48" s="189">
        <f t="shared" si="69"/>
        <v>1296109.9956570163</v>
      </c>
      <c r="F48" s="189">
        <f t="shared" si="69"/>
        <v>1656051.6394815068</v>
      </c>
      <c r="G48" s="189">
        <f t="shared" si="69"/>
        <v>1921266.7934632951</v>
      </c>
      <c r="H48" s="189">
        <f t="shared" si="69"/>
        <v>2203364.9194221175</v>
      </c>
      <c r="I48" s="189">
        <f t="shared" si="69"/>
        <v>2385472.0433528298</v>
      </c>
      <c r="J48" s="189">
        <f t="shared" si="69"/>
        <v>2511968.6956194541</v>
      </c>
      <c r="K48" s="189">
        <f t="shared" si="69"/>
        <v>2665462.134734198</v>
      </c>
      <c r="L48" s="189">
        <f t="shared" si="69"/>
        <v>2839745.7018031916</v>
      </c>
      <c r="M48" s="189">
        <f t="shared" si="69"/>
        <v>3151411.9569576294</v>
      </c>
      <c r="N48" s="189">
        <f t="shared" si="69"/>
        <v>3469311.5372151565</v>
      </c>
      <c r="O48" s="189">
        <f t="shared" si="69"/>
        <v>3531075.8641916108</v>
      </c>
      <c r="P48" s="189">
        <f t="shared" si="69"/>
        <v>3594075.477707596</v>
      </c>
      <c r="Q48" s="189">
        <f t="shared" si="69"/>
        <v>3658335.0834939005</v>
      </c>
      <c r="R48" s="189">
        <f t="shared" si="69"/>
        <v>3723879.8813959295</v>
      </c>
      <c r="S48" s="189">
        <f t="shared" si="69"/>
        <v>3790735.5752560012</v>
      </c>
      <c r="T48" s="189">
        <f t="shared" si="69"/>
        <v>3858928.3829932739</v>
      </c>
      <c r="U48" s="189">
        <f t="shared" si="69"/>
        <v>3928485.0468852906</v>
      </c>
      <c r="V48" s="189">
        <f t="shared" si="69"/>
        <v>3999432.8440551497</v>
      </c>
      <c r="W48" s="189">
        <f t="shared" si="69"/>
        <v>4071799.5971684055</v>
      </c>
      <c r="X48" s="189">
        <f t="shared" si="69"/>
        <v>4145613.6853439249</v>
      </c>
      <c r="Y48" s="189">
        <f t="shared" si="69"/>
        <v>4220904.055282956</v>
      </c>
      <c r="Z48" s="189">
        <f t="shared" si="69"/>
        <v>4297700.2326207664</v>
      </c>
      <c r="AA48" s="189">
        <f t="shared" si="69"/>
        <v>4376032.3335053353</v>
      </c>
      <c r="AB48" s="189">
        <f t="shared" si="69"/>
        <v>4455931.0764075927</v>
      </c>
      <c r="AC48" s="189">
        <f t="shared" si="69"/>
        <v>4537427.7941678967</v>
      </c>
      <c r="AD48" s="189">
        <f t="shared" si="69"/>
        <v>4620554.4462834066</v>
      </c>
      <c r="AE48" s="189">
        <f t="shared" si="69"/>
        <v>4705343.6314412262</v>
      </c>
      <c r="AF48" s="189">
        <f t="shared" si="69"/>
        <v>4791828.6003022036</v>
      </c>
      <c r="AG48" s="227" t="s">
        <v>183</v>
      </c>
      <c r="AH48" s="240" t="s">
        <v>195</v>
      </c>
      <c r="AI48" s="152"/>
    </row>
    <row r="49" spans="1:35" ht="15" customHeight="1" x14ac:dyDescent="0.25">
      <c r="A49" s="186" t="str">
        <f>CONCATENATE("Less: ",$A$4," Portion of FORA Remediation Bonds Debt Service")</f>
        <v>Less: Seaside Portion of FORA Remediation Bonds Debt Service</v>
      </c>
      <c r="B49" s="186"/>
      <c r="C49" s="185">
        <v>0</v>
      </c>
      <c r="D49" s="215">
        <f>-'DS (Base Case)'!N53</f>
        <v>-664004.37636527955</v>
      </c>
      <c r="E49" s="185">
        <f>-'DS (Base Case)'!O53</f>
        <v>-664619.59078768734</v>
      </c>
      <c r="F49" s="185">
        <f>-'DS (Base Case)'!P53</f>
        <v>-664806.23069023807</v>
      </c>
      <c r="G49" s="185">
        <f>-'DS (Base Case)'!Q53</f>
        <v>-664726.47253358131</v>
      </c>
      <c r="H49" s="185">
        <f>-'DS (Base Case)'!R53</f>
        <v>-664343.14695468813</v>
      </c>
      <c r="I49" s="185">
        <f>-'DS (Base Case)'!S53</f>
        <v>-665310.54836176569</v>
      </c>
      <c r="J49" s="185">
        <f>-'DS (Base Case)'!T53</f>
        <v>-663741.72233952803</v>
      </c>
      <c r="K49" s="185">
        <f>-'DS (Base Case)'!U53</f>
        <v>-663165.64347600681</v>
      </c>
      <c r="L49" s="185">
        <f>-'DS (Base Case)'!V53</f>
        <v>-665376.67202412477</v>
      </c>
      <c r="M49" s="185">
        <f>-'DS (Base Case)'!W53</f>
        <v>-663895.18475231947</v>
      </c>
      <c r="N49" s="185">
        <f>-'DS (Base Case)'!X53</f>
        <v>-665179.39153222879</v>
      </c>
      <c r="O49" s="185">
        <f>-'DS (Base Case)'!Y53</f>
        <v>-664128.28635865683</v>
      </c>
      <c r="P49" s="185">
        <f>-'DS (Base Case)'!Z53</f>
        <v>-664106.64168157277</v>
      </c>
      <c r="Q49" s="185">
        <f>-'DS (Base Case)'!AA53</f>
        <v>-665021.00536846719</v>
      </c>
      <c r="R49" s="185">
        <f>-'DS (Base Case)'!AB53</f>
        <v>-665242.40893558657</v>
      </c>
      <c r="S49" s="185">
        <f>-'DS (Base Case)'!AC53</f>
        <v>-663079.06476767058</v>
      </c>
      <c r="T49" s="185">
        <f>-'DS (Base Case)'!AD53</f>
        <v>-663607.78970407508</v>
      </c>
      <c r="U49" s="185">
        <f>-'DS (Base Case)'!AE53</f>
        <v>-665032.04250151466</v>
      </c>
      <c r="V49" s="185">
        <f>-'DS (Base Case)'!AF53</f>
        <v>-665709.14087319758</v>
      </c>
      <c r="W49" s="185">
        <f>-'DS (Base Case)'!AG53</f>
        <v>-664078.68535056035</v>
      </c>
      <c r="X49" s="185">
        <f>-'DS (Base Case)'!AH53</f>
        <v>-665189.66862318025</v>
      </c>
      <c r="Y49" s="185">
        <f>-'DS (Base Case)'!AI53</f>
        <v>-663906.68451968627</v>
      </c>
      <c r="Z49" s="185">
        <f>-'DS (Base Case)'!AJ53</f>
        <v>-665306.97946844494</v>
      </c>
      <c r="AA49" s="185">
        <f>-'DS (Base Case)'!AK53</f>
        <v>-664252.17322031804</v>
      </c>
      <c r="AB49" s="185">
        <f>-'DS (Base Case)'!AL53</f>
        <v>-664144.44551452564</v>
      </c>
      <c r="AC49" s="185">
        <f>-'DS (Base Case)'!AM53</f>
        <v>-664881.85157426726</v>
      </c>
      <c r="AD49" s="185">
        <f>-'DS (Base Case)'!AN53</f>
        <v>-664798.08171715564</v>
      </c>
      <c r="AE49" s="185">
        <f>-'DS (Base Case)'!AO53</f>
        <v>-665497.32044555061</v>
      </c>
      <c r="AF49" s="185">
        <f>-'DS (Base Case)'!AP53</f>
        <v>-663638.85229408881</v>
      </c>
      <c r="AG49" s="227" t="s">
        <v>147</v>
      </c>
      <c r="AH49" s="238" t="s">
        <v>147</v>
      </c>
      <c r="AI49" s="152"/>
    </row>
    <row r="50" spans="1:35" ht="15" customHeight="1" x14ac:dyDescent="0.25">
      <c r="A50" s="192" t="s">
        <v>166</v>
      </c>
      <c r="B50" s="187"/>
      <c r="C50" s="190">
        <f>SUM(C48:C49)</f>
        <v>855619.85656978702</v>
      </c>
      <c r="D50" s="217">
        <f t="shared" ref="D50:AF50" si="70">SUM(D48:D49)</f>
        <v>536145.58933712309</v>
      </c>
      <c r="E50" s="190">
        <f t="shared" si="70"/>
        <v>631490.40486932895</v>
      </c>
      <c r="F50" s="190">
        <f t="shared" si="70"/>
        <v>991245.40879126871</v>
      </c>
      <c r="G50" s="190">
        <f t="shared" si="70"/>
        <v>1256540.3209297138</v>
      </c>
      <c r="H50" s="190">
        <f t="shared" si="70"/>
        <v>1539021.7724674293</v>
      </c>
      <c r="I50" s="190">
        <f t="shared" si="70"/>
        <v>1720161.4949910641</v>
      </c>
      <c r="J50" s="190">
        <f t="shared" si="70"/>
        <v>1848226.973279926</v>
      </c>
      <c r="K50" s="190">
        <f t="shared" si="70"/>
        <v>2002296.4912581912</v>
      </c>
      <c r="L50" s="190">
        <f t="shared" si="70"/>
        <v>2174369.0297790668</v>
      </c>
      <c r="M50" s="190">
        <f t="shared" si="70"/>
        <v>2487516.7722053099</v>
      </c>
      <c r="N50" s="190">
        <f t="shared" si="70"/>
        <v>2804132.1456829277</v>
      </c>
      <c r="O50" s="190">
        <f t="shared" si="70"/>
        <v>2866947.577832954</v>
      </c>
      <c r="P50" s="190">
        <f t="shared" si="70"/>
        <v>2929968.8360260231</v>
      </c>
      <c r="Q50" s="190">
        <f t="shared" si="70"/>
        <v>2993314.0781254331</v>
      </c>
      <c r="R50" s="190">
        <f t="shared" si="70"/>
        <v>3058637.472460343</v>
      </c>
      <c r="S50" s="190">
        <f t="shared" si="70"/>
        <v>3127656.5104883304</v>
      </c>
      <c r="T50" s="190">
        <f t="shared" si="70"/>
        <v>3195320.5932891988</v>
      </c>
      <c r="U50" s="190">
        <f t="shared" si="70"/>
        <v>3263453.0043837759</v>
      </c>
      <c r="V50" s="190">
        <f t="shared" si="70"/>
        <v>3333723.7031819522</v>
      </c>
      <c r="W50" s="190">
        <f t="shared" si="70"/>
        <v>3407720.911817845</v>
      </c>
      <c r="X50" s="190">
        <f t="shared" si="70"/>
        <v>3480424.0167207448</v>
      </c>
      <c r="Y50" s="190">
        <f t="shared" si="70"/>
        <v>3556997.3707632697</v>
      </c>
      <c r="Z50" s="190">
        <f t="shared" si="70"/>
        <v>3632393.2531523216</v>
      </c>
      <c r="AA50" s="190">
        <f t="shared" si="70"/>
        <v>3711780.1602850175</v>
      </c>
      <c r="AB50" s="190">
        <f t="shared" si="70"/>
        <v>3791786.630893067</v>
      </c>
      <c r="AC50" s="190">
        <f t="shared" si="70"/>
        <v>3872545.9425936295</v>
      </c>
      <c r="AD50" s="190">
        <f t="shared" si="70"/>
        <v>3955756.3645662507</v>
      </c>
      <c r="AE50" s="190">
        <f t="shared" si="70"/>
        <v>4039846.3109956756</v>
      </c>
      <c r="AF50" s="190">
        <f t="shared" si="70"/>
        <v>4128189.7480081148</v>
      </c>
      <c r="AG50" s="227" t="s">
        <v>184</v>
      </c>
      <c r="AH50" s="240" t="s">
        <v>196</v>
      </c>
      <c r="AI50" s="152"/>
    </row>
    <row r="51" spans="1:35" ht="8.1" customHeight="1" x14ac:dyDescent="0.25">
      <c r="A51" s="171"/>
      <c r="B51" s="172"/>
      <c r="C51" s="136"/>
      <c r="D51" s="205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227"/>
      <c r="AH51" s="238"/>
      <c r="AI51" s="152"/>
    </row>
    <row r="52" spans="1:35" ht="15" customHeight="1" x14ac:dyDescent="0.25">
      <c r="A52" s="198" t="s">
        <v>168</v>
      </c>
      <c r="B52" s="199"/>
      <c r="C52" s="135"/>
      <c r="D52" s="218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227"/>
      <c r="AH52" s="238"/>
      <c r="AI52" s="152"/>
    </row>
    <row r="53" spans="1:35" ht="15" customHeight="1" x14ac:dyDescent="0.25">
      <c r="A53" s="200" t="s">
        <v>161</v>
      </c>
      <c r="B53" s="201">
        <v>0.38</v>
      </c>
      <c r="C53" s="135">
        <v>0</v>
      </c>
      <c r="D53" s="218">
        <v>0</v>
      </c>
      <c r="E53" s="135">
        <f t="shared" ref="E53:AF53" si="71">E50*$B$53</f>
        <v>239966.35385034501</v>
      </c>
      <c r="F53" s="135">
        <f t="shared" si="71"/>
        <v>376673.25534068211</v>
      </c>
      <c r="G53" s="135">
        <f t="shared" si="71"/>
        <v>477485.32195329125</v>
      </c>
      <c r="H53" s="135">
        <f t="shared" si="71"/>
        <v>584828.27353762311</v>
      </c>
      <c r="I53" s="135">
        <f t="shared" si="71"/>
        <v>653661.36809660436</v>
      </c>
      <c r="J53" s="135">
        <f t="shared" si="71"/>
        <v>702326.24984637194</v>
      </c>
      <c r="K53" s="135">
        <f t="shared" si="71"/>
        <v>760872.6666781127</v>
      </c>
      <c r="L53" s="135">
        <f t="shared" si="71"/>
        <v>826260.23131604539</v>
      </c>
      <c r="M53" s="135">
        <f t="shared" si="71"/>
        <v>945256.37343801779</v>
      </c>
      <c r="N53" s="135">
        <f t="shared" si="71"/>
        <v>1065570.2153595125</v>
      </c>
      <c r="O53" s="135">
        <f t="shared" si="71"/>
        <v>1089440.0795765226</v>
      </c>
      <c r="P53" s="135">
        <f t="shared" si="71"/>
        <v>1113388.1576898887</v>
      </c>
      <c r="Q53" s="135">
        <f t="shared" si="71"/>
        <v>1137459.3496876645</v>
      </c>
      <c r="R53" s="135">
        <f t="shared" si="71"/>
        <v>1162282.2395349303</v>
      </c>
      <c r="S53" s="135">
        <f t="shared" si="71"/>
        <v>1188509.4739855656</v>
      </c>
      <c r="T53" s="135">
        <f t="shared" si="71"/>
        <v>1214221.8254498956</v>
      </c>
      <c r="U53" s="135">
        <f t="shared" si="71"/>
        <v>1240112.1416658349</v>
      </c>
      <c r="V53" s="135">
        <f t="shared" si="71"/>
        <v>1266815.007209142</v>
      </c>
      <c r="W53" s="135">
        <f t="shared" si="71"/>
        <v>1294933.9464907811</v>
      </c>
      <c r="X53" s="135">
        <f t="shared" si="71"/>
        <v>1322561.126353883</v>
      </c>
      <c r="Y53" s="135">
        <f t="shared" si="71"/>
        <v>1351659.0008900424</v>
      </c>
      <c r="Z53" s="135">
        <f t="shared" si="71"/>
        <v>1380309.4361978823</v>
      </c>
      <c r="AA53" s="135">
        <f t="shared" si="71"/>
        <v>1410476.4609083068</v>
      </c>
      <c r="AB53" s="135">
        <f t="shared" si="71"/>
        <v>1440878.9197393656</v>
      </c>
      <c r="AC53" s="135">
        <f t="shared" si="71"/>
        <v>1471567.4581855792</v>
      </c>
      <c r="AD53" s="135">
        <f t="shared" si="71"/>
        <v>1503187.4185351753</v>
      </c>
      <c r="AE53" s="135">
        <f t="shared" si="71"/>
        <v>1535141.5981783567</v>
      </c>
      <c r="AF53" s="135">
        <f t="shared" si="71"/>
        <v>1568712.1042430836</v>
      </c>
      <c r="AG53" s="234"/>
      <c r="AH53" s="244" t="s">
        <v>172</v>
      </c>
      <c r="AI53" s="124"/>
    </row>
    <row r="54" spans="1:35" ht="15" customHeight="1" x14ac:dyDescent="0.25">
      <c r="A54" s="200" t="s">
        <v>162</v>
      </c>
      <c r="B54" s="202">
        <v>0.08</v>
      </c>
      <c r="C54" s="135">
        <v>0</v>
      </c>
      <c r="D54" s="218">
        <v>0</v>
      </c>
      <c r="E54" s="135">
        <f t="shared" ref="E54:AF54" si="72">E50*$B$54</f>
        <v>50519.23238954632</v>
      </c>
      <c r="F54" s="135">
        <f t="shared" si="72"/>
        <v>79299.632703301497</v>
      </c>
      <c r="G54" s="135">
        <f t="shared" si="72"/>
        <v>100523.2256743771</v>
      </c>
      <c r="H54" s="135">
        <f t="shared" si="72"/>
        <v>123121.74179739435</v>
      </c>
      <c r="I54" s="135">
        <f t="shared" si="72"/>
        <v>137612.91959928512</v>
      </c>
      <c r="J54" s="135">
        <f t="shared" si="72"/>
        <v>147858.15786239409</v>
      </c>
      <c r="K54" s="135">
        <f t="shared" si="72"/>
        <v>160183.7193006553</v>
      </c>
      <c r="L54" s="135">
        <f t="shared" si="72"/>
        <v>173949.52238232535</v>
      </c>
      <c r="M54" s="135">
        <f t="shared" si="72"/>
        <v>199001.34177642479</v>
      </c>
      <c r="N54" s="135">
        <f t="shared" si="72"/>
        <v>224330.57165463423</v>
      </c>
      <c r="O54" s="135">
        <f t="shared" si="72"/>
        <v>229355.80622663631</v>
      </c>
      <c r="P54" s="135">
        <f t="shared" si="72"/>
        <v>234397.50688208186</v>
      </c>
      <c r="Q54" s="135">
        <f t="shared" si="72"/>
        <v>239465.12625003466</v>
      </c>
      <c r="R54" s="135">
        <f t="shared" si="72"/>
        <v>244690.99779682746</v>
      </c>
      <c r="S54" s="135">
        <f t="shared" si="72"/>
        <v>250212.52083906645</v>
      </c>
      <c r="T54" s="135">
        <f t="shared" si="72"/>
        <v>255625.64746313592</v>
      </c>
      <c r="U54" s="135">
        <f t="shared" si="72"/>
        <v>261076.24035070208</v>
      </c>
      <c r="V54" s="135">
        <f t="shared" si="72"/>
        <v>266697.8962545562</v>
      </c>
      <c r="W54" s="135">
        <f t="shared" si="72"/>
        <v>272617.67294542759</v>
      </c>
      <c r="X54" s="135">
        <f t="shared" si="72"/>
        <v>278433.92133765959</v>
      </c>
      <c r="Y54" s="135">
        <f t="shared" si="72"/>
        <v>284559.7896610616</v>
      </c>
      <c r="Z54" s="135">
        <f t="shared" si="72"/>
        <v>290591.46025218576</v>
      </c>
      <c r="AA54" s="135">
        <f t="shared" si="72"/>
        <v>296942.41282280139</v>
      </c>
      <c r="AB54" s="135">
        <f t="shared" si="72"/>
        <v>303342.93047144538</v>
      </c>
      <c r="AC54" s="135">
        <f t="shared" si="72"/>
        <v>309803.67540749034</v>
      </c>
      <c r="AD54" s="135">
        <f t="shared" si="72"/>
        <v>316460.50916530006</v>
      </c>
      <c r="AE54" s="135">
        <f t="shared" si="72"/>
        <v>323187.70487965405</v>
      </c>
      <c r="AF54" s="135">
        <f t="shared" si="72"/>
        <v>330255.17984064919</v>
      </c>
      <c r="AG54" s="233"/>
      <c r="AH54" s="243" t="s">
        <v>173</v>
      </c>
      <c r="AI54" s="152"/>
    </row>
    <row r="55" spans="1:35" ht="15" customHeight="1" x14ac:dyDescent="0.25">
      <c r="A55" s="200" t="s">
        <v>163</v>
      </c>
      <c r="B55" s="203">
        <v>0.54</v>
      </c>
      <c r="C55" s="135">
        <v>0</v>
      </c>
      <c r="D55" s="218">
        <v>0</v>
      </c>
      <c r="E55" s="135">
        <f t="shared" ref="E55:AF55" si="73">$B$55*E50</f>
        <v>341004.81862943765</v>
      </c>
      <c r="F55" s="135">
        <f t="shared" si="73"/>
        <v>535272.5207472851</v>
      </c>
      <c r="G55" s="135">
        <f t="shared" si="73"/>
        <v>678531.77330204553</v>
      </c>
      <c r="H55" s="135">
        <f t="shared" si="73"/>
        <v>831071.75713241182</v>
      </c>
      <c r="I55" s="135">
        <f t="shared" si="73"/>
        <v>928887.20729517471</v>
      </c>
      <c r="J55" s="135">
        <f t="shared" si="73"/>
        <v>998042.56557116006</v>
      </c>
      <c r="K55" s="135">
        <f t="shared" si="73"/>
        <v>1081240.1052794233</v>
      </c>
      <c r="L55" s="135">
        <f t="shared" si="73"/>
        <v>1174159.2760806961</v>
      </c>
      <c r="M55" s="135">
        <f t="shared" si="73"/>
        <v>1343259.0569908675</v>
      </c>
      <c r="N55" s="135">
        <f t="shared" si="73"/>
        <v>1514231.3586687811</v>
      </c>
      <c r="O55" s="135">
        <f t="shared" si="73"/>
        <v>1548151.6920297954</v>
      </c>
      <c r="P55" s="135">
        <f t="shared" si="73"/>
        <v>1582183.1714540527</v>
      </c>
      <c r="Q55" s="135">
        <f t="shared" si="73"/>
        <v>1616389.6021877339</v>
      </c>
      <c r="R55" s="135">
        <f t="shared" si="73"/>
        <v>1651664.2351285852</v>
      </c>
      <c r="S55" s="135">
        <f t="shared" si="73"/>
        <v>1688934.5156636985</v>
      </c>
      <c r="T55" s="135">
        <f t="shared" si="73"/>
        <v>1725473.1203761676</v>
      </c>
      <c r="U55" s="135">
        <f t="shared" si="73"/>
        <v>1762264.6223672391</v>
      </c>
      <c r="V55" s="135">
        <f t="shared" si="73"/>
        <v>1800210.7997182542</v>
      </c>
      <c r="W55" s="135">
        <f t="shared" si="73"/>
        <v>1840169.2923816363</v>
      </c>
      <c r="X55" s="135">
        <f t="shared" si="73"/>
        <v>1879428.9690292024</v>
      </c>
      <c r="Y55" s="135">
        <f t="shared" si="73"/>
        <v>1920778.5802121658</v>
      </c>
      <c r="Z55" s="135">
        <f t="shared" si="73"/>
        <v>1961492.3567022537</v>
      </c>
      <c r="AA55" s="135">
        <f t="shared" si="73"/>
        <v>2004361.2865539095</v>
      </c>
      <c r="AB55" s="135">
        <f t="shared" si="73"/>
        <v>2047564.7806822562</v>
      </c>
      <c r="AC55" s="135">
        <f t="shared" si="73"/>
        <v>2091174.8090005601</v>
      </c>
      <c r="AD55" s="135">
        <f t="shared" si="73"/>
        <v>2136108.4368657754</v>
      </c>
      <c r="AE55" s="135">
        <f t="shared" si="73"/>
        <v>2181517.0079376651</v>
      </c>
      <c r="AF55" s="135">
        <f t="shared" si="73"/>
        <v>2229222.4639243819</v>
      </c>
      <c r="AG55" s="227" t="s">
        <v>185</v>
      </c>
      <c r="AH55" s="240" t="s">
        <v>188</v>
      </c>
      <c r="AI55" s="152"/>
    </row>
    <row r="56" spans="1:35" ht="15" customHeight="1" x14ac:dyDescent="0.25">
      <c r="A56" s="220" t="s">
        <v>160</v>
      </c>
      <c r="B56" s="221">
        <f>SUM(B53:B55)</f>
        <v>1</v>
      </c>
      <c r="C56" s="222">
        <f>SUM(C53:C55)</f>
        <v>0</v>
      </c>
      <c r="D56" s="223">
        <f t="shared" ref="D56:AF56" si="74">SUM(D53:D55)</f>
        <v>0</v>
      </c>
      <c r="E56" s="222">
        <f t="shared" si="74"/>
        <v>631490.40486932895</v>
      </c>
      <c r="F56" s="222">
        <f t="shared" si="74"/>
        <v>991245.40879126871</v>
      </c>
      <c r="G56" s="222">
        <f t="shared" si="74"/>
        <v>1256540.320929714</v>
      </c>
      <c r="H56" s="222">
        <f t="shared" si="74"/>
        <v>1539021.7724674293</v>
      </c>
      <c r="I56" s="222">
        <f t="shared" si="74"/>
        <v>1720161.4949910641</v>
      </c>
      <c r="J56" s="222">
        <f t="shared" si="74"/>
        <v>1848226.973279926</v>
      </c>
      <c r="K56" s="222">
        <f t="shared" si="74"/>
        <v>2002296.4912581914</v>
      </c>
      <c r="L56" s="222">
        <f t="shared" si="74"/>
        <v>2174369.0297790668</v>
      </c>
      <c r="M56" s="222">
        <f t="shared" si="74"/>
        <v>2487516.7722053099</v>
      </c>
      <c r="N56" s="222">
        <f t="shared" si="74"/>
        <v>2804132.1456829282</v>
      </c>
      <c r="O56" s="222">
        <f t="shared" si="74"/>
        <v>2866947.577832954</v>
      </c>
      <c r="P56" s="222">
        <f t="shared" si="74"/>
        <v>2929968.8360260231</v>
      </c>
      <c r="Q56" s="222">
        <f t="shared" si="74"/>
        <v>2993314.0781254331</v>
      </c>
      <c r="R56" s="222">
        <f t="shared" si="74"/>
        <v>3058637.472460343</v>
      </c>
      <c r="S56" s="222">
        <f t="shared" si="74"/>
        <v>3127656.5104883304</v>
      </c>
      <c r="T56" s="222">
        <f t="shared" si="74"/>
        <v>3195320.5932891993</v>
      </c>
      <c r="U56" s="222">
        <f t="shared" si="74"/>
        <v>3263453.0043837763</v>
      </c>
      <c r="V56" s="222">
        <f t="shared" si="74"/>
        <v>3333723.7031819522</v>
      </c>
      <c r="W56" s="222">
        <f t="shared" si="74"/>
        <v>3407720.911817845</v>
      </c>
      <c r="X56" s="222">
        <f t="shared" si="74"/>
        <v>3480424.0167207448</v>
      </c>
      <c r="Y56" s="222">
        <f t="shared" si="74"/>
        <v>3556997.3707632702</v>
      </c>
      <c r="Z56" s="222">
        <f t="shared" si="74"/>
        <v>3632393.253152322</v>
      </c>
      <c r="AA56" s="222">
        <f t="shared" si="74"/>
        <v>3711780.1602850175</v>
      </c>
      <c r="AB56" s="222">
        <f t="shared" si="74"/>
        <v>3791786.6308930675</v>
      </c>
      <c r="AC56" s="222">
        <f t="shared" si="74"/>
        <v>3872545.9425936295</v>
      </c>
      <c r="AD56" s="222">
        <f t="shared" si="74"/>
        <v>3955756.3645662507</v>
      </c>
      <c r="AE56" s="222">
        <f t="shared" si="74"/>
        <v>4039846.3109956756</v>
      </c>
      <c r="AF56" s="222">
        <f t="shared" si="74"/>
        <v>4128189.7480081148</v>
      </c>
      <c r="AG56" s="227"/>
      <c r="AH56" s="238"/>
      <c r="AI56" s="152"/>
    </row>
    <row r="57" spans="1:35" ht="8.1" customHeight="1" x14ac:dyDescent="0.25">
      <c r="A57" s="140"/>
      <c r="B57" s="101"/>
      <c r="C57" s="136"/>
      <c r="D57" s="205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227"/>
      <c r="AH57" s="238"/>
      <c r="AI57" s="152"/>
    </row>
    <row r="58" spans="1:35" ht="15" customHeight="1" x14ac:dyDescent="0.25">
      <c r="A58" s="150" t="str">
        <f>CONCATENATE("Increase in ",A4," General Fund Revenues")</f>
        <v>Increase in Seaside General Fund Revenues</v>
      </c>
      <c r="B58" s="251" t="s">
        <v>198</v>
      </c>
      <c r="C58" s="136"/>
      <c r="D58" s="205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227"/>
      <c r="AH58" s="238"/>
      <c r="AI58" s="152"/>
    </row>
    <row r="59" spans="1:35" ht="30" customHeight="1" x14ac:dyDescent="0.25">
      <c r="A59" s="178" t="s">
        <v>199</v>
      </c>
      <c r="B59" s="252">
        <f>Scenarios!C7</f>
        <v>0.2</v>
      </c>
      <c r="C59" s="177">
        <v>0</v>
      </c>
      <c r="D59" s="224">
        <v>0</v>
      </c>
      <c r="E59" s="177">
        <f t="shared" ref="E59:L59" si="75">E55*$B$59</f>
        <v>68200.96372588753</v>
      </c>
      <c r="F59" s="177">
        <f t="shared" si="75"/>
        <v>107054.50414945703</v>
      </c>
      <c r="G59" s="177">
        <f t="shared" si="75"/>
        <v>135706.35466040912</v>
      </c>
      <c r="H59" s="177">
        <f t="shared" si="75"/>
        <v>166214.35142648238</v>
      </c>
      <c r="I59" s="177">
        <f t="shared" si="75"/>
        <v>185777.44145903495</v>
      </c>
      <c r="J59" s="177">
        <f t="shared" si="75"/>
        <v>199608.51311423202</v>
      </c>
      <c r="K59" s="177">
        <f t="shared" si="75"/>
        <v>216248.02105588466</v>
      </c>
      <c r="L59" s="177">
        <f t="shared" si="75"/>
        <v>234831.85521613923</v>
      </c>
      <c r="M59" s="177">
        <f>M55*$B$59</f>
        <v>268651.81139817351</v>
      </c>
      <c r="N59" s="177">
        <f t="shared" ref="N59:AF59" si="76">N55*$B$59</f>
        <v>302846.27173375624</v>
      </c>
      <c r="O59" s="177">
        <f t="shared" si="76"/>
        <v>309630.33840595908</v>
      </c>
      <c r="P59" s="177">
        <f t="shared" si="76"/>
        <v>316436.63429081056</v>
      </c>
      <c r="Q59" s="177">
        <f t="shared" si="76"/>
        <v>323277.9204375468</v>
      </c>
      <c r="R59" s="177">
        <f t="shared" si="76"/>
        <v>330332.84702571708</v>
      </c>
      <c r="S59" s="177">
        <f t="shared" si="76"/>
        <v>337786.90313273971</v>
      </c>
      <c r="T59" s="177">
        <f t="shared" si="76"/>
        <v>345094.62407523353</v>
      </c>
      <c r="U59" s="177">
        <f t="shared" si="76"/>
        <v>352452.92447344784</v>
      </c>
      <c r="V59" s="177">
        <f t="shared" si="76"/>
        <v>360042.15994365088</v>
      </c>
      <c r="W59" s="177">
        <f t="shared" si="76"/>
        <v>368033.85847632727</v>
      </c>
      <c r="X59" s="177">
        <f t="shared" si="76"/>
        <v>375885.79380584048</v>
      </c>
      <c r="Y59" s="177">
        <f t="shared" si="76"/>
        <v>384155.71604243317</v>
      </c>
      <c r="Z59" s="177">
        <f t="shared" si="76"/>
        <v>392298.47134045075</v>
      </c>
      <c r="AA59" s="177">
        <f t="shared" si="76"/>
        <v>400872.25731078192</v>
      </c>
      <c r="AB59" s="177">
        <f t="shared" si="76"/>
        <v>409512.95613645128</v>
      </c>
      <c r="AC59" s="177">
        <f t="shared" si="76"/>
        <v>418234.96180011204</v>
      </c>
      <c r="AD59" s="177">
        <f t="shared" si="76"/>
        <v>427221.68737315509</v>
      </c>
      <c r="AE59" s="177">
        <f t="shared" si="76"/>
        <v>436303.40158753307</v>
      </c>
      <c r="AF59" s="177">
        <f t="shared" si="76"/>
        <v>445844.49278487638</v>
      </c>
      <c r="AG59" s="235" t="s">
        <v>186</v>
      </c>
      <c r="AH59" s="245" t="s">
        <v>187</v>
      </c>
      <c r="AI59" s="152"/>
    </row>
    <row r="60" spans="1:35" ht="15" hidden="1" customHeight="1" x14ac:dyDescent="0.25">
      <c r="A60" s="151" t="str">
        <f>CONCATENATE("Add Back In: 10% of Incremental FORA Share sent to ",A4)</f>
        <v>Add Back In: 10% of Incremental FORA Share sent to Seaside</v>
      </c>
      <c r="B60" s="142"/>
      <c r="C60" s="145">
        <f t="shared" ref="C60:M60" si="77">-C47</f>
        <v>51559.352689087442</v>
      </c>
      <c r="D60" s="211">
        <f t="shared" si="77"/>
        <v>89840.475926044732</v>
      </c>
      <c r="E60" s="145">
        <f t="shared" si="77"/>
        <v>100502.70147655737</v>
      </c>
      <c r="F60" s="145">
        <f t="shared" si="77"/>
        <v>140496.21745705631</v>
      </c>
      <c r="G60" s="145">
        <f t="shared" si="77"/>
        <v>169964.56789947723</v>
      </c>
      <c r="H60" s="145">
        <f t="shared" si="77"/>
        <v>201308.80411712418</v>
      </c>
      <c r="I60" s="145">
        <f t="shared" si="77"/>
        <v>221542.92899831443</v>
      </c>
      <c r="J60" s="145">
        <f t="shared" si="77"/>
        <v>235598.11258349489</v>
      </c>
      <c r="K60" s="145">
        <f t="shared" si="77"/>
        <v>252652.93915179977</v>
      </c>
      <c r="L60" s="145">
        <f t="shared" si="77"/>
        <v>272017.7799372435</v>
      </c>
      <c r="M60" s="145">
        <f t="shared" si="77"/>
        <v>306647.36384329217</v>
      </c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227" t="s">
        <v>148</v>
      </c>
      <c r="AH60" s="238"/>
      <c r="AI60" s="26"/>
    </row>
    <row r="61" spans="1:35" x14ac:dyDescent="0.25">
      <c r="A61" s="153" t="str">
        <f>CONCATENATE("Increase in Net Property Taxes Received by ",A4," General Fund")</f>
        <v>Increase in Net Property Taxes Received by Seaside General Fund</v>
      </c>
      <c r="B61" s="153"/>
      <c r="C61" s="154">
        <f>C59</f>
        <v>0</v>
      </c>
      <c r="D61" s="219">
        <f t="shared" ref="D61:AF61" si="78">D59</f>
        <v>0</v>
      </c>
      <c r="E61" s="154">
        <f t="shared" si="78"/>
        <v>68200.96372588753</v>
      </c>
      <c r="F61" s="154">
        <f t="shared" si="78"/>
        <v>107054.50414945703</v>
      </c>
      <c r="G61" s="154">
        <f t="shared" si="78"/>
        <v>135706.35466040912</v>
      </c>
      <c r="H61" s="154">
        <f t="shared" si="78"/>
        <v>166214.35142648238</v>
      </c>
      <c r="I61" s="154">
        <f t="shared" si="78"/>
        <v>185777.44145903495</v>
      </c>
      <c r="J61" s="154">
        <f t="shared" si="78"/>
        <v>199608.51311423202</v>
      </c>
      <c r="K61" s="154">
        <f t="shared" si="78"/>
        <v>216248.02105588466</v>
      </c>
      <c r="L61" s="154">
        <f t="shared" si="78"/>
        <v>234831.85521613923</v>
      </c>
      <c r="M61" s="154">
        <f t="shared" si="78"/>
        <v>268651.81139817351</v>
      </c>
      <c r="N61" s="154">
        <f t="shared" si="78"/>
        <v>302846.27173375624</v>
      </c>
      <c r="O61" s="154">
        <f t="shared" si="78"/>
        <v>309630.33840595908</v>
      </c>
      <c r="P61" s="154">
        <f t="shared" si="78"/>
        <v>316436.63429081056</v>
      </c>
      <c r="Q61" s="154">
        <f t="shared" si="78"/>
        <v>323277.9204375468</v>
      </c>
      <c r="R61" s="154">
        <f t="shared" si="78"/>
        <v>330332.84702571708</v>
      </c>
      <c r="S61" s="154">
        <f t="shared" si="78"/>
        <v>337786.90313273971</v>
      </c>
      <c r="T61" s="154">
        <f t="shared" si="78"/>
        <v>345094.62407523353</v>
      </c>
      <c r="U61" s="154">
        <f t="shared" si="78"/>
        <v>352452.92447344784</v>
      </c>
      <c r="V61" s="154">
        <f t="shared" si="78"/>
        <v>360042.15994365088</v>
      </c>
      <c r="W61" s="154">
        <f t="shared" si="78"/>
        <v>368033.85847632727</v>
      </c>
      <c r="X61" s="154">
        <f t="shared" si="78"/>
        <v>375885.79380584048</v>
      </c>
      <c r="Y61" s="154">
        <f t="shared" si="78"/>
        <v>384155.71604243317</v>
      </c>
      <c r="Z61" s="154">
        <f t="shared" si="78"/>
        <v>392298.47134045075</v>
      </c>
      <c r="AA61" s="154">
        <f t="shared" si="78"/>
        <v>400872.25731078192</v>
      </c>
      <c r="AB61" s="154">
        <f t="shared" si="78"/>
        <v>409512.95613645128</v>
      </c>
      <c r="AC61" s="154">
        <f t="shared" si="78"/>
        <v>418234.96180011204</v>
      </c>
      <c r="AD61" s="154">
        <f t="shared" si="78"/>
        <v>427221.68737315509</v>
      </c>
      <c r="AE61" s="154">
        <f t="shared" si="78"/>
        <v>436303.40158753307</v>
      </c>
      <c r="AF61" s="154">
        <f t="shared" si="78"/>
        <v>445844.49278487638</v>
      </c>
      <c r="AG61" s="230"/>
      <c r="AH61" s="240" t="s">
        <v>216</v>
      </c>
    </row>
    <row r="62" spans="1:35" x14ac:dyDescent="0.25">
      <c r="A62" s="1" t="s">
        <v>103</v>
      </c>
      <c r="C62" s="109">
        <f>NPV(Assumptions!D4,'1 - Seaside'!D61:AF61)+'1 - Seaside'!C61</f>
        <v>4126378.8846759372</v>
      </c>
      <c r="E62" s="80"/>
      <c r="AG62" s="227"/>
      <c r="AH62" s="238"/>
    </row>
    <row r="63" spans="1:35" x14ac:dyDescent="0.25">
      <c r="D63" s="80"/>
      <c r="AG63" s="227"/>
      <c r="AH63" s="238"/>
    </row>
    <row r="64" spans="1:35" x14ac:dyDescent="0.25">
      <c r="A64" s="19" t="s">
        <v>322</v>
      </c>
      <c r="D64" s="80"/>
      <c r="AG64" s="227"/>
      <c r="AH64" s="238"/>
    </row>
    <row r="65" spans="1:34" x14ac:dyDescent="0.25">
      <c r="A65" s="19" t="s">
        <v>201</v>
      </c>
      <c r="E65" s="80"/>
      <c r="AG65" s="227"/>
      <c r="AH65" s="238"/>
    </row>
    <row r="66" spans="1:34" x14ac:dyDescent="0.25">
      <c r="A66" s="19"/>
      <c r="AG66" s="227"/>
      <c r="AH66" s="238"/>
    </row>
    <row r="67" spans="1:34" ht="15.75" x14ac:dyDescent="0.25">
      <c r="A67" s="65"/>
      <c r="AG67" s="227"/>
      <c r="AH67" s="238"/>
    </row>
    <row r="68" spans="1:34" x14ac:dyDescent="0.25">
      <c r="AG68" s="227"/>
      <c r="AH68" s="238"/>
    </row>
    <row r="69" spans="1:34" x14ac:dyDescent="0.25">
      <c r="AG69" s="236"/>
      <c r="AH69" s="246"/>
    </row>
  </sheetData>
  <mergeCells count="4">
    <mergeCell ref="C6:D6"/>
    <mergeCell ref="E6:M6"/>
    <mergeCell ref="AH10:AH12"/>
    <mergeCell ref="B45:B46"/>
  </mergeCells>
  <pageMargins left="0.25" right="0.25" top="0.75" bottom="0.75" header="0.3" footer="0.3"/>
  <pageSetup scale="55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W62"/>
  <sheetViews>
    <sheetView showGridLines="0" zoomScale="85" zoomScaleNormal="85" workbookViewId="0">
      <selection activeCell="E8" sqref="E8:N8"/>
    </sheetView>
  </sheetViews>
  <sheetFormatPr defaultColWidth="8.85546875" defaultRowHeight="15" x14ac:dyDescent="0.25"/>
  <cols>
    <col min="1" max="1" width="63.28515625" customWidth="1"/>
    <col min="2" max="2" width="15.28515625" customWidth="1"/>
    <col min="3" max="32" width="13.28515625" customWidth="1"/>
    <col min="33" max="33" width="4.28515625" style="226" bestFit="1" customWidth="1"/>
    <col min="34" max="34" width="17.85546875" style="237" customWidth="1"/>
    <col min="35" max="35" width="13.85546875" customWidth="1"/>
    <col min="36" max="40" width="8.85546875" style="139"/>
    <col min="49" max="49" width="8.85546875" style="139"/>
  </cols>
  <sheetData>
    <row r="1" spans="1:36" ht="18.75" x14ac:dyDescent="0.3">
      <c r="A1" s="53" t="s">
        <v>56</v>
      </c>
    </row>
    <row r="2" spans="1:36" ht="18.75" x14ac:dyDescent="0.3">
      <c r="A2" s="54" t="s">
        <v>101</v>
      </c>
    </row>
    <row r="3" spans="1:36" ht="18.75" x14ac:dyDescent="0.3">
      <c r="A3" s="54"/>
    </row>
    <row r="4" spans="1:36" ht="18.75" x14ac:dyDescent="0.3">
      <c r="A4" s="149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6" x14ac:dyDescent="0.25">
      <c r="A5" s="52"/>
      <c r="AI5" s="264"/>
    </row>
    <row r="6" spans="1:36" x14ac:dyDescent="0.25">
      <c r="A6" s="52"/>
      <c r="B6" s="257"/>
      <c r="C6" s="449" t="s">
        <v>59</v>
      </c>
      <c r="D6" s="449"/>
      <c r="E6" s="443" t="s">
        <v>60</v>
      </c>
      <c r="F6" s="443"/>
      <c r="G6" s="443"/>
      <c r="H6" s="443"/>
      <c r="I6" s="443"/>
      <c r="J6" s="443"/>
      <c r="K6" s="443"/>
      <c r="L6" s="443"/>
      <c r="M6" s="443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I6" s="265"/>
    </row>
    <row r="7" spans="1:36" x14ac:dyDescent="0.25">
      <c r="A7" s="258" t="s">
        <v>92</v>
      </c>
      <c r="B7" s="259" t="s">
        <v>9</v>
      </c>
      <c r="C7" s="97">
        <v>201819</v>
      </c>
      <c r="D7" s="97">
        <f t="shared" ref="D7:M7" si="0">C7+101</f>
        <v>201920</v>
      </c>
      <c r="E7" s="337">
        <f t="shared" si="0"/>
        <v>202021</v>
      </c>
      <c r="F7" s="337">
        <f t="shared" si="0"/>
        <v>202122</v>
      </c>
      <c r="G7" s="337">
        <f t="shared" si="0"/>
        <v>202223</v>
      </c>
      <c r="H7" s="337">
        <f t="shared" si="0"/>
        <v>202324</v>
      </c>
      <c r="I7" s="337">
        <f t="shared" si="0"/>
        <v>202425</v>
      </c>
      <c r="J7" s="337">
        <f t="shared" si="0"/>
        <v>202526</v>
      </c>
      <c r="K7" s="337">
        <f>J7+101</f>
        <v>202627</v>
      </c>
      <c r="L7" s="337">
        <f t="shared" si="0"/>
        <v>202728</v>
      </c>
      <c r="M7" s="337">
        <f t="shared" si="0"/>
        <v>202829</v>
      </c>
      <c r="N7" s="337">
        <f t="shared" ref="N7" si="1">M7+101</f>
        <v>202930</v>
      </c>
      <c r="O7" s="337">
        <f t="shared" ref="O7" si="2">N7+101</f>
        <v>203031</v>
      </c>
      <c r="P7" s="337">
        <f t="shared" ref="P7" si="3">O7+101</f>
        <v>203132</v>
      </c>
      <c r="Q7" s="337">
        <f t="shared" ref="Q7" si="4">P7+101</f>
        <v>203233</v>
      </c>
      <c r="R7" s="337">
        <f t="shared" ref="R7" si="5">Q7+101</f>
        <v>203334</v>
      </c>
      <c r="S7" s="337">
        <f t="shared" ref="S7" si="6">R7+101</f>
        <v>203435</v>
      </c>
      <c r="T7" s="337">
        <f t="shared" ref="T7" si="7">S7+101</f>
        <v>203536</v>
      </c>
      <c r="U7" s="337">
        <f t="shared" ref="U7" si="8">T7+101</f>
        <v>203637</v>
      </c>
      <c r="V7" s="337">
        <f t="shared" ref="V7" si="9">U7+101</f>
        <v>203738</v>
      </c>
      <c r="W7" s="337">
        <f t="shared" ref="W7" si="10">V7+101</f>
        <v>203839</v>
      </c>
      <c r="X7" s="337">
        <f t="shared" ref="X7" si="11">W7+101</f>
        <v>203940</v>
      </c>
      <c r="Y7" s="337">
        <f t="shared" ref="Y7" si="12">X7+101</f>
        <v>204041</v>
      </c>
      <c r="Z7" s="337">
        <f t="shared" ref="Z7" si="13">Y7+101</f>
        <v>204142</v>
      </c>
      <c r="AA7" s="337">
        <f t="shared" ref="AA7" si="14">Z7+101</f>
        <v>204243</v>
      </c>
      <c r="AB7" s="337">
        <f t="shared" ref="AB7" si="15">AA7+101</f>
        <v>204344</v>
      </c>
      <c r="AC7" s="337">
        <f t="shared" ref="AC7" si="16">AB7+101</f>
        <v>204445</v>
      </c>
      <c r="AD7" s="337">
        <f t="shared" ref="AD7" si="17">AC7+101</f>
        <v>204546</v>
      </c>
      <c r="AE7" s="337">
        <f t="shared" ref="AE7" si="18">AD7+101</f>
        <v>204647</v>
      </c>
      <c r="AF7" s="337">
        <f t="shared" ref="AF7" si="19">AE7+101</f>
        <v>204748</v>
      </c>
      <c r="AG7" s="227"/>
      <c r="AH7" s="238"/>
      <c r="AI7" s="265"/>
    </row>
    <row r="8" spans="1:36" x14ac:dyDescent="0.25">
      <c r="A8" s="139" t="s">
        <v>43</v>
      </c>
      <c r="B8" s="260">
        <v>533000</v>
      </c>
      <c r="C8" s="247">
        <v>192</v>
      </c>
      <c r="D8" s="247">
        <v>235</v>
      </c>
      <c r="E8" s="60">
        <v>20</v>
      </c>
      <c r="F8" s="60">
        <v>60</v>
      </c>
      <c r="G8" s="60">
        <v>60</v>
      </c>
      <c r="H8" s="60">
        <v>60</v>
      </c>
      <c r="I8" s="60">
        <v>60</v>
      </c>
      <c r="J8" s="60">
        <v>120</v>
      </c>
      <c r="K8" s="60">
        <v>120</v>
      </c>
      <c r="L8" s="60">
        <v>110</v>
      </c>
      <c r="M8" s="60">
        <v>81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60">
        <v>0</v>
      </c>
      <c r="AD8" s="60">
        <v>0</v>
      </c>
      <c r="AE8" s="60">
        <v>0</v>
      </c>
      <c r="AF8" s="60">
        <v>0</v>
      </c>
      <c r="AG8" s="227"/>
      <c r="AH8" s="238"/>
      <c r="AI8" s="265"/>
    </row>
    <row r="9" spans="1:36" x14ac:dyDescent="0.25">
      <c r="A9" s="139" t="s">
        <v>44</v>
      </c>
      <c r="B9" s="261">
        <v>220</v>
      </c>
      <c r="C9" s="247">
        <v>0</v>
      </c>
      <c r="D9" s="247">
        <v>23000</v>
      </c>
      <c r="E9" s="60">
        <v>200000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60">
        <v>0</v>
      </c>
      <c r="AD9" s="60">
        <v>0</v>
      </c>
      <c r="AE9" s="60">
        <v>0</v>
      </c>
      <c r="AF9" s="60">
        <v>0</v>
      </c>
      <c r="AG9" s="227"/>
      <c r="AH9" s="238"/>
      <c r="AI9" s="265"/>
    </row>
    <row r="10" spans="1:36" x14ac:dyDescent="0.25">
      <c r="A10" s="139" t="s">
        <v>45</v>
      </c>
      <c r="B10" s="261">
        <v>90</v>
      </c>
      <c r="C10" s="247">
        <v>0</v>
      </c>
      <c r="D10" s="247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C10" s="60">
        <v>0</v>
      </c>
      <c r="AD10" s="60">
        <v>0</v>
      </c>
      <c r="AE10" s="60">
        <v>0</v>
      </c>
      <c r="AF10" s="60">
        <v>0</v>
      </c>
      <c r="AG10" s="228"/>
      <c r="AH10" s="444" t="s">
        <v>197</v>
      </c>
      <c r="AI10" s="265"/>
    </row>
    <row r="11" spans="1:36" ht="15" customHeight="1" x14ac:dyDescent="0.25">
      <c r="A11" s="139" t="s">
        <v>46</v>
      </c>
      <c r="B11" s="261">
        <v>265</v>
      </c>
      <c r="C11" s="247">
        <v>0</v>
      </c>
      <c r="D11" s="247">
        <v>20000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60">
        <v>0</v>
      </c>
      <c r="AD11" s="60">
        <v>0</v>
      </c>
      <c r="AE11" s="60">
        <v>0</v>
      </c>
      <c r="AF11" s="60">
        <v>0</v>
      </c>
      <c r="AG11" s="228"/>
      <c r="AH11" s="444"/>
      <c r="AI11" s="143"/>
    </row>
    <row r="12" spans="1:36" ht="26.25" x14ac:dyDescent="0.25">
      <c r="A12" s="139" t="s">
        <v>47</v>
      </c>
      <c r="B12" s="262">
        <v>162000</v>
      </c>
      <c r="C12" s="249">
        <v>0</v>
      </c>
      <c r="D12" s="249">
        <v>0</v>
      </c>
      <c r="E12" s="60">
        <v>0</v>
      </c>
      <c r="F12" s="60">
        <v>0</v>
      </c>
      <c r="G12" s="60">
        <v>0</v>
      </c>
      <c r="H12" s="60">
        <v>0</v>
      </c>
      <c r="I12" s="60">
        <v>550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60">
        <v>0</v>
      </c>
      <c r="AD12" s="60">
        <v>0</v>
      </c>
      <c r="AE12" s="60">
        <v>0</v>
      </c>
      <c r="AF12" s="60">
        <v>0</v>
      </c>
      <c r="AG12" s="228" t="s">
        <v>189</v>
      </c>
      <c r="AH12" s="444"/>
      <c r="AI12" s="152"/>
    </row>
    <row r="13" spans="1:36" x14ac:dyDescent="0.25">
      <c r="A13" s="37" t="s">
        <v>49</v>
      </c>
      <c r="B13" s="24"/>
      <c r="C13" s="318">
        <v>0</v>
      </c>
      <c r="D13" s="205">
        <v>45329900</v>
      </c>
      <c r="E13" s="347">
        <f>SUMPRODUCT($B$8:$B$12,E8:E12)</f>
        <v>54660000</v>
      </c>
      <c r="F13" s="302">
        <f>SUMPRODUCT($B$8:$B$12,F8:F12)</f>
        <v>31980000</v>
      </c>
      <c r="G13" s="302">
        <f t="shared" ref="G13:M13" si="20">SUMPRODUCT($B$8:$B$12,G8:G12)</f>
        <v>31980000</v>
      </c>
      <c r="H13" s="302">
        <f t="shared" si="20"/>
        <v>31980000</v>
      </c>
      <c r="I13" s="302">
        <f t="shared" si="20"/>
        <v>121080000</v>
      </c>
      <c r="J13" s="302">
        <f t="shared" si="20"/>
        <v>63960000</v>
      </c>
      <c r="K13" s="302">
        <f t="shared" si="20"/>
        <v>63960000</v>
      </c>
      <c r="L13" s="302">
        <f t="shared" si="20"/>
        <v>58630000</v>
      </c>
      <c r="M13" s="302">
        <f t="shared" si="20"/>
        <v>43173000</v>
      </c>
      <c r="N13" s="302">
        <f t="shared" ref="N13" si="21">SUMPRODUCT($B$8:$B$12,N8:N12)</f>
        <v>0</v>
      </c>
      <c r="O13" s="302">
        <f t="shared" ref="O13" si="22">SUMPRODUCT($B$8:$B$12,O8:O12)</f>
        <v>0</v>
      </c>
      <c r="P13" s="302">
        <f t="shared" ref="P13" si="23">SUMPRODUCT($B$8:$B$12,P8:P12)</f>
        <v>0</v>
      </c>
      <c r="Q13" s="302">
        <f t="shared" ref="Q13" si="24">SUMPRODUCT($B$8:$B$12,Q8:Q12)</f>
        <v>0</v>
      </c>
      <c r="R13" s="302">
        <f t="shared" ref="R13" si="25">SUMPRODUCT($B$8:$B$12,R8:R12)</f>
        <v>0</v>
      </c>
      <c r="S13" s="302">
        <f t="shared" ref="S13" si="26">SUMPRODUCT($B$8:$B$12,S8:S12)</f>
        <v>0</v>
      </c>
      <c r="T13" s="302">
        <f t="shared" ref="T13" si="27">SUMPRODUCT($B$8:$B$12,T8:T12)</f>
        <v>0</v>
      </c>
      <c r="U13" s="302">
        <f t="shared" ref="U13" si="28">SUMPRODUCT($B$8:$B$12,U8:U12)</f>
        <v>0</v>
      </c>
      <c r="V13" s="302">
        <f t="shared" ref="V13" si="29">SUMPRODUCT($B$8:$B$12,V8:V12)</f>
        <v>0</v>
      </c>
      <c r="W13" s="302">
        <f t="shared" ref="W13" si="30">SUMPRODUCT($B$8:$B$12,W8:W12)</f>
        <v>0</v>
      </c>
      <c r="X13" s="302">
        <f t="shared" ref="X13" si="31">SUMPRODUCT($B$8:$B$12,X8:X12)</f>
        <v>0</v>
      </c>
      <c r="Y13" s="302">
        <f t="shared" ref="Y13" si="32">SUMPRODUCT($B$8:$B$12,Y8:Y12)</f>
        <v>0</v>
      </c>
      <c r="Z13" s="302">
        <f t="shared" ref="Z13" si="33">SUMPRODUCT($B$8:$B$12,Z8:Z12)</f>
        <v>0</v>
      </c>
      <c r="AA13" s="302">
        <f t="shared" ref="AA13" si="34">SUMPRODUCT($B$8:$B$12,AA8:AA12)</f>
        <v>0</v>
      </c>
      <c r="AB13" s="302">
        <f t="shared" ref="AB13" si="35">SUMPRODUCT($B$8:$B$12,AB8:AB12)</f>
        <v>0</v>
      </c>
      <c r="AC13" s="302">
        <f t="shared" ref="AC13" si="36">SUMPRODUCT($B$8:$B$12,AC8:AC12)</f>
        <v>0</v>
      </c>
      <c r="AD13" s="302">
        <f t="shared" ref="AD13" si="37">SUMPRODUCT($B$8:$B$12,AD8:AD12)</f>
        <v>0</v>
      </c>
      <c r="AE13" s="302">
        <f t="shared" ref="AE13" si="38">SUMPRODUCT($B$8:$B$12,AE8:AE12)</f>
        <v>0</v>
      </c>
      <c r="AF13" s="302">
        <f t="shared" ref="AF13" si="39">SUMPRODUCT($B$8:$B$12,AF8:AF12)</f>
        <v>0</v>
      </c>
      <c r="AG13" s="229" t="s">
        <v>143</v>
      </c>
      <c r="AH13" s="239"/>
      <c r="AI13" s="143"/>
      <c r="AJ13" s="37"/>
    </row>
    <row r="14" spans="1:36" x14ac:dyDescent="0.25">
      <c r="A14" t="s">
        <v>97</v>
      </c>
      <c r="C14" s="319">
        <v>3788683.0264020502</v>
      </c>
      <c r="D14" s="205">
        <f>C16</f>
        <v>3864456.6869300911</v>
      </c>
      <c r="E14" s="144">
        <f>D16</f>
        <v>49271645.82066869</v>
      </c>
      <c r="F14" s="144">
        <f>E16</f>
        <v>104917078.73708206</v>
      </c>
      <c r="G14" s="144">
        <f t="shared" ref="G14:L14" si="40">F16</f>
        <v>138995420.3118237</v>
      </c>
      <c r="H14" s="144">
        <f t="shared" si="40"/>
        <v>173755328.71806017</v>
      </c>
      <c r="I14" s="144">
        <f t="shared" si="40"/>
        <v>209210435.29242137</v>
      </c>
      <c r="J14" s="144">
        <f t="shared" si="40"/>
        <v>334474643.9982698</v>
      </c>
      <c r="K14" s="144">
        <f t="shared" si="40"/>
        <v>405124136.87823522</v>
      </c>
      <c r="L14" s="144">
        <f t="shared" si="40"/>
        <v>477186619.6157999</v>
      </c>
      <c r="M14" s="144">
        <f>L16</f>
        <v>545360352.00811589</v>
      </c>
      <c r="N14" s="144">
        <f t="shared" ref="N14:AF14" si="41">M16</f>
        <v>599440559.04827821</v>
      </c>
      <c r="O14" s="144">
        <f t="shared" si="41"/>
        <v>611429370.22924376</v>
      </c>
      <c r="P14" s="144">
        <f t="shared" si="41"/>
        <v>623657957.63382864</v>
      </c>
      <c r="Q14" s="144">
        <f t="shared" si="41"/>
        <v>636131116.78650522</v>
      </c>
      <c r="R14" s="144">
        <f t="shared" si="41"/>
        <v>648853739.1222353</v>
      </c>
      <c r="S14" s="144">
        <f t="shared" si="41"/>
        <v>661830813.90468001</v>
      </c>
      <c r="T14" s="144">
        <f t="shared" si="41"/>
        <v>675067430.18277359</v>
      </c>
      <c r="U14" s="144">
        <f t="shared" si="41"/>
        <v>688568778.78642905</v>
      </c>
      <c r="V14" s="144">
        <f t="shared" si="41"/>
        <v>702340154.36215758</v>
      </c>
      <c r="W14" s="144">
        <f t="shared" si="41"/>
        <v>716386957.44940078</v>
      </c>
      <c r="X14" s="144">
        <f t="shared" si="41"/>
        <v>730714696.59838879</v>
      </c>
      <c r="Y14" s="144">
        <f t="shared" si="41"/>
        <v>745328990.53035653</v>
      </c>
      <c r="Z14" s="144">
        <f t="shared" si="41"/>
        <v>760235570.3409636</v>
      </c>
      <c r="AA14" s="144">
        <f t="shared" si="41"/>
        <v>775440281.74778283</v>
      </c>
      <c r="AB14" s="144">
        <f t="shared" si="41"/>
        <v>790949087.38273847</v>
      </c>
      <c r="AC14" s="144">
        <f t="shared" si="41"/>
        <v>806768069.13039327</v>
      </c>
      <c r="AD14" s="144">
        <f t="shared" si="41"/>
        <v>822903430.51300108</v>
      </c>
      <c r="AE14" s="144">
        <f t="shared" si="41"/>
        <v>839361499.12326109</v>
      </c>
      <c r="AF14" s="144">
        <f t="shared" si="41"/>
        <v>856148729.10572636</v>
      </c>
      <c r="AG14" s="227" t="s">
        <v>145</v>
      </c>
      <c r="AH14" s="238"/>
      <c r="AI14" s="152"/>
    </row>
    <row r="15" spans="1:36" x14ac:dyDescent="0.25">
      <c r="A15" t="s">
        <v>94</v>
      </c>
      <c r="B15" s="8"/>
      <c r="C15" s="320">
        <v>75773.660528041</v>
      </c>
      <c r="D15" s="206">
        <f t="shared" ref="D15:AF15" si="42">D14*0.02</f>
        <v>77289.133738601828</v>
      </c>
      <c r="E15" s="132">
        <f t="shared" si="42"/>
        <v>985432.91641337378</v>
      </c>
      <c r="F15" s="132">
        <f t="shared" si="42"/>
        <v>2098341.5747416415</v>
      </c>
      <c r="G15" s="132">
        <f t="shared" si="42"/>
        <v>2779908.4062364739</v>
      </c>
      <c r="H15" s="132">
        <f t="shared" si="42"/>
        <v>3475106.5743612032</v>
      </c>
      <c r="I15" s="132">
        <f t="shared" si="42"/>
        <v>4184208.7058484275</v>
      </c>
      <c r="J15" s="132">
        <f t="shared" si="42"/>
        <v>6689492.8799653957</v>
      </c>
      <c r="K15" s="132">
        <f t="shared" si="42"/>
        <v>8102482.7375647044</v>
      </c>
      <c r="L15" s="132">
        <f t="shared" si="42"/>
        <v>9543732.3923159987</v>
      </c>
      <c r="M15" s="132">
        <f t="shared" si="42"/>
        <v>10907207.040162317</v>
      </c>
      <c r="N15" s="132">
        <f t="shared" si="42"/>
        <v>11988811.180965565</v>
      </c>
      <c r="O15" s="132">
        <f t="shared" si="42"/>
        <v>12228587.404584875</v>
      </c>
      <c r="P15" s="132">
        <f t="shared" si="42"/>
        <v>12473159.152676573</v>
      </c>
      <c r="Q15" s="132">
        <f t="shared" si="42"/>
        <v>12722622.335730106</v>
      </c>
      <c r="R15" s="132">
        <f t="shared" si="42"/>
        <v>12977074.782444706</v>
      </c>
      <c r="S15" s="132">
        <f t="shared" si="42"/>
        <v>13236616.278093601</v>
      </c>
      <c r="T15" s="132">
        <f t="shared" si="42"/>
        <v>13501348.603655472</v>
      </c>
      <c r="U15" s="132">
        <f t="shared" si="42"/>
        <v>13771375.57572858</v>
      </c>
      <c r="V15" s="132">
        <f t="shared" si="42"/>
        <v>14046803.087243153</v>
      </c>
      <c r="W15" s="132">
        <f t="shared" si="42"/>
        <v>14327739.148988016</v>
      </c>
      <c r="X15" s="132">
        <f t="shared" si="42"/>
        <v>14614293.931967776</v>
      </c>
      <c r="Y15" s="132">
        <f t="shared" si="42"/>
        <v>14906579.810607132</v>
      </c>
      <c r="Z15" s="132">
        <f t="shared" si="42"/>
        <v>15204711.406819273</v>
      </c>
      <c r="AA15" s="132">
        <f t="shared" si="42"/>
        <v>15508805.634955658</v>
      </c>
      <c r="AB15" s="132">
        <f t="shared" si="42"/>
        <v>15818981.74765477</v>
      </c>
      <c r="AC15" s="132">
        <f t="shared" si="42"/>
        <v>16135361.382607866</v>
      </c>
      <c r="AD15" s="132">
        <f t="shared" si="42"/>
        <v>16458068.610260023</v>
      </c>
      <c r="AE15" s="132">
        <f t="shared" si="42"/>
        <v>16787229.982465222</v>
      </c>
      <c r="AF15" s="132">
        <f t="shared" si="42"/>
        <v>17122974.582114529</v>
      </c>
      <c r="AG15" s="227" t="s">
        <v>146</v>
      </c>
      <c r="AH15" s="238"/>
      <c r="AI15" s="152"/>
    </row>
    <row r="16" spans="1:36" x14ac:dyDescent="0.25">
      <c r="A16" t="s">
        <v>203</v>
      </c>
      <c r="C16" s="82">
        <f>SUM(C13:C15)</f>
        <v>3864456.6869300911</v>
      </c>
      <c r="D16" s="207">
        <f>D13+D14+D15</f>
        <v>49271645.82066869</v>
      </c>
      <c r="E16" s="82">
        <f t="shared" ref="E16:AF16" si="43">E13+E14+E15</f>
        <v>104917078.73708206</v>
      </c>
      <c r="F16" s="82">
        <f t="shared" si="43"/>
        <v>138995420.3118237</v>
      </c>
      <c r="G16" s="82">
        <f t="shared" si="43"/>
        <v>173755328.71806017</v>
      </c>
      <c r="H16" s="82">
        <f t="shared" si="43"/>
        <v>209210435.29242137</v>
      </c>
      <c r="I16" s="82">
        <f t="shared" si="43"/>
        <v>334474643.9982698</v>
      </c>
      <c r="J16" s="82">
        <f t="shared" si="43"/>
        <v>405124136.87823522</v>
      </c>
      <c r="K16" s="82">
        <f t="shared" si="43"/>
        <v>477186619.6157999</v>
      </c>
      <c r="L16" s="82">
        <f t="shared" si="43"/>
        <v>545360352.00811589</v>
      </c>
      <c r="M16" s="82">
        <f t="shared" si="43"/>
        <v>599440559.04827821</v>
      </c>
      <c r="N16" s="82">
        <f t="shared" si="43"/>
        <v>611429370.22924376</v>
      </c>
      <c r="O16" s="82">
        <f t="shared" si="43"/>
        <v>623657957.63382864</v>
      </c>
      <c r="P16" s="82">
        <f t="shared" si="43"/>
        <v>636131116.78650522</v>
      </c>
      <c r="Q16" s="82">
        <f t="shared" si="43"/>
        <v>648853739.1222353</v>
      </c>
      <c r="R16" s="82">
        <f t="shared" si="43"/>
        <v>661830813.90468001</v>
      </c>
      <c r="S16" s="82">
        <f t="shared" si="43"/>
        <v>675067430.18277359</v>
      </c>
      <c r="T16" s="82">
        <f t="shared" si="43"/>
        <v>688568778.78642905</v>
      </c>
      <c r="U16" s="82">
        <f t="shared" si="43"/>
        <v>702340154.36215758</v>
      </c>
      <c r="V16" s="82">
        <f t="shared" si="43"/>
        <v>716386957.44940078</v>
      </c>
      <c r="W16" s="82">
        <f t="shared" si="43"/>
        <v>730714696.59838879</v>
      </c>
      <c r="X16" s="82">
        <f t="shared" si="43"/>
        <v>745328990.53035653</v>
      </c>
      <c r="Y16" s="82">
        <f t="shared" si="43"/>
        <v>760235570.3409636</v>
      </c>
      <c r="Z16" s="82">
        <f t="shared" si="43"/>
        <v>775440281.74778283</v>
      </c>
      <c r="AA16" s="82">
        <f t="shared" si="43"/>
        <v>790949087.38273847</v>
      </c>
      <c r="AB16" s="82">
        <f t="shared" si="43"/>
        <v>806768069.13039327</v>
      </c>
      <c r="AC16" s="82">
        <f t="shared" si="43"/>
        <v>822903430.51300108</v>
      </c>
      <c r="AD16" s="82">
        <f t="shared" si="43"/>
        <v>839361499.12326109</v>
      </c>
      <c r="AE16" s="82">
        <f t="shared" si="43"/>
        <v>856148729.10572636</v>
      </c>
      <c r="AF16" s="82">
        <f t="shared" si="43"/>
        <v>873271703.68784094</v>
      </c>
      <c r="AG16" s="230" t="s">
        <v>176</v>
      </c>
      <c r="AH16" s="240" t="s">
        <v>190</v>
      </c>
      <c r="AI16" s="152"/>
    </row>
    <row r="17" spans="1:49" x14ac:dyDescent="0.25">
      <c r="A17" t="s">
        <v>12</v>
      </c>
      <c r="C17" s="146">
        <f t="shared" ref="C17:AF17" si="44">-$B$6</f>
        <v>0</v>
      </c>
      <c r="D17" s="208">
        <f t="shared" si="44"/>
        <v>0</v>
      </c>
      <c r="E17" s="56">
        <f t="shared" si="44"/>
        <v>0</v>
      </c>
      <c r="F17" s="56">
        <f t="shared" si="44"/>
        <v>0</v>
      </c>
      <c r="G17" s="56">
        <f t="shared" si="44"/>
        <v>0</v>
      </c>
      <c r="H17" s="56">
        <f t="shared" si="44"/>
        <v>0</v>
      </c>
      <c r="I17" s="56">
        <f t="shared" si="44"/>
        <v>0</v>
      </c>
      <c r="J17" s="56">
        <f t="shared" si="44"/>
        <v>0</v>
      </c>
      <c r="K17" s="56">
        <f t="shared" si="44"/>
        <v>0</v>
      </c>
      <c r="L17" s="56">
        <f t="shared" si="44"/>
        <v>0</v>
      </c>
      <c r="M17" s="56">
        <f t="shared" si="44"/>
        <v>0</v>
      </c>
      <c r="N17" s="56">
        <f t="shared" si="44"/>
        <v>0</v>
      </c>
      <c r="O17" s="56">
        <f t="shared" si="44"/>
        <v>0</v>
      </c>
      <c r="P17" s="56">
        <f t="shared" si="44"/>
        <v>0</v>
      </c>
      <c r="Q17" s="56">
        <f t="shared" si="44"/>
        <v>0</v>
      </c>
      <c r="R17" s="56">
        <f t="shared" si="44"/>
        <v>0</v>
      </c>
      <c r="S17" s="56">
        <f t="shared" si="44"/>
        <v>0</v>
      </c>
      <c r="T17" s="56">
        <f t="shared" si="44"/>
        <v>0</v>
      </c>
      <c r="U17" s="56">
        <f t="shared" si="44"/>
        <v>0</v>
      </c>
      <c r="V17" s="56">
        <f t="shared" si="44"/>
        <v>0</v>
      </c>
      <c r="W17" s="56">
        <f t="shared" si="44"/>
        <v>0</v>
      </c>
      <c r="X17" s="56">
        <f t="shared" si="44"/>
        <v>0</v>
      </c>
      <c r="Y17" s="56">
        <f t="shared" si="44"/>
        <v>0</v>
      </c>
      <c r="Z17" s="56">
        <f t="shared" si="44"/>
        <v>0</v>
      </c>
      <c r="AA17" s="56">
        <f t="shared" si="44"/>
        <v>0</v>
      </c>
      <c r="AB17" s="56">
        <f t="shared" si="44"/>
        <v>0</v>
      </c>
      <c r="AC17" s="56">
        <f t="shared" si="44"/>
        <v>0</v>
      </c>
      <c r="AD17" s="56">
        <f t="shared" si="44"/>
        <v>0</v>
      </c>
      <c r="AE17" s="56">
        <f t="shared" si="44"/>
        <v>0</v>
      </c>
      <c r="AF17" s="56">
        <f t="shared" si="44"/>
        <v>0</v>
      </c>
      <c r="AG17" s="227" t="s">
        <v>144</v>
      </c>
      <c r="AH17" s="238" t="s">
        <v>144</v>
      </c>
      <c r="AI17" s="152"/>
    </row>
    <row r="18" spans="1:49" x14ac:dyDescent="0.25">
      <c r="A18" s="1" t="s">
        <v>51</v>
      </c>
      <c r="C18" s="96">
        <f>C20/B20</f>
        <v>3864456.6869300911</v>
      </c>
      <c r="D18" s="209">
        <f t="shared" ref="D18:AF18" si="45">SUM(D16:D17)</f>
        <v>49271645.82066869</v>
      </c>
      <c r="E18" s="70">
        <f t="shared" si="45"/>
        <v>104917078.73708206</v>
      </c>
      <c r="F18" s="70">
        <f t="shared" si="45"/>
        <v>138995420.3118237</v>
      </c>
      <c r="G18" s="70">
        <f t="shared" si="45"/>
        <v>173755328.71806017</v>
      </c>
      <c r="H18" s="70">
        <f t="shared" si="45"/>
        <v>209210435.29242137</v>
      </c>
      <c r="I18" s="70">
        <f t="shared" si="45"/>
        <v>334474643.9982698</v>
      </c>
      <c r="J18" s="70">
        <f t="shared" si="45"/>
        <v>405124136.87823522</v>
      </c>
      <c r="K18" s="70">
        <f t="shared" si="45"/>
        <v>477186619.6157999</v>
      </c>
      <c r="L18" s="70">
        <f t="shared" si="45"/>
        <v>545360352.00811589</v>
      </c>
      <c r="M18" s="70">
        <f t="shared" si="45"/>
        <v>599440559.04827821</v>
      </c>
      <c r="N18" s="70">
        <f t="shared" si="45"/>
        <v>611429370.22924376</v>
      </c>
      <c r="O18" s="70">
        <f t="shared" si="45"/>
        <v>623657957.63382864</v>
      </c>
      <c r="P18" s="70">
        <f t="shared" si="45"/>
        <v>636131116.78650522</v>
      </c>
      <c r="Q18" s="70">
        <f t="shared" si="45"/>
        <v>648853739.1222353</v>
      </c>
      <c r="R18" s="70">
        <f t="shared" si="45"/>
        <v>661830813.90468001</v>
      </c>
      <c r="S18" s="70">
        <f t="shared" si="45"/>
        <v>675067430.18277359</v>
      </c>
      <c r="T18" s="70">
        <f t="shared" si="45"/>
        <v>688568778.78642905</v>
      </c>
      <c r="U18" s="70">
        <f t="shared" si="45"/>
        <v>702340154.36215758</v>
      </c>
      <c r="V18" s="70">
        <f t="shared" si="45"/>
        <v>716386957.44940078</v>
      </c>
      <c r="W18" s="70">
        <f t="shared" si="45"/>
        <v>730714696.59838879</v>
      </c>
      <c r="X18" s="70">
        <f t="shared" si="45"/>
        <v>745328990.53035653</v>
      </c>
      <c r="Y18" s="70">
        <f t="shared" si="45"/>
        <v>760235570.3409636</v>
      </c>
      <c r="Z18" s="70">
        <f t="shared" si="45"/>
        <v>775440281.74778283</v>
      </c>
      <c r="AA18" s="70">
        <f t="shared" si="45"/>
        <v>790949087.38273847</v>
      </c>
      <c r="AB18" s="70">
        <f t="shared" si="45"/>
        <v>806768069.13039327</v>
      </c>
      <c r="AC18" s="70">
        <f t="shared" si="45"/>
        <v>822903430.51300108</v>
      </c>
      <c r="AD18" s="70">
        <f t="shared" si="45"/>
        <v>839361499.12326109</v>
      </c>
      <c r="AE18" s="70">
        <f t="shared" si="45"/>
        <v>856148729.10572636</v>
      </c>
      <c r="AF18" s="70">
        <f t="shared" si="45"/>
        <v>873271703.68784094</v>
      </c>
      <c r="AG18" s="227" t="s">
        <v>177</v>
      </c>
      <c r="AH18" s="238" t="s">
        <v>191</v>
      </c>
      <c r="AI18" s="152"/>
    </row>
    <row r="19" spans="1:49" ht="8.1" customHeight="1" x14ac:dyDescent="0.25">
      <c r="C19" s="82"/>
      <c r="D19" s="207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227"/>
      <c r="AH19" s="238"/>
      <c r="AI19" s="152"/>
    </row>
    <row r="20" spans="1:49" x14ac:dyDescent="0.25">
      <c r="A20" t="s">
        <v>42</v>
      </c>
      <c r="B20" s="253">
        <v>0.01</v>
      </c>
      <c r="C20" s="82">
        <f>B20*C16</f>
        <v>38644.566869300914</v>
      </c>
      <c r="D20" s="207">
        <f>D18*B20</f>
        <v>492716.45820668689</v>
      </c>
      <c r="E20" s="68">
        <f>$B$20*E18</f>
        <v>1049170.7873708208</v>
      </c>
      <c r="F20" s="68">
        <f t="shared" ref="F20:AF20" si="46">$B$20*F18</f>
        <v>1389954.203118237</v>
      </c>
      <c r="G20" s="68">
        <f t="shared" si="46"/>
        <v>1737553.2871806016</v>
      </c>
      <c r="H20" s="68">
        <f t="shared" si="46"/>
        <v>2092104.3529242137</v>
      </c>
      <c r="I20" s="68">
        <f t="shared" si="46"/>
        <v>3344746.4399826978</v>
      </c>
      <c r="J20" s="68">
        <f t="shared" si="46"/>
        <v>4051241.3687823522</v>
      </c>
      <c r="K20" s="68">
        <f t="shared" si="46"/>
        <v>4771866.1961579993</v>
      </c>
      <c r="L20" s="68">
        <f t="shared" si="46"/>
        <v>5453603.5200811587</v>
      </c>
      <c r="M20" s="68">
        <f t="shared" si="46"/>
        <v>5994405.5904827826</v>
      </c>
      <c r="N20" s="68">
        <f t="shared" si="46"/>
        <v>6114293.7022924377</v>
      </c>
      <c r="O20" s="68">
        <f t="shared" si="46"/>
        <v>6236579.5763382865</v>
      </c>
      <c r="P20" s="68">
        <f t="shared" si="46"/>
        <v>6361311.1678650528</v>
      </c>
      <c r="Q20" s="68">
        <f t="shared" si="46"/>
        <v>6488537.3912223531</v>
      </c>
      <c r="R20" s="68">
        <f t="shared" si="46"/>
        <v>6618308.1390468003</v>
      </c>
      <c r="S20" s="68">
        <f t="shared" si="46"/>
        <v>6750674.3018277362</v>
      </c>
      <c r="T20" s="68">
        <f t="shared" si="46"/>
        <v>6885687.7878642902</v>
      </c>
      <c r="U20" s="68">
        <f t="shared" si="46"/>
        <v>7023401.5436215764</v>
      </c>
      <c r="V20" s="68">
        <f t="shared" si="46"/>
        <v>7163869.574494008</v>
      </c>
      <c r="W20" s="68">
        <f t="shared" si="46"/>
        <v>7307146.9659838881</v>
      </c>
      <c r="X20" s="68">
        <f t="shared" si="46"/>
        <v>7453289.9053035658</v>
      </c>
      <c r="Y20" s="68">
        <f t="shared" si="46"/>
        <v>7602355.7034096364</v>
      </c>
      <c r="Z20" s="68">
        <f t="shared" si="46"/>
        <v>7754402.8174778288</v>
      </c>
      <c r="AA20" s="68">
        <f t="shared" si="46"/>
        <v>7909490.8738273848</v>
      </c>
      <c r="AB20" s="68">
        <f t="shared" si="46"/>
        <v>8067680.691303933</v>
      </c>
      <c r="AC20" s="68">
        <f t="shared" si="46"/>
        <v>8229034.3051300114</v>
      </c>
      <c r="AD20" s="68">
        <f t="shared" si="46"/>
        <v>8393614.9912326112</v>
      </c>
      <c r="AE20" s="68">
        <f t="shared" si="46"/>
        <v>8561487.2910572644</v>
      </c>
      <c r="AF20" s="68">
        <f t="shared" si="46"/>
        <v>8732717.0368784089</v>
      </c>
      <c r="AG20" s="227" t="s">
        <v>178</v>
      </c>
      <c r="AH20" s="240" t="s">
        <v>192</v>
      </c>
      <c r="AI20" s="152"/>
    </row>
    <row r="21" spans="1:49" x14ac:dyDescent="0.25">
      <c r="A21" t="s">
        <v>41</v>
      </c>
      <c r="B21" s="176">
        <v>0.2</v>
      </c>
      <c r="C21" s="173">
        <f t="shared" ref="C21" si="47">-$B21*C20</f>
        <v>-7728.9133738601831</v>
      </c>
      <c r="D21" s="207">
        <f t="shared" ref="D21:L21" si="48">-$B21*D20</f>
        <v>-98543.29164133739</v>
      </c>
      <c r="E21" s="69">
        <f t="shared" si="48"/>
        <v>-209834.15747416415</v>
      </c>
      <c r="F21" s="69">
        <f t="shared" si="48"/>
        <v>-277990.84062364738</v>
      </c>
      <c r="G21" s="69">
        <f t="shared" si="48"/>
        <v>-347510.65743612032</v>
      </c>
      <c r="H21" s="69">
        <f t="shared" si="48"/>
        <v>-418420.87058484275</v>
      </c>
      <c r="I21" s="69">
        <f t="shared" si="48"/>
        <v>-668949.28799653961</v>
      </c>
      <c r="J21" s="69">
        <f t="shared" si="48"/>
        <v>-810248.27375647053</v>
      </c>
      <c r="K21" s="69">
        <f t="shared" si="48"/>
        <v>-954373.23923159996</v>
      </c>
      <c r="L21" s="69">
        <f t="shared" si="48"/>
        <v>-1090720.7040162317</v>
      </c>
      <c r="M21" s="69">
        <f>-$B21*M20</f>
        <v>-1198881.1180965565</v>
      </c>
      <c r="N21" s="69">
        <f t="shared" ref="N21:AF21" si="49">-$B21*N20</f>
        <v>-1222858.7404584875</v>
      </c>
      <c r="O21" s="69">
        <f t="shared" si="49"/>
        <v>-1247315.9152676573</v>
      </c>
      <c r="P21" s="69">
        <f t="shared" si="49"/>
        <v>-1272262.2335730107</v>
      </c>
      <c r="Q21" s="69">
        <f t="shared" si="49"/>
        <v>-1297707.4782444707</v>
      </c>
      <c r="R21" s="69">
        <f t="shared" si="49"/>
        <v>-1323661.6278093602</v>
      </c>
      <c r="S21" s="69">
        <f t="shared" si="49"/>
        <v>-1350134.8603655472</v>
      </c>
      <c r="T21" s="69">
        <f t="shared" si="49"/>
        <v>-1377137.5575728582</v>
      </c>
      <c r="U21" s="69">
        <f t="shared" si="49"/>
        <v>-1404680.3087243154</v>
      </c>
      <c r="V21" s="69">
        <f t="shared" si="49"/>
        <v>-1432773.9148988016</v>
      </c>
      <c r="W21" s="69">
        <f t="shared" si="49"/>
        <v>-1461429.3931967777</v>
      </c>
      <c r="X21" s="69">
        <f t="shared" si="49"/>
        <v>-1490657.9810607133</v>
      </c>
      <c r="Y21" s="69">
        <f t="shared" si="49"/>
        <v>-1520471.1406819273</v>
      </c>
      <c r="Z21" s="69">
        <f t="shared" si="49"/>
        <v>-1550880.5634955659</v>
      </c>
      <c r="AA21" s="69">
        <f t="shared" si="49"/>
        <v>-1581898.174765477</v>
      </c>
      <c r="AB21" s="69">
        <f t="shared" si="49"/>
        <v>-1613536.1382607867</v>
      </c>
      <c r="AC21" s="69">
        <f t="shared" si="49"/>
        <v>-1645806.8610260023</v>
      </c>
      <c r="AD21" s="69">
        <f t="shared" si="49"/>
        <v>-1678722.9982465224</v>
      </c>
      <c r="AE21" s="69">
        <f t="shared" si="49"/>
        <v>-1712297.4582114529</v>
      </c>
      <c r="AF21" s="69">
        <f t="shared" si="49"/>
        <v>-1746543.4073756819</v>
      </c>
      <c r="AG21" s="231" t="s">
        <v>179</v>
      </c>
      <c r="AH21" s="241" t="s">
        <v>193</v>
      </c>
      <c r="AI21" s="152"/>
    </row>
    <row r="22" spans="1:49" x14ac:dyDescent="0.25">
      <c r="A22" s="1" t="s">
        <v>69</v>
      </c>
      <c r="B22" s="254"/>
      <c r="C22" s="204">
        <f>SUM(C20:C21)</f>
        <v>30915.653495440733</v>
      </c>
      <c r="D22" s="210">
        <f t="shared" ref="D22:AF22" si="50">SUM(D20:D21)</f>
        <v>394173.1665653495</v>
      </c>
      <c r="E22" s="71">
        <f t="shared" si="50"/>
        <v>839336.62989665661</v>
      </c>
      <c r="F22" s="71">
        <f t="shared" si="50"/>
        <v>1111963.3624945895</v>
      </c>
      <c r="G22" s="71">
        <f t="shared" si="50"/>
        <v>1390042.6297444813</v>
      </c>
      <c r="H22" s="71">
        <f t="shared" si="50"/>
        <v>1673683.482339371</v>
      </c>
      <c r="I22" s="71">
        <f t="shared" si="50"/>
        <v>2675797.1519861585</v>
      </c>
      <c r="J22" s="71">
        <f t="shared" si="50"/>
        <v>3240993.0950258817</v>
      </c>
      <c r="K22" s="71">
        <f t="shared" si="50"/>
        <v>3817492.9569263994</v>
      </c>
      <c r="L22" s="71">
        <f t="shared" si="50"/>
        <v>4362882.8160649268</v>
      </c>
      <c r="M22" s="71">
        <f t="shared" si="50"/>
        <v>4795524.4723862261</v>
      </c>
      <c r="N22" s="71">
        <f t="shared" si="50"/>
        <v>4891434.9618339501</v>
      </c>
      <c r="O22" s="71">
        <f t="shared" si="50"/>
        <v>4989263.661070629</v>
      </c>
      <c r="P22" s="71">
        <f t="shared" si="50"/>
        <v>5089048.9342920426</v>
      </c>
      <c r="Q22" s="71">
        <f t="shared" si="50"/>
        <v>5190829.9129778827</v>
      </c>
      <c r="R22" s="71">
        <f t="shared" si="50"/>
        <v>5294646.5112374406</v>
      </c>
      <c r="S22" s="71">
        <f t="shared" si="50"/>
        <v>5400539.441462189</v>
      </c>
      <c r="T22" s="71">
        <f t="shared" si="50"/>
        <v>5508550.2302914318</v>
      </c>
      <c r="U22" s="71">
        <f t="shared" si="50"/>
        <v>5618721.2348972615</v>
      </c>
      <c r="V22" s="71">
        <f t="shared" si="50"/>
        <v>5731095.6595952064</v>
      </c>
      <c r="W22" s="71">
        <f t="shared" si="50"/>
        <v>5845717.5727871107</v>
      </c>
      <c r="X22" s="71">
        <f t="shared" si="50"/>
        <v>5962631.9242428523</v>
      </c>
      <c r="Y22" s="71">
        <f t="shared" si="50"/>
        <v>6081884.5627277093</v>
      </c>
      <c r="Z22" s="71">
        <f t="shared" si="50"/>
        <v>6203522.2539822627</v>
      </c>
      <c r="AA22" s="71">
        <f t="shared" si="50"/>
        <v>6327592.6990619078</v>
      </c>
      <c r="AB22" s="71">
        <f t="shared" si="50"/>
        <v>6454144.5530431466</v>
      </c>
      <c r="AC22" s="71">
        <f t="shared" si="50"/>
        <v>6583227.4441040093</v>
      </c>
      <c r="AD22" s="71">
        <f>SUM(AD20:AD21)</f>
        <v>6714891.9929860886</v>
      </c>
      <c r="AE22" s="71">
        <f t="shared" si="50"/>
        <v>6849189.8328458117</v>
      </c>
      <c r="AF22" s="71">
        <f t="shared" si="50"/>
        <v>6986173.6295027267</v>
      </c>
      <c r="AG22" s="227" t="s">
        <v>180</v>
      </c>
      <c r="AH22" s="238" t="s">
        <v>150</v>
      </c>
      <c r="AI22" s="152"/>
    </row>
    <row r="23" spans="1:49" ht="8.1" customHeight="1" x14ac:dyDescent="0.25">
      <c r="A23" s="1"/>
      <c r="B23" s="254"/>
      <c r="C23" s="82"/>
      <c r="D23" s="207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227"/>
      <c r="AH23" s="238"/>
      <c r="AI23" s="152"/>
    </row>
    <row r="24" spans="1:49" ht="15" customHeight="1" x14ac:dyDescent="0.25">
      <c r="A24" s="1" t="s">
        <v>222</v>
      </c>
      <c r="B24" s="254"/>
      <c r="C24" s="82"/>
      <c r="D24" s="207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227"/>
      <c r="AH24" s="238"/>
      <c r="AI24" s="238"/>
      <c r="AJ24" s="124"/>
      <c r="AK24" s="326"/>
      <c r="AL24" s="326"/>
      <c r="AM24" s="445"/>
    </row>
    <row r="25" spans="1:49" ht="15" customHeight="1" x14ac:dyDescent="0.25">
      <c r="A25" s="19" t="s">
        <v>220</v>
      </c>
      <c r="B25" s="255">
        <f>25%*54%</f>
        <v>0.13500000000000001</v>
      </c>
      <c r="C25" s="82">
        <v>0</v>
      </c>
      <c r="D25" s="207">
        <f>-$B$25*D22</f>
        <v>-53213.377486322184</v>
      </c>
      <c r="E25" s="68">
        <f>-$B$25*E22</f>
        <v>-113310.44503604865</v>
      </c>
      <c r="F25" s="68">
        <f t="shared" ref="F25:AF25" si="51">-$B$25*F22</f>
        <v>-150115.0539367696</v>
      </c>
      <c r="G25" s="68">
        <f t="shared" si="51"/>
        <v>-187655.75501550498</v>
      </c>
      <c r="H25" s="68">
        <f t="shared" si="51"/>
        <v>-225947.2701158151</v>
      </c>
      <c r="I25" s="68">
        <f t="shared" si="51"/>
        <v>-361232.61551813141</v>
      </c>
      <c r="J25" s="68">
        <f t="shared" si="51"/>
        <v>-437534.06782849407</v>
      </c>
      <c r="K25" s="68">
        <f t="shared" si="51"/>
        <v>-515361.54918506392</v>
      </c>
      <c r="L25" s="68">
        <f t="shared" si="51"/>
        <v>-588989.18016876513</v>
      </c>
      <c r="M25" s="68">
        <f t="shared" si="51"/>
        <v>-647395.80377214053</v>
      </c>
      <c r="N25" s="68">
        <f t="shared" si="51"/>
        <v>-660343.71984758333</v>
      </c>
      <c r="O25" s="68">
        <f t="shared" si="51"/>
        <v>-673550.59424453496</v>
      </c>
      <c r="P25" s="68">
        <f t="shared" si="51"/>
        <v>-687021.60612942581</v>
      </c>
      <c r="Q25" s="68">
        <f t="shared" si="51"/>
        <v>-700762.0382520142</v>
      </c>
      <c r="R25" s="68">
        <f t="shared" si="51"/>
        <v>-714777.27901705448</v>
      </c>
      <c r="S25" s="68">
        <f t="shared" si="51"/>
        <v>-729072.82459739561</v>
      </c>
      <c r="T25" s="68">
        <f t="shared" si="51"/>
        <v>-743654.28108934336</v>
      </c>
      <c r="U25" s="68">
        <f t="shared" si="51"/>
        <v>-758527.36671113037</v>
      </c>
      <c r="V25" s="68">
        <f t="shared" si="51"/>
        <v>-773697.91404535295</v>
      </c>
      <c r="W25" s="68">
        <f t="shared" si="51"/>
        <v>-789171.87232625997</v>
      </c>
      <c r="X25" s="68">
        <f t="shared" si="51"/>
        <v>-804955.30977278505</v>
      </c>
      <c r="Y25" s="68">
        <f t="shared" si="51"/>
        <v>-821054.41596824082</v>
      </c>
      <c r="Z25" s="68">
        <f t="shared" si="51"/>
        <v>-837475.50428760552</v>
      </c>
      <c r="AA25" s="68">
        <f t="shared" si="51"/>
        <v>-854225.01437335764</v>
      </c>
      <c r="AB25" s="68">
        <f t="shared" si="51"/>
        <v>-871309.51466082491</v>
      </c>
      <c r="AC25" s="68">
        <f t="shared" si="51"/>
        <v>-888735.70495404128</v>
      </c>
      <c r="AD25" s="68">
        <f t="shared" si="51"/>
        <v>-906510.41905312205</v>
      </c>
      <c r="AE25" s="68">
        <f t="shared" si="51"/>
        <v>-924640.62743418466</v>
      </c>
      <c r="AF25" s="68">
        <f t="shared" si="51"/>
        <v>-943133.43998286815</v>
      </c>
      <c r="AG25" s="227" t="s">
        <v>224</v>
      </c>
      <c r="AH25" s="238"/>
      <c r="AI25" s="238"/>
      <c r="AJ25" s="124"/>
      <c r="AM25" s="445"/>
    </row>
    <row r="26" spans="1:49" x14ac:dyDescent="0.25">
      <c r="A26" s="317" t="s">
        <v>221</v>
      </c>
      <c r="B26" s="255">
        <f>54%*21%</f>
        <v>0.1134</v>
      </c>
      <c r="C26" s="82">
        <v>0</v>
      </c>
      <c r="D26" s="207">
        <f>-$B$26*D22</f>
        <v>-44699.237088510636</v>
      </c>
      <c r="E26" s="82">
        <f>-$B$26*E22</f>
        <v>-95180.773830280858</v>
      </c>
      <c r="F26" s="82">
        <f t="shared" ref="F26:AF26" si="52">-$B$26*F22</f>
        <v>-126096.64530688645</v>
      </c>
      <c r="G26" s="82">
        <f t="shared" si="52"/>
        <v>-157630.83421302418</v>
      </c>
      <c r="H26" s="82">
        <f t="shared" si="52"/>
        <v>-189795.70689728466</v>
      </c>
      <c r="I26" s="82">
        <f t="shared" si="52"/>
        <v>-303435.39703523036</v>
      </c>
      <c r="J26" s="82">
        <f t="shared" si="52"/>
        <v>-367528.616975935</v>
      </c>
      <c r="K26" s="82">
        <f t="shared" si="52"/>
        <v>-432903.70131545368</v>
      </c>
      <c r="L26" s="82">
        <f t="shared" si="52"/>
        <v>-494750.91134176269</v>
      </c>
      <c r="M26" s="82">
        <f t="shared" si="52"/>
        <v>-543812.475168598</v>
      </c>
      <c r="N26" s="82">
        <f t="shared" si="52"/>
        <v>-554688.72467197001</v>
      </c>
      <c r="O26" s="82">
        <f t="shared" si="52"/>
        <v>-565782.49916540936</v>
      </c>
      <c r="P26" s="82">
        <f t="shared" si="52"/>
        <v>-577098.14914871764</v>
      </c>
      <c r="Q26" s="82">
        <f t="shared" si="52"/>
        <v>-588640.11213169189</v>
      </c>
      <c r="R26" s="82">
        <f t="shared" si="52"/>
        <v>-600412.91437432577</v>
      </c>
      <c r="S26" s="82">
        <f t="shared" si="52"/>
        <v>-612421.17266181228</v>
      </c>
      <c r="T26" s="82">
        <f t="shared" si="52"/>
        <v>-624669.59611504839</v>
      </c>
      <c r="U26" s="82">
        <f t="shared" si="52"/>
        <v>-637162.98803734942</v>
      </c>
      <c r="V26" s="82">
        <f t="shared" si="52"/>
        <v>-649906.24779809639</v>
      </c>
      <c r="W26" s="82">
        <f t="shared" si="52"/>
        <v>-662904.37275405833</v>
      </c>
      <c r="X26" s="82">
        <f t="shared" si="52"/>
        <v>-676162.46020913951</v>
      </c>
      <c r="Y26" s="82">
        <f t="shared" si="52"/>
        <v>-689685.70941332227</v>
      </c>
      <c r="Z26" s="82">
        <f t="shared" si="52"/>
        <v>-703479.42360158858</v>
      </c>
      <c r="AA26" s="82">
        <f t="shared" si="52"/>
        <v>-717549.01207362034</v>
      </c>
      <c r="AB26" s="82">
        <f t="shared" si="52"/>
        <v>-731899.99231509282</v>
      </c>
      <c r="AC26" s="82">
        <f t="shared" si="52"/>
        <v>-746537.99216139468</v>
      </c>
      <c r="AD26" s="82">
        <f t="shared" si="52"/>
        <v>-761468.75200462248</v>
      </c>
      <c r="AE26" s="82">
        <f t="shared" si="52"/>
        <v>-776698.1270447151</v>
      </c>
      <c r="AF26" s="82">
        <f t="shared" si="52"/>
        <v>-792232.08958560927</v>
      </c>
      <c r="AG26" s="227" t="s">
        <v>225</v>
      </c>
      <c r="AH26" s="240"/>
      <c r="AI26" s="240"/>
      <c r="AJ26" s="124"/>
      <c r="AK26" s="348"/>
      <c r="AL26" s="348"/>
      <c r="AM26" s="288"/>
      <c r="AN26" s="288"/>
      <c r="AO26" s="3"/>
      <c r="AP26" s="3"/>
      <c r="AQ26" s="3"/>
      <c r="AR26" s="3"/>
      <c r="AS26" s="3"/>
      <c r="AT26" s="3"/>
      <c r="AU26" s="3"/>
      <c r="AV26" s="3"/>
      <c r="AW26" s="288"/>
    </row>
    <row r="27" spans="1:49" x14ac:dyDescent="0.25">
      <c r="A27" s="322" t="s">
        <v>310</v>
      </c>
      <c r="B27" s="323"/>
      <c r="C27" s="82">
        <v>0</v>
      </c>
      <c r="D27" s="207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f>M22-$L$22</f>
        <v>432641.65632129926</v>
      </c>
      <c r="N27" s="82">
        <f t="shared" ref="N27:AF27" si="53">N22-$L$22</f>
        <v>528552.14576902334</v>
      </c>
      <c r="O27" s="82">
        <f t="shared" si="53"/>
        <v>626380.84500570223</v>
      </c>
      <c r="P27" s="82">
        <f t="shared" si="53"/>
        <v>726166.11822711583</v>
      </c>
      <c r="Q27" s="82">
        <f t="shared" si="53"/>
        <v>827947.09691295587</v>
      </c>
      <c r="R27" s="82">
        <f t="shared" si="53"/>
        <v>931763.69517251384</v>
      </c>
      <c r="S27" s="82">
        <f t="shared" si="53"/>
        <v>1037656.6253972622</v>
      </c>
      <c r="T27" s="82">
        <f t="shared" si="53"/>
        <v>1145667.414226505</v>
      </c>
      <c r="U27" s="82">
        <f t="shared" si="53"/>
        <v>1255838.4188323347</v>
      </c>
      <c r="V27" s="82">
        <f t="shared" si="53"/>
        <v>1368212.8435302796</v>
      </c>
      <c r="W27" s="82">
        <f t="shared" si="53"/>
        <v>1482834.7567221839</v>
      </c>
      <c r="X27" s="82">
        <f t="shared" si="53"/>
        <v>1599749.1081779255</v>
      </c>
      <c r="Y27" s="82">
        <f t="shared" si="53"/>
        <v>1719001.7466627825</v>
      </c>
      <c r="Z27" s="82">
        <f t="shared" si="53"/>
        <v>1840639.4379173359</v>
      </c>
      <c r="AA27" s="82">
        <f t="shared" si="53"/>
        <v>1964709.882996981</v>
      </c>
      <c r="AB27" s="82">
        <f t="shared" si="53"/>
        <v>2091261.7369782198</v>
      </c>
      <c r="AC27" s="82">
        <f t="shared" si="53"/>
        <v>2220344.6280390825</v>
      </c>
      <c r="AD27" s="82">
        <f t="shared" si="53"/>
        <v>2352009.1769211618</v>
      </c>
      <c r="AE27" s="82">
        <f t="shared" si="53"/>
        <v>2486307.0167808849</v>
      </c>
      <c r="AF27" s="82">
        <f t="shared" si="53"/>
        <v>2623290.8134377999</v>
      </c>
      <c r="AG27" s="227"/>
      <c r="AH27" s="246"/>
      <c r="AI27" s="246"/>
      <c r="AJ27" s="124"/>
      <c r="AK27" s="348"/>
      <c r="AL27" s="348"/>
      <c r="AM27" s="288"/>
      <c r="AN27" s="288"/>
      <c r="AO27" s="3"/>
      <c r="AP27" s="3"/>
      <c r="AQ27" s="3"/>
      <c r="AR27" s="3"/>
      <c r="AS27" s="3"/>
      <c r="AT27" s="3"/>
      <c r="AU27" s="3"/>
      <c r="AV27" s="3"/>
      <c r="AW27" s="288"/>
    </row>
    <row r="28" spans="1:49" x14ac:dyDescent="0.25">
      <c r="A28" s="317" t="s">
        <v>282</v>
      </c>
      <c r="B28" s="256">
        <f>14%*54%</f>
        <v>7.5600000000000014E-2</v>
      </c>
      <c r="C28" s="82">
        <v>0</v>
      </c>
      <c r="D28" s="207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f>-$B$28*M27</f>
        <v>-32707.709217890231</v>
      </c>
      <c r="N28" s="82">
        <f t="shared" ref="N28:AF28" si="54">-$B$28*N27</f>
        <v>-39958.542220138173</v>
      </c>
      <c r="O28" s="82">
        <f t="shared" si="54"/>
        <v>-47354.391882431097</v>
      </c>
      <c r="P28" s="82">
        <f t="shared" si="54"/>
        <v>-54898.158537969968</v>
      </c>
      <c r="Q28" s="82">
        <f t="shared" si="54"/>
        <v>-62592.800526619474</v>
      </c>
      <c r="R28" s="82">
        <f t="shared" si="54"/>
        <v>-70441.335355042058</v>
      </c>
      <c r="S28" s="82">
        <f t="shared" si="54"/>
        <v>-78446.840880033036</v>
      </c>
      <c r="T28" s="82">
        <f t="shared" si="54"/>
        <v>-86612.456515523794</v>
      </c>
      <c r="U28" s="82">
        <f t="shared" si="54"/>
        <v>-94941.38446372452</v>
      </c>
      <c r="V28" s="82">
        <f t="shared" si="54"/>
        <v>-103436.89097088916</v>
      </c>
      <c r="W28" s="82">
        <f t="shared" si="54"/>
        <v>-112102.30760819712</v>
      </c>
      <c r="X28" s="82">
        <f t="shared" si="54"/>
        <v>-120941.03257825119</v>
      </c>
      <c r="Y28" s="82">
        <f t="shared" si="54"/>
        <v>-129956.53204770638</v>
      </c>
      <c r="Z28" s="82">
        <f t="shared" si="54"/>
        <v>-139152.34150655061</v>
      </c>
      <c r="AA28" s="82">
        <f t="shared" si="54"/>
        <v>-148532.06715457179</v>
      </c>
      <c r="AB28" s="82">
        <f t="shared" si="54"/>
        <v>-158099.38731555344</v>
      </c>
      <c r="AC28" s="82">
        <f t="shared" si="54"/>
        <v>-167858.05387975468</v>
      </c>
      <c r="AD28" s="82">
        <f t="shared" si="54"/>
        <v>-177811.89377523988</v>
      </c>
      <c r="AE28" s="82">
        <f t="shared" si="54"/>
        <v>-187964.81046863494</v>
      </c>
      <c r="AF28" s="82">
        <f t="shared" si="54"/>
        <v>-198320.78549589773</v>
      </c>
      <c r="AG28" s="227" t="s">
        <v>225</v>
      </c>
      <c r="AH28" s="240"/>
      <c r="AI28" s="240"/>
      <c r="AJ28" s="124"/>
      <c r="AK28" s="348"/>
      <c r="AL28" s="348"/>
      <c r="AM28" s="288"/>
      <c r="AN28" s="288"/>
      <c r="AO28" s="3"/>
      <c r="AP28" s="3"/>
      <c r="AQ28" s="3"/>
      <c r="AR28" s="3"/>
      <c r="AS28" s="3"/>
      <c r="AT28" s="3"/>
      <c r="AU28" s="3"/>
      <c r="AV28" s="3"/>
      <c r="AW28" s="288"/>
    </row>
    <row r="29" spans="1:49" x14ac:dyDescent="0.25">
      <c r="A29" s="1" t="s">
        <v>223</v>
      </c>
      <c r="B29" s="152"/>
      <c r="C29" s="112">
        <f>C22+SUM(C25:C26)+C28</f>
        <v>30915.653495440733</v>
      </c>
      <c r="D29" s="210">
        <f>D22+SUM(D25:D26)+D28</f>
        <v>296260.55199051672</v>
      </c>
      <c r="E29" s="71">
        <f>E22+SUM(E25:E26)+E28</f>
        <v>630845.41103032709</v>
      </c>
      <c r="F29" s="71">
        <f t="shared" ref="F29:AF29" si="55">F22+SUM(F25:F26)+F28</f>
        <v>835751.6632509334</v>
      </c>
      <c r="G29" s="71">
        <f>G22+SUM(G25:G26)+G28</f>
        <v>1044756.0405159522</v>
      </c>
      <c r="H29" s="71">
        <f t="shared" si="55"/>
        <v>1257940.5053262713</v>
      </c>
      <c r="I29" s="71">
        <f t="shared" si="55"/>
        <v>2011129.1394327967</v>
      </c>
      <c r="J29" s="71">
        <f t="shared" si="55"/>
        <v>2435930.4102214528</v>
      </c>
      <c r="K29" s="71">
        <f t="shared" si="55"/>
        <v>2869227.7064258819</v>
      </c>
      <c r="L29" s="71">
        <f t="shared" si="55"/>
        <v>3279142.724554399</v>
      </c>
      <c r="M29" s="71">
        <f>M22+SUM(M25:M26)+M28</f>
        <v>3571608.4842275972</v>
      </c>
      <c r="N29" s="71">
        <f t="shared" si="55"/>
        <v>3636443.9750942588</v>
      </c>
      <c r="O29" s="71">
        <f t="shared" si="55"/>
        <v>3702576.1757782535</v>
      </c>
      <c r="P29" s="71">
        <f t="shared" si="55"/>
        <v>3770031.0204759291</v>
      </c>
      <c r="Q29" s="71">
        <f t="shared" si="55"/>
        <v>3838834.962067557</v>
      </c>
      <c r="R29" s="71">
        <f t="shared" si="55"/>
        <v>3909014.9824910183</v>
      </c>
      <c r="S29" s="71">
        <f t="shared" si="55"/>
        <v>3980598.6033229479</v>
      </c>
      <c r="T29" s="71">
        <f t="shared" si="55"/>
        <v>4053613.8965715165</v>
      </c>
      <c r="U29" s="71">
        <f t="shared" si="55"/>
        <v>4128089.4956850568</v>
      </c>
      <c r="V29" s="71">
        <f t="shared" si="55"/>
        <v>4204054.606780868</v>
      </c>
      <c r="W29" s="71">
        <f t="shared" si="55"/>
        <v>4281539.0200985949</v>
      </c>
      <c r="X29" s="71">
        <f t="shared" si="55"/>
        <v>4360573.1216826765</v>
      </c>
      <c r="Y29" s="71">
        <f t="shared" si="55"/>
        <v>4441187.9052984398</v>
      </c>
      <c r="Z29" s="71">
        <f t="shared" si="55"/>
        <v>4523414.9845865173</v>
      </c>
      <c r="AA29" s="71">
        <f t="shared" si="55"/>
        <v>4607286.6054603588</v>
      </c>
      <c r="AB29" s="71">
        <f t="shared" si="55"/>
        <v>4692835.6587516749</v>
      </c>
      <c r="AC29" s="71">
        <f t="shared" si="55"/>
        <v>4780095.6931088185</v>
      </c>
      <c r="AD29" s="71">
        <f t="shared" si="55"/>
        <v>4869100.9281531051</v>
      </c>
      <c r="AE29" s="71">
        <f t="shared" si="55"/>
        <v>4959886.2678982774</v>
      </c>
      <c r="AF29" s="71">
        <f t="shared" si="55"/>
        <v>5052487.3144383514</v>
      </c>
      <c r="AG29" s="227" t="s">
        <v>182</v>
      </c>
      <c r="AH29" s="240" t="s">
        <v>311</v>
      </c>
      <c r="AI29" s="240"/>
      <c r="AJ29" s="124"/>
      <c r="AK29" s="348"/>
      <c r="AL29" s="348"/>
      <c r="AM29" s="288"/>
      <c r="AN29" s="288"/>
      <c r="AO29" s="3"/>
      <c r="AP29" s="3"/>
      <c r="AQ29" s="3"/>
      <c r="AR29" s="3"/>
      <c r="AS29" s="3"/>
      <c r="AT29" s="3"/>
      <c r="AU29" s="3"/>
      <c r="AV29" s="3"/>
      <c r="AW29" s="288"/>
    </row>
    <row r="30" spans="1:49" ht="8.1" customHeight="1" x14ac:dyDescent="0.25">
      <c r="A30" s="1"/>
      <c r="B30" s="152"/>
      <c r="C30" s="114"/>
      <c r="D30" s="2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227"/>
      <c r="AH30" s="238"/>
      <c r="AI30" s="152"/>
    </row>
    <row r="31" spans="1:49" x14ac:dyDescent="0.25">
      <c r="A31" s="193" t="s">
        <v>167</v>
      </c>
      <c r="B31" s="194"/>
      <c r="C31" s="195"/>
      <c r="D31" s="212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227"/>
      <c r="AH31" s="238"/>
      <c r="AI31" s="152"/>
    </row>
    <row r="32" spans="1:49" ht="15" customHeight="1" x14ac:dyDescent="0.25">
      <c r="A32" s="179" t="s">
        <v>157</v>
      </c>
      <c r="B32" s="180">
        <v>0.25</v>
      </c>
      <c r="C32" s="181">
        <f t="shared" ref="C32:M32" si="56">$B$32*C$29</f>
        <v>7728.9133738601831</v>
      </c>
      <c r="D32" s="213">
        <f t="shared" si="56"/>
        <v>74065.137997629179</v>
      </c>
      <c r="E32" s="181">
        <f t="shared" si="56"/>
        <v>157711.35275758177</v>
      </c>
      <c r="F32" s="181">
        <f t="shared" si="56"/>
        <v>208937.91581273335</v>
      </c>
      <c r="G32" s="181">
        <f t="shared" si="56"/>
        <v>261189.01012898804</v>
      </c>
      <c r="H32" s="181">
        <f t="shared" si="56"/>
        <v>314485.12633156782</v>
      </c>
      <c r="I32" s="181">
        <f t="shared" si="56"/>
        <v>502782.28485819919</v>
      </c>
      <c r="J32" s="181">
        <f t="shared" si="56"/>
        <v>608982.60255536321</v>
      </c>
      <c r="K32" s="181">
        <f t="shared" si="56"/>
        <v>717306.92660647049</v>
      </c>
      <c r="L32" s="181">
        <f t="shared" si="56"/>
        <v>819785.68113859976</v>
      </c>
      <c r="M32" s="181">
        <f t="shared" si="56"/>
        <v>892902.12105689931</v>
      </c>
      <c r="N32" s="181">
        <f t="shared" ref="N32:AF32" si="57">$B$32*N$29</f>
        <v>909110.9937735647</v>
      </c>
      <c r="O32" s="181">
        <f t="shared" si="57"/>
        <v>925644.04394456337</v>
      </c>
      <c r="P32" s="181">
        <f t="shared" si="57"/>
        <v>942507.75511898228</v>
      </c>
      <c r="Q32" s="181">
        <f t="shared" si="57"/>
        <v>959708.74051688926</v>
      </c>
      <c r="R32" s="181">
        <f t="shared" si="57"/>
        <v>977253.74562275456</v>
      </c>
      <c r="S32" s="181">
        <f t="shared" si="57"/>
        <v>995149.65083073697</v>
      </c>
      <c r="T32" s="181">
        <f t="shared" si="57"/>
        <v>1013403.4741428791</v>
      </c>
      <c r="U32" s="181">
        <f t="shared" si="57"/>
        <v>1032022.3739212642</v>
      </c>
      <c r="V32" s="181">
        <f t="shared" si="57"/>
        <v>1051013.651695217</v>
      </c>
      <c r="W32" s="181">
        <f t="shared" si="57"/>
        <v>1070384.7550246487</v>
      </c>
      <c r="X32" s="181">
        <f t="shared" si="57"/>
        <v>1090143.2804206691</v>
      </c>
      <c r="Y32" s="181">
        <f t="shared" si="57"/>
        <v>1110296.9763246099</v>
      </c>
      <c r="Z32" s="181">
        <f t="shared" si="57"/>
        <v>1130853.7461466293</v>
      </c>
      <c r="AA32" s="181">
        <f t="shared" si="57"/>
        <v>1151821.6513650897</v>
      </c>
      <c r="AB32" s="181">
        <f t="shared" si="57"/>
        <v>1173208.9146879187</v>
      </c>
      <c r="AC32" s="181">
        <f t="shared" si="57"/>
        <v>1195023.9232772046</v>
      </c>
      <c r="AD32" s="181">
        <f t="shared" si="57"/>
        <v>1217275.2320382763</v>
      </c>
      <c r="AE32" s="181">
        <f t="shared" si="57"/>
        <v>1239971.5669745693</v>
      </c>
      <c r="AF32" s="181">
        <f t="shared" si="57"/>
        <v>1263121.8286095879</v>
      </c>
      <c r="AG32" s="232"/>
      <c r="AH32" s="242" t="s">
        <v>169</v>
      </c>
      <c r="AI32" s="124"/>
    </row>
    <row r="33" spans="1:35" ht="15" customHeight="1" x14ac:dyDescent="0.25">
      <c r="A33" s="179" t="s">
        <v>156</v>
      </c>
      <c r="B33" s="182">
        <v>0.05</v>
      </c>
      <c r="C33" s="181">
        <f>B33*C$29</f>
        <v>1545.7826747720367</v>
      </c>
      <c r="D33" s="213">
        <f>B33*D$29</f>
        <v>14813.027599525836</v>
      </c>
      <c r="E33" s="181">
        <f t="shared" ref="E33:M33" si="58">$B$33*E29</f>
        <v>31542.270551516354</v>
      </c>
      <c r="F33" s="181">
        <f t="shared" si="58"/>
        <v>41787.583162546674</v>
      </c>
      <c r="G33" s="181">
        <f t="shared" si="58"/>
        <v>52237.80202579761</v>
      </c>
      <c r="H33" s="181">
        <f t="shared" si="58"/>
        <v>62897.025266313569</v>
      </c>
      <c r="I33" s="181">
        <f t="shared" si="58"/>
        <v>100556.45697163984</v>
      </c>
      <c r="J33" s="181">
        <f t="shared" si="58"/>
        <v>121796.52051107265</v>
      </c>
      <c r="K33" s="181">
        <f t="shared" si="58"/>
        <v>143461.3853212941</v>
      </c>
      <c r="L33" s="181">
        <f t="shared" si="58"/>
        <v>163957.13622771995</v>
      </c>
      <c r="M33" s="181">
        <f t="shared" si="58"/>
        <v>178580.42421137987</v>
      </c>
      <c r="N33" s="181">
        <f t="shared" ref="N33:AF33" si="59">$B$33*N29</f>
        <v>181822.19875471294</v>
      </c>
      <c r="O33" s="181">
        <f t="shared" si="59"/>
        <v>185128.80878891269</v>
      </c>
      <c r="P33" s="181">
        <f t="shared" si="59"/>
        <v>188501.55102379646</v>
      </c>
      <c r="Q33" s="181">
        <f t="shared" si="59"/>
        <v>191941.74810337787</v>
      </c>
      <c r="R33" s="181">
        <f t="shared" si="59"/>
        <v>195450.74912455093</v>
      </c>
      <c r="S33" s="181">
        <f t="shared" si="59"/>
        <v>199029.93016614742</v>
      </c>
      <c r="T33" s="181">
        <f t="shared" si="59"/>
        <v>202680.69482857583</v>
      </c>
      <c r="U33" s="181">
        <f t="shared" si="59"/>
        <v>206404.47478425284</v>
      </c>
      <c r="V33" s="181">
        <f t="shared" si="59"/>
        <v>210202.73033904342</v>
      </c>
      <c r="W33" s="181">
        <f t="shared" si="59"/>
        <v>214076.95100492975</v>
      </c>
      <c r="X33" s="181">
        <f t="shared" si="59"/>
        <v>218028.65608413384</v>
      </c>
      <c r="Y33" s="181">
        <f t="shared" si="59"/>
        <v>222059.395264922</v>
      </c>
      <c r="Z33" s="181">
        <f t="shared" si="59"/>
        <v>226170.74922932588</v>
      </c>
      <c r="AA33" s="181">
        <f t="shared" si="59"/>
        <v>230364.33027301796</v>
      </c>
      <c r="AB33" s="181">
        <f t="shared" si="59"/>
        <v>234641.78293758375</v>
      </c>
      <c r="AC33" s="181">
        <f t="shared" si="59"/>
        <v>239004.78465544095</v>
      </c>
      <c r="AD33" s="181">
        <f t="shared" si="59"/>
        <v>243455.04640765526</v>
      </c>
      <c r="AE33" s="181">
        <f t="shared" si="59"/>
        <v>247994.31339491389</v>
      </c>
      <c r="AF33" s="181">
        <f t="shared" si="59"/>
        <v>252624.36572191759</v>
      </c>
      <c r="AG33" s="233"/>
      <c r="AH33" s="243" t="s">
        <v>170</v>
      </c>
      <c r="AI33" s="152"/>
    </row>
    <row r="34" spans="1:35" ht="15" customHeight="1" x14ac:dyDescent="0.25">
      <c r="A34" s="179" t="s">
        <v>58</v>
      </c>
      <c r="B34" s="182">
        <v>0.35</v>
      </c>
      <c r="C34" s="181">
        <f>B34*C$29</f>
        <v>10820.478723404256</v>
      </c>
      <c r="D34" s="213">
        <f>B34*(D$29)</f>
        <v>103691.19319668085</v>
      </c>
      <c r="E34" s="181">
        <f t="shared" ref="E34:M34" si="60">$B$34*(E29)</f>
        <v>220795.89386061448</v>
      </c>
      <c r="F34" s="181">
        <f t="shared" si="60"/>
        <v>292513.08213782666</v>
      </c>
      <c r="G34" s="181">
        <f t="shared" si="60"/>
        <v>365664.61418058322</v>
      </c>
      <c r="H34" s="181">
        <f t="shared" si="60"/>
        <v>440279.17686419492</v>
      </c>
      <c r="I34" s="181">
        <f t="shared" si="60"/>
        <v>703895.19880147884</v>
      </c>
      <c r="J34" s="181">
        <f t="shared" si="60"/>
        <v>852575.6435775084</v>
      </c>
      <c r="K34" s="181">
        <f t="shared" si="60"/>
        <v>1004229.6972490586</v>
      </c>
      <c r="L34" s="181">
        <f t="shared" si="60"/>
        <v>1147699.9535940397</v>
      </c>
      <c r="M34" s="181">
        <f t="shared" si="60"/>
        <v>1250062.9694796589</v>
      </c>
      <c r="N34" s="181">
        <f t="shared" ref="N34:AF34" si="61">$B$34*(N29)</f>
        <v>1272755.3912829906</v>
      </c>
      <c r="O34" s="181">
        <f t="shared" si="61"/>
        <v>1295901.6615223887</v>
      </c>
      <c r="P34" s="181">
        <f t="shared" si="61"/>
        <v>1319510.857166575</v>
      </c>
      <c r="Q34" s="181">
        <f t="shared" si="61"/>
        <v>1343592.2367236449</v>
      </c>
      <c r="R34" s="181">
        <f t="shared" si="61"/>
        <v>1368155.2438718562</v>
      </c>
      <c r="S34" s="181">
        <f t="shared" si="61"/>
        <v>1393209.5111630317</v>
      </c>
      <c r="T34" s="181">
        <f t="shared" si="61"/>
        <v>1418764.8638000307</v>
      </c>
      <c r="U34" s="181">
        <f t="shared" si="61"/>
        <v>1444831.3234897698</v>
      </c>
      <c r="V34" s="181">
        <f t="shared" si="61"/>
        <v>1471419.1123733036</v>
      </c>
      <c r="W34" s="181">
        <f t="shared" si="61"/>
        <v>1498538.6570345082</v>
      </c>
      <c r="X34" s="181">
        <f t="shared" si="61"/>
        <v>1526200.5925889367</v>
      </c>
      <c r="Y34" s="181">
        <f t="shared" si="61"/>
        <v>1554415.7668544538</v>
      </c>
      <c r="Z34" s="181">
        <f t="shared" si="61"/>
        <v>1583195.2446052809</v>
      </c>
      <c r="AA34" s="181">
        <f t="shared" si="61"/>
        <v>1612550.3119111254</v>
      </c>
      <c r="AB34" s="181">
        <f t="shared" si="61"/>
        <v>1642492.4805630862</v>
      </c>
      <c r="AC34" s="181">
        <f t="shared" si="61"/>
        <v>1673033.4925880863</v>
      </c>
      <c r="AD34" s="181">
        <f t="shared" si="61"/>
        <v>1704185.3248535867</v>
      </c>
      <c r="AE34" s="181">
        <f t="shared" si="61"/>
        <v>1735960.1937643969</v>
      </c>
      <c r="AF34" s="181">
        <f t="shared" si="61"/>
        <v>1768370.5600534228</v>
      </c>
      <c r="AG34" s="230"/>
      <c r="AH34" s="240" t="s">
        <v>171</v>
      </c>
      <c r="AI34" s="152"/>
    </row>
    <row r="35" spans="1:35" x14ac:dyDescent="0.25">
      <c r="A35" s="179" t="s">
        <v>165</v>
      </c>
      <c r="B35" s="183">
        <v>0.35</v>
      </c>
      <c r="C35" s="181">
        <f>B35*C29</f>
        <v>10820.478723404256</v>
      </c>
      <c r="D35" s="213">
        <f>B35*D29</f>
        <v>103691.19319668085</v>
      </c>
      <c r="E35" s="181">
        <f t="shared" ref="E35:M35" si="62">$B$35*E29</f>
        <v>220795.89386061448</v>
      </c>
      <c r="F35" s="181">
        <f t="shared" si="62"/>
        <v>292513.08213782666</v>
      </c>
      <c r="G35" s="181">
        <f t="shared" si="62"/>
        <v>365664.61418058322</v>
      </c>
      <c r="H35" s="181">
        <f t="shared" si="62"/>
        <v>440279.17686419492</v>
      </c>
      <c r="I35" s="181">
        <f t="shared" si="62"/>
        <v>703895.19880147884</v>
      </c>
      <c r="J35" s="181">
        <f t="shared" si="62"/>
        <v>852575.6435775084</v>
      </c>
      <c r="K35" s="181">
        <f t="shared" si="62"/>
        <v>1004229.6972490586</v>
      </c>
      <c r="L35" s="181">
        <f t="shared" si="62"/>
        <v>1147699.9535940397</v>
      </c>
      <c r="M35" s="181">
        <f t="shared" si="62"/>
        <v>1250062.9694796589</v>
      </c>
      <c r="N35" s="181">
        <f t="shared" ref="N35:AF35" si="63">$B$35*N29</f>
        <v>1272755.3912829906</v>
      </c>
      <c r="O35" s="181">
        <f t="shared" si="63"/>
        <v>1295901.6615223887</v>
      </c>
      <c r="P35" s="181">
        <f t="shared" si="63"/>
        <v>1319510.857166575</v>
      </c>
      <c r="Q35" s="181">
        <f t="shared" si="63"/>
        <v>1343592.2367236449</v>
      </c>
      <c r="R35" s="181">
        <f t="shared" si="63"/>
        <v>1368155.2438718562</v>
      </c>
      <c r="S35" s="181">
        <f t="shared" si="63"/>
        <v>1393209.5111630317</v>
      </c>
      <c r="T35" s="181">
        <f t="shared" si="63"/>
        <v>1418764.8638000307</v>
      </c>
      <c r="U35" s="181">
        <f t="shared" si="63"/>
        <v>1444831.3234897698</v>
      </c>
      <c r="V35" s="181">
        <f t="shared" si="63"/>
        <v>1471419.1123733036</v>
      </c>
      <c r="W35" s="181">
        <f t="shared" si="63"/>
        <v>1498538.6570345082</v>
      </c>
      <c r="X35" s="181">
        <f t="shared" si="63"/>
        <v>1526200.5925889367</v>
      </c>
      <c r="Y35" s="181">
        <f t="shared" si="63"/>
        <v>1554415.7668544538</v>
      </c>
      <c r="Z35" s="181">
        <f t="shared" si="63"/>
        <v>1583195.2446052809</v>
      </c>
      <c r="AA35" s="181">
        <f t="shared" si="63"/>
        <v>1612550.3119111254</v>
      </c>
      <c r="AB35" s="181">
        <f t="shared" si="63"/>
        <v>1642492.4805630862</v>
      </c>
      <c r="AC35" s="181">
        <f t="shared" si="63"/>
        <v>1673033.4925880863</v>
      </c>
      <c r="AD35" s="181">
        <f t="shared" si="63"/>
        <v>1704185.3248535867</v>
      </c>
      <c r="AE35" s="181">
        <f t="shared" si="63"/>
        <v>1735960.1937643969</v>
      </c>
      <c r="AF35" s="181">
        <f t="shared" si="63"/>
        <v>1768370.5600534228</v>
      </c>
      <c r="AG35" s="230" t="s">
        <v>164</v>
      </c>
      <c r="AH35" s="240" t="s">
        <v>194</v>
      </c>
      <c r="AI35" s="152"/>
    </row>
    <row r="36" spans="1:35" x14ac:dyDescent="0.25">
      <c r="A36" s="197" t="s">
        <v>158</v>
      </c>
      <c r="B36" s="196">
        <f>SUM(B32:B35)</f>
        <v>0.99999999999999989</v>
      </c>
      <c r="C36" s="191">
        <f>SUM(C32:C35)</f>
        <v>30915.653495440733</v>
      </c>
      <c r="D36" s="214">
        <f t="shared" ref="D36:AF36" si="64">SUM(D32:D35)</f>
        <v>296260.55199051672</v>
      </c>
      <c r="E36" s="191">
        <f t="shared" si="64"/>
        <v>630845.41103032709</v>
      </c>
      <c r="F36" s="191">
        <f t="shared" si="64"/>
        <v>835751.6632509334</v>
      </c>
      <c r="G36" s="191">
        <f t="shared" si="64"/>
        <v>1044756.040515952</v>
      </c>
      <c r="H36" s="191">
        <f t="shared" si="64"/>
        <v>1257940.5053262713</v>
      </c>
      <c r="I36" s="191">
        <f t="shared" si="64"/>
        <v>2011129.1394327967</v>
      </c>
      <c r="J36" s="191">
        <f t="shared" si="64"/>
        <v>2435930.4102214528</v>
      </c>
      <c r="K36" s="191">
        <f t="shared" si="64"/>
        <v>2869227.7064258819</v>
      </c>
      <c r="L36" s="191">
        <f t="shared" si="64"/>
        <v>3279142.724554399</v>
      </c>
      <c r="M36" s="191">
        <f t="shared" si="64"/>
        <v>3571608.4842275968</v>
      </c>
      <c r="N36" s="191">
        <f t="shared" si="64"/>
        <v>3636443.9750942588</v>
      </c>
      <c r="O36" s="191">
        <f t="shared" si="64"/>
        <v>3702576.175778253</v>
      </c>
      <c r="P36" s="191">
        <f t="shared" si="64"/>
        <v>3770031.0204759287</v>
      </c>
      <c r="Q36" s="191">
        <f t="shared" si="64"/>
        <v>3838834.9620675566</v>
      </c>
      <c r="R36" s="191">
        <f t="shared" si="64"/>
        <v>3909014.9824910183</v>
      </c>
      <c r="S36" s="191">
        <f t="shared" si="64"/>
        <v>3980598.6033229479</v>
      </c>
      <c r="T36" s="191">
        <f t="shared" si="64"/>
        <v>4053613.8965715165</v>
      </c>
      <c r="U36" s="191">
        <f t="shared" si="64"/>
        <v>4128089.4956850568</v>
      </c>
      <c r="V36" s="191">
        <f t="shared" si="64"/>
        <v>4204054.606780868</v>
      </c>
      <c r="W36" s="191">
        <f t="shared" si="64"/>
        <v>4281539.0200985949</v>
      </c>
      <c r="X36" s="191">
        <f t="shared" si="64"/>
        <v>4360573.1216826765</v>
      </c>
      <c r="Y36" s="191">
        <f t="shared" si="64"/>
        <v>4441187.9052984398</v>
      </c>
      <c r="Z36" s="191">
        <f t="shared" si="64"/>
        <v>4523414.9845865164</v>
      </c>
      <c r="AA36" s="191">
        <f t="shared" si="64"/>
        <v>4607286.6054603588</v>
      </c>
      <c r="AB36" s="191">
        <f t="shared" si="64"/>
        <v>4692835.6587516749</v>
      </c>
      <c r="AC36" s="191">
        <f t="shared" si="64"/>
        <v>4780095.6931088176</v>
      </c>
      <c r="AD36" s="191">
        <f t="shared" si="64"/>
        <v>4869100.9281531051</v>
      </c>
      <c r="AE36" s="191">
        <f t="shared" si="64"/>
        <v>4959886.2678982774</v>
      </c>
      <c r="AF36" s="191">
        <f t="shared" si="64"/>
        <v>5052487.3144383514</v>
      </c>
      <c r="AG36" s="227"/>
      <c r="AH36" s="238"/>
      <c r="AI36" s="152"/>
    </row>
    <row r="37" spans="1:35" ht="8.1" customHeight="1" x14ac:dyDescent="0.25">
      <c r="A37" s="141"/>
      <c r="B37" s="174"/>
      <c r="C37" s="136"/>
      <c r="D37" s="205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227"/>
      <c r="AH37" s="238"/>
      <c r="AI37" s="152"/>
    </row>
    <row r="38" spans="1:35" x14ac:dyDescent="0.25">
      <c r="A38" s="184" t="s">
        <v>159</v>
      </c>
      <c r="B38" s="439" t="s">
        <v>200</v>
      </c>
      <c r="C38" s="185"/>
      <c r="D38" s="21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227"/>
      <c r="AH38" s="238"/>
      <c r="AI38" s="152"/>
    </row>
    <row r="39" spans="1:35" x14ac:dyDescent="0.25">
      <c r="A39" s="186" t="s">
        <v>165</v>
      </c>
      <c r="B39" s="439"/>
      <c r="C39" s="185">
        <f>C35</f>
        <v>10820.478723404256</v>
      </c>
      <c r="D39" s="215">
        <f t="shared" ref="D39:L39" si="65">D35</f>
        <v>103691.19319668085</v>
      </c>
      <c r="E39" s="185">
        <f t="shared" si="65"/>
        <v>220795.89386061448</v>
      </c>
      <c r="F39" s="185">
        <f t="shared" si="65"/>
        <v>292513.08213782666</v>
      </c>
      <c r="G39" s="185">
        <f t="shared" si="65"/>
        <v>365664.61418058322</v>
      </c>
      <c r="H39" s="185">
        <f t="shared" si="65"/>
        <v>440279.17686419492</v>
      </c>
      <c r="I39" s="185">
        <f t="shared" si="65"/>
        <v>703895.19880147884</v>
      </c>
      <c r="J39" s="185">
        <f t="shared" si="65"/>
        <v>852575.6435775084</v>
      </c>
      <c r="K39" s="185">
        <f t="shared" si="65"/>
        <v>1004229.6972490586</v>
      </c>
      <c r="L39" s="185">
        <f t="shared" si="65"/>
        <v>1147699.9535940397</v>
      </c>
      <c r="M39" s="185">
        <f>M35</f>
        <v>1250062.9694796589</v>
      </c>
      <c r="N39" s="185">
        <f t="shared" ref="N39:AF39" si="66">N35</f>
        <v>1272755.3912829906</v>
      </c>
      <c r="O39" s="185">
        <f t="shared" si="66"/>
        <v>1295901.6615223887</v>
      </c>
      <c r="P39" s="185">
        <f t="shared" si="66"/>
        <v>1319510.857166575</v>
      </c>
      <c r="Q39" s="185">
        <f t="shared" si="66"/>
        <v>1343592.2367236449</v>
      </c>
      <c r="R39" s="185">
        <f t="shared" si="66"/>
        <v>1368155.2438718562</v>
      </c>
      <c r="S39" s="185">
        <f t="shared" si="66"/>
        <v>1393209.5111630317</v>
      </c>
      <c r="T39" s="185">
        <f t="shared" si="66"/>
        <v>1418764.8638000307</v>
      </c>
      <c r="U39" s="185">
        <f t="shared" si="66"/>
        <v>1444831.3234897698</v>
      </c>
      <c r="V39" s="185">
        <f t="shared" si="66"/>
        <v>1471419.1123733036</v>
      </c>
      <c r="W39" s="185">
        <f t="shared" si="66"/>
        <v>1498538.6570345082</v>
      </c>
      <c r="X39" s="185">
        <f t="shared" si="66"/>
        <v>1526200.5925889367</v>
      </c>
      <c r="Y39" s="185">
        <f t="shared" si="66"/>
        <v>1554415.7668544538</v>
      </c>
      <c r="Z39" s="185">
        <f t="shared" si="66"/>
        <v>1583195.2446052809</v>
      </c>
      <c r="AA39" s="185">
        <f t="shared" si="66"/>
        <v>1612550.3119111254</v>
      </c>
      <c r="AB39" s="185">
        <f t="shared" si="66"/>
        <v>1642492.4805630862</v>
      </c>
      <c r="AC39" s="185">
        <f t="shared" si="66"/>
        <v>1673033.4925880863</v>
      </c>
      <c r="AD39" s="185">
        <f t="shared" si="66"/>
        <v>1704185.3248535867</v>
      </c>
      <c r="AE39" s="185">
        <f t="shared" si="66"/>
        <v>1735960.1937643969</v>
      </c>
      <c r="AF39" s="185">
        <f t="shared" si="66"/>
        <v>1768370.5600534228</v>
      </c>
      <c r="AG39" s="227" t="s">
        <v>164</v>
      </c>
      <c r="AH39" s="238" t="s">
        <v>164</v>
      </c>
      <c r="AI39" s="152"/>
    </row>
    <row r="40" spans="1:35" x14ac:dyDescent="0.25">
      <c r="A40" s="186" t="str">
        <f>CONCATENATE("Less: 10% of Incremental FORA Share after 7/1/2012 (goes to ",A4,")")</f>
        <v>Less: 10% of Incremental FORA Share after 7/1/2012 (goes to Del Rey Oaks)</v>
      </c>
      <c r="B40" s="263">
        <v>0</v>
      </c>
      <c r="C40" s="185">
        <f t="shared" ref="C40:L40" si="67">IF(C39&gt;0,-(0.1*(C39-$B$40)),0)</f>
        <v>-1082.0478723404256</v>
      </c>
      <c r="D40" s="215">
        <f t="shared" si="67"/>
        <v>-10369.119319668085</v>
      </c>
      <c r="E40" s="185">
        <f t="shared" si="67"/>
        <v>-22079.589386061449</v>
      </c>
      <c r="F40" s="185">
        <f t="shared" si="67"/>
        <v>-29251.308213782668</v>
      </c>
      <c r="G40" s="185">
        <f t="shared" si="67"/>
        <v>-36566.461418058323</v>
      </c>
      <c r="H40" s="185">
        <f t="shared" si="67"/>
        <v>-44027.917686419496</v>
      </c>
      <c r="I40" s="185">
        <f t="shared" si="67"/>
        <v>-70389.519880147884</v>
      </c>
      <c r="J40" s="185">
        <f t="shared" si="67"/>
        <v>-85257.564357750845</v>
      </c>
      <c r="K40" s="185">
        <f t="shared" si="67"/>
        <v>-100422.96972490587</v>
      </c>
      <c r="L40" s="185">
        <f t="shared" si="67"/>
        <v>-114769.99535940397</v>
      </c>
      <c r="M40" s="185">
        <f>IF(M39&gt;0,-(0.1*(M39-$B$40)),0)</f>
        <v>-125006.29694796589</v>
      </c>
      <c r="N40" s="185">
        <f t="shared" ref="N40:AF40" si="68">IF(N39&gt;0,-(0.1*(N39-$B$40)),0)</f>
        <v>-127275.53912829906</v>
      </c>
      <c r="O40" s="185">
        <f t="shared" si="68"/>
        <v>-129590.16615223887</v>
      </c>
      <c r="P40" s="185">
        <f t="shared" si="68"/>
        <v>-131951.08571665752</v>
      </c>
      <c r="Q40" s="185">
        <f t="shared" si="68"/>
        <v>-134359.22367236449</v>
      </c>
      <c r="R40" s="185">
        <f t="shared" si="68"/>
        <v>-136815.52438718564</v>
      </c>
      <c r="S40" s="185">
        <f t="shared" si="68"/>
        <v>-139320.95111630319</v>
      </c>
      <c r="T40" s="185">
        <f t="shared" si="68"/>
        <v>-141876.48638000307</v>
      </c>
      <c r="U40" s="185">
        <f t="shared" si="68"/>
        <v>-144483.132348977</v>
      </c>
      <c r="V40" s="185">
        <f t="shared" si="68"/>
        <v>-147141.91123733038</v>
      </c>
      <c r="W40" s="185">
        <f t="shared" si="68"/>
        <v>-149853.86570345084</v>
      </c>
      <c r="X40" s="185">
        <f t="shared" si="68"/>
        <v>-152620.05925889369</v>
      </c>
      <c r="Y40" s="185">
        <f t="shared" si="68"/>
        <v>-155441.57668544538</v>
      </c>
      <c r="Z40" s="185">
        <f t="shared" si="68"/>
        <v>-158319.5244605281</v>
      </c>
      <c r="AA40" s="185">
        <f t="shared" si="68"/>
        <v>-161255.03119111256</v>
      </c>
      <c r="AB40" s="185">
        <f t="shared" si="68"/>
        <v>-164249.24805630863</v>
      </c>
      <c r="AC40" s="185">
        <f t="shared" si="68"/>
        <v>-167303.34925880865</v>
      </c>
      <c r="AD40" s="185">
        <f t="shared" si="68"/>
        <v>-170418.53248535868</v>
      </c>
      <c r="AE40" s="185">
        <f t="shared" si="68"/>
        <v>-173596.01937643971</v>
      </c>
      <c r="AF40" s="185">
        <f t="shared" si="68"/>
        <v>-176837.05600534228</v>
      </c>
      <c r="AG40" s="227" t="s">
        <v>148</v>
      </c>
      <c r="AH40" s="238"/>
      <c r="AI40" s="152"/>
    </row>
    <row r="41" spans="1:35" ht="15" customHeight="1" x14ac:dyDescent="0.25">
      <c r="A41" s="186" t="s">
        <v>80</v>
      </c>
      <c r="B41" s="188"/>
      <c r="C41" s="189">
        <f t="shared" ref="C41:AF41" si="69">C35+C40</f>
        <v>9738.4308510638311</v>
      </c>
      <c r="D41" s="216">
        <f t="shared" si="69"/>
        <v>93322.073877012765</v>
      </c>
      <c r="E41" s="189">
        <f t="shared" si="69"/>
        <v>198716.30447455304</v>
      </c>
      <c r="F41" s="189">
        <f t="shared" si="69"/>
        <v>263261.77392404398</v>
      </c>
      <c r="G41" s="189">
        <f t="shared" si="69"/>
        <v>329098.1527625249</v>
      </c>
      <c r="H41" s="189">
        <f t="shared" si="69"/>
        <v>396251.25917777541</v>
      </c>
      <c r="I41" s="189">
        <f t="shared" si="69"/>
        <v>633505.67892133095</v>
      </c>
      <c r="J41" s="189">
        <f t="shared" si="69"/>
        <v>767318.07921975758</v>
      </c>
      <c r="K41" s="189">
        <f t="shared" si="69"/>
        <v>903806.72752415272</v>
      </c>
      <c r="L41" s="189">
        <f t="shared" si="69"/>
        <v>1032929.9582346356</v>
      </c>
      <c r="M41" s="189">
        <f t="shared" si="69"/>
        <v>1125056.672531693</v>
      </c>
      <c r="N41" s="189">
        <f t="shared" si="69"/>
        <v>1145479.8521546915</v>
      </c>
      <c r="O41" s="189">
        <f t="shared" si="69"/>
        <v>1166311.4953701498</v>
      </c>
      <c r="P41" s="189">
        <f t="shared" si="69"/>
        <v>1187559.7714499175</v>
      </c>
      <c r="Q41" s="189">
        <f t="shared" si="69"/>
        <v>1209233.0130512803</v>
      </c>
      <c r="R41" s="189">
        <f t="shared" si="69"/>
        <v>1231339.7194846706</v>
      </c>
      <c r="S41" s="189">
        <f t="shared" si="69"/>
        <v>1253888.5600467285</v>
      </c>
      <c r="T41" s="189">
        <f t="shared" si="69"/>
        <v>1276888.3774200275</v>
      </c>
      <c r="U41" s="189">
        <f t="shared" si="69"/>
        <v>1300348.1911407928</v>
      </c>
      <c r="V41" s="189">
        <f t="shared" si="69"/>
        <v>1324277.2011359732</v>
      </c>
      <c r="W41" s="189">
        <f t="shared" si="69"/>
        <v>1348684.7913310574</v>
      </c>
      <c r="X41" s="189">
        <f t="shared" si="69"/>
        <v>1373580.5333300431</v>
      </c>
      <c r="Y41" s="189">
        <f t="shared" si="69"/>
        <v>1398974.1901690084</v>
      </c>
      <c r="Z41" s="189">
        <f t="shared" si="69"/>
        <v>1424875.7201447529</v>
      </c>
      <c r="AA41" s="189">
        <f t="shared" si="69"/>
        <v>1451295.280720013</v>
      </c>
      <c r="AB41" s="189">
        <f t="shared" si="69"/>
        <v>1478243.2325067776</v>
      </c>
      <c r="AC41" s="189">
        <f t="shared" si="69"/>
        <v>1505730.1433292776</v>
      </c>
      <c r="AD41" s="189">
        <f t="shared" si="69"/>
        <v>1533766.7923682281</v>
      </c>
      <c r="AE41" s="189">
        <f t="shared" si="69"/>
        <v>1562364.1743879572</v>
      </c>
      <c r="AF41" s="189">
        <f t="shared" si="69"/>
        <v>1591533.5040480806</v>
      </c>
      <c r="AG41" s="227" t="s">
        <v>183</v>
      </c>
      <c r="AH41" s="240" t="s">
        <v>195</v>
      </c>
      <c r="AI41" s="152"/>
    </row>
    <row r="42" spans="1:35" ht="15" customHeight="1" x14ac:dyDescent="0.25">
      <c r="A42" s="186" t="str">
        <f>CONCATENATE("Less: ",$A$4," Portion of FORA Remediation Bonds Debt Service")</f>
        <v>Less: Del Rey Oaks Portion of FORA Remediation Bonds Debt Service</v>
      </c>
      <c r="B42" s="186"/>
      <c r="C42" s="185">
        <v>0</v>
      </c>
      <c r="D42" s="215">
        <f>-'DS (Base Case)'!N54</f>
        <v>-6221.4940569748051</v>
      </c>
      <c r="E42" s="185">
        <f>-'DS (Base Case)'!O54</f>
        <v>-6227.2584058390812</v>
      </c>
      <c r="F42" s="185">
        <f>-'DS (Base Case)'!P54</f>
        <v>-6229.0071579344658</v>
      </c>
      <c r="G42" s="185">
        <f>-'DS (Base Case)'!Q54</f>
        <v>-6228.2598512670738</v>
      </c>
      <c r="H42" s="185">
        <f>-'DS (Base Case)'!R54</f>
        <v>-6224.6682216094123</v>
      </c>
      <c r="I42" s="185">
        <f>-'DS (Base Case)'!S54</f>
        <v>-6233.7324421463127</v>
      </c>
      <c r="J42" s="185">
        <f>-'DS (Base Case)'!T54</f>
        <v>-6219.0330785258393</v>
      </c>
      <c r="K42" s="185">
        <f>-'DS (Base Case)'!U54</f>
        <v>-6213.6354164722179</v>
      </c>
      <c r="L42" s="185">
        <f>-'DS (Base Case)'!V54</f>
        <v>-6234.3519982622602</v>
      </c>
      <c r="M42" s="185">
        <f>-'DS (Base Case)'!W54</f>
        <v>-6220.4709688818912</v>
      </c>
      <c r="N42" s="185">
        <f>-'DS (Base Case)'!X54</f>
        <v>-6232.5035474815495</v>
      </c>
      <c r="O42" s="185">
        <f>-'DS (Base Case)'!Y54</f>
        <v>-6222.6550512616441</v>
      </c>
      <c r="P42" s="185">
        <f>-'DS (Base Case)'!Z54</f>
        <v>-6222.4522480352853</v>
      </c>
      <c r="Q42" s="185">
        <f>-'DS (Base Case)'!AA54</f>
        <v>-6231.0195232617934</v>
      </c>
      <c r="R42" s="185">
        <f>-'DS (Base Case)'!AB54</f>
        <v>-6233.0939990123397</v>
      </c>
      <c r="S42" s="185">
        <f>-'DS (Base Case)'!AC54</f>
        <v>-6212.8242035667809</v>
      </c>
      <c r="T42" s="185">
        <f>-'DS (Base Case)'!AD54</f>
        <v>-6217.7781755083834</v>
      </c>
      <c r="U42" s="185">
        <f>-'DS (Base Case)'!AE54</f>
        <v>-6231.1229374260747</v>
      </c>
      <c r="V42" s="185">
        <f>-'DS (Base Case)'!AF54</f>
        <v>-6237.4671177437895</v>
      </c>
      <c r="W42" s="185">
        <f>-'DS (Base Case)'!AG54</f>
        <v>-6222.1903067688727</v>
      </c>
      <c r="X42" s="185">
        <f>-'DS (Base Case)'!AH54</f>
        <v>-6232.5998403111644</v>
      </c>
      <c r="Y42" s="185">
        <f>-'DS (Base Case)'!AI54</f>
        <v>-6220.5787177716202</v>
      </c>
      <c r="Z42" s="185">
        <f>-'DS (Base Case)'!AJ54</f>
        <v>-6233.6990028357077</v>
      </c>
      <c r="AA42" s="185">
        <f>-'DS (Base Case)'!AK54</f>
        <v>-6223.8158288122113</v>
      </c>
      <c r="AB42" s="185">
        <f>-'DS (Base Case)'!AL54</f>
        <v>-6222.8064570291099</v>
      </c>
      <c r="AC42" s="185">
        <f>-'DS (Base Case)'!AM54</f>
        <v>-6229.7156997714128</v>
      </c>
      <c r="AD42" s="185">
        <f>-'DS (Base Case)'!AN54</f>
        <v>-6228.9308048419152</v>
      </c>
      <c r="AE42" s="185">
        <f>-'DS (Base Case)'!AO54</f>
        <v>-6235.4824327346851</v>
      </c>
      <c r="AF42" s="185">
        <f>-'DS (Base Case)'!AP54</f>
        <v>-6218.0692213599523</v>
      </c>
      <c r="AG42" s="227" t="s">
        <v>147</v>
      </c>
      <c r="AH42" s="238" t="s">
        <v>147</v>
      </c>
      <c r="AI42" s="152"/>
    </row>
    <row r="43" spans="1:35" ht="15" customHeight="1" x14ac:dyDescent="0.25">
      <c r="A43" s="192" t="s">
        <v>166</v>
      </c>
      <c r="B43" s="187"/>
      <c r="C43" s="190">
        <f>SUM(C41:C42)</f>
        <v>9738.4308510638311</v>
      </c>
      <c r="D43" s="217">
        <f t="shared" ref="D43:AF43" si="70">SUM(D41:D42)</f>
        <v>87100.579820037965</v>
      </c>
      <c r="E43" s="190">
        <f t="shared" si="70"/>
        <v>192489.04606871394</v>
      </c>
      <c r="F43" s="190">
        <f t="shared" si="70"/>
        <v>257032.7667661095</v>
      </c>
      <c r="G43" s="190">
        <f t="shared" si="70"/>
        <v>322869.8929112578</v>
      </c>
      <c r="H43" s="190">
        <f t="shared" si="70"/>
        <v>390026.59095616598</v>
      </c>
      <c r="I43" s="190">
        <f t="shared" si="70"/>
        <v>627271.94647918467</v>
      </c>
      <c r="J43" s="190">
        <f t="shared" si="70"/>
        <v>761099.04614123178</v>
      </c>
      <c r="K43" s="190">
        <f t="shared" si="70"/>
        <v>897593.09210768051</v>
      </c>
      <c r="L43" s="190">
        <f t="shared" si="70"/>
        <v>1026695.6062363734</v>
      </c>
      <c r="M43" s="190">
        <f t="shared" si="70"/>
        <v>1118836.2015628112</v>
      </c>
      <c r="N43" s="190">
        <f t="shared" si="70"/>
        <v>1139247.34860721</v>
      </c>
      <c r="O43" s="190">
        <f t="shared" si="70"/>
        <v>1160088.8403188882</v>
      </c>
      <c r="P43" s="190">
        <f t="shared" si="70"/>
        <v>1181337.3192018822</v>
      </c>
      <c r="Q43" s="190">
        <f t="shared" si="70"/>
        <v>1203001.9935280185</v>
      </c>
      <c r="R43" s="190">
        <f t="shared" si="70"/>
        <v>1225106.6254856582</v>
      </c>
      <c r="S43" s="190">
        <f t="shared" si="70"/>
        <v>1247675.7358431616</v>
      </c>
      <c r="T43" s="190">
        <f t="shared" si="70"/>
        <v>1270670.5992445191</v>
      </c>
      <c r="U43" s="190">
        <f t="shared" si="70"/>
        <v>1294117.0682033668</v>
      </c>
      <c r="V43" s="190">
        <f t="shared" si="70"/>
        <v>1318039.7340182294</v>
      </c>
      <c r="W43" s="190">
        <f t="shared" si="70"/>
        <v>1342462.6010242885</v>
      </c>
      <c r="X43" s="190">
        <f t="shared" si="70"/>
        <v>1367347.933489732</v>
      </c>
      <c r="Y43" s="190">
        <f t="shared" si="70"/>
        <v>1392753.6114512368</v>
      </c>
      <c r="Z43" s="190">
        <f t="shared" si="70"/>
        <v>1418642.0211419172</v>
      </c>
      <c r="AA43" s="190">
        <f t="shared" si="70"/>
        <v>1445071.4648912007</v>
      </c>
      <c r="AB43" s="190">
        <f t="shared" si="70"/>
        <v>1472020.4260497484</v>
      </c>
      <c r="AC43" s="190">
        <f t="shared" si="70"/>
        <v>1499500.4276295062</v>
      </c>
      <c r="AD43" s="190">
        <f t="shared" si="70"/>
        <v>1527537.8615633862</v>
      </c>
      <c r="AE43" s="190">
        <f t="shared" si="70"/>
        <v>1556128.6919552225</v>
      </c>
      <c r="AF43" s="190">
        <f t="shared" si="70"/>
        <v>1585315.4348267207</v>
      </c>
      <c r="AG43" s="227" t="s">
        <v>184</v>
      </c>
      <c r="AH43" s="240" t="s">
        <v>196</v>
      </c>
      <c r="AI43" s="152"/>
    </row>
    <row r="44" spans="1:35" ht="8.1" customHeight="1" x14ac:dyDescent="0.25">
      <c r="A44" s="171"/>
      <c r="B44" s="172"/>
      <c r="C44" s="136"/>
      <c r="D44" s="205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227"/>
      <c r="AH44" s="238"/>
      <c r="AI44" s="152"/>
    </row>
    <row r="45" spans="1:35" ht="15" customHeight="1" x14ac:dyDescent="0.25">
      <c r="A45" s="198" t="s">
        <v>168</v>
      </c>
      <c r="B45" s="199"/>
      <c r="C45" s="135"/>
      <c r="D45" s="218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227"/>
      <c r="AH45" s="238"/>
      <c r="AI45" s="152"/>
    </row>
    <row r="46" spans="1:35" ht="15" customHeight="1" x14ac:dyDescent="0.25">
      <c r="A46" s="200" t="s">
        <v>161</v>
      </c>
      <c r="B46" s="201">
        <v>0.38</v>
      </c>
      <c r="C46" s="135">
        <v>0</v>
      </c>
      <c r="D46" s="218">
        <v>0</v>
      </c>
      <c r="E46" s="135">
        <f t="shared" ref="E46:AF46" si="71">E43*$B$46</f>
        <v>73145.837506111304</v>
      </c>
      <c r="F46" s="135">
        <f t="shared" si="71"/>
        <v>97672.451371121613</v>
      </c>
      <c r="G46" s="135">
        <f t="shared" si="71"/>
        <v>122690.55930627797</v>
      </c>
      <c r="H46" s="135">
        <f t="shared" si="71"/>
        <v>148210.10456334308</v>
      </c>
      <c r="I46" s="135">
        <f t="shared" si="71"/>
        <v>238363.33966209018</v>
      </c>
      <c r="J46" s="135">
        <f t="shared" si="71"/>
        <v>289217.63753366808</v>
      </c>
      <c r="K46" s="135">
        <f t="shared" si="71"/>
        <v>341085.37500091858</v>
      </c>
      <c r="L46" s="135">
        <f t="shared" si="71"/>
        <v>390144.33036982192</v>
      </c>
      <c r="M46" s="135">
        <f t="shared" si="71"/>
        <v>425157.75659386825</v>
      </c>
      <c r="N46" s="135">
        <f t="shared" si="71"/>
        <v>432913.99247073982</v>
      </c>
      <c r="O46" s="135">
        <f t="shared" si="71"/>
        <v>440833.75932117749</v>
      </c>
      <c r="P46" s="135">
        <f t="shared" si="71"/>
        <v>448908.18129671528</v>
      </c>
      <c r="Q46" s="135">
        <f t="shared" si="71"/>
        <v>457140.757540647</v>
      </c>
      <c r="R46" s="135">
        <f t="shared" si="71"/>
        <v>465540.51768455014</v>
      </c>
      <c r="S46" s="135">
        <f t="shared" si="71"/>
        <v>474116.77962040139</v>
      </c>
      <c r="T46" s="135">
        <f t="shared" si="71"/>
        <v>482854.82771291729</v>
      </c>
      <c r="U46" s="135">
        <f t="shared" si="71"/>
        <v>491764.48591727938</v>
      </c>
      <c r="V46" s="135">
        <f t="shared" si="71"/>
        <v>500855.0989269272</v>
      </c>
      <c r="W46" s="135">
        <f t="shared" si="71"/>
        <v>510135.78838922962</v>
      </c>
      <c r="X46" s="135">
        <f t="shared" si="71"/>
        <v>519592.21472609817</v>
      </c>
      <c r="Y46" s="135">
        <f t="shared" si="71"/>
        <v>529246.37235146994</v>
      </c>
      <c r="Z46" s="135">
        <f t="shared" si="71"/>
        <v>539083.96803392854</v>
      </c>
      <c r="AA46" s="135">
        <f t="shared" si="71"/>
        <v>549127.1566586562</v>
      </c>
      <c r="AB46" s="135">
        <f t="shared" si="71"/>
        <v>559367.76189890446</v>
      </c>
      <c r="AC46" s="135">
        <f t="shared" si="71"/>
        <v>569810.16249921231</v>
      </c>
      <c r="AD46" s="135">
        <f t="shared" si="71"/>
        <v>580464.38739408669</v>
      </c>
      <c r="AE46" s="135">
        <f t="shared" si="71"/>
        <v>591328.9029429846</v>
      </c>
      <c r="AF46" s="135">
        <f t="shared" si="71"/>
        <v>602419.86523415393</v>
      </c>
      <c r="AG46" s="234"/>
      <c r="AH46" s="244" t="s">
        <v>172</v>
      </c>
      <c r="AI46" s="124"/>
    </row>
    <row r="47" spans="1:35" ht="15" customHeight="1" x14ac:dyDescent="0.25">
      <c r="A47" s="200" t="s">
        <v>162</v>
      </c>
      <c r="B47" s="202">
        <v>0.08</v>
      </c>
      <c r="C47" s="135">
        <v>0</v>
      </c>
      <c r="D47" s="218">
        <v>0</v>
      </c>
      <c r="E47" s="135">
        <f t="shared" ref="E47:AF47" si="72">E43*$B$47</f>
        <v>15399.123685497116</v>
      </c>
      <c r="F47" s="135">
        <f t="shared" si="72"/>
        <v>20562.621341288759</v>
      </c>
      <c r="G47" s="135">
        <f t="shared" si="72"/>
        <v>25829.591432900626</v>
      </c>
      <c r="H47" s="135">
        <f t="shared" si="72"/>
        <v>31202.12727649328</v>
      </c>
      <c r="I47" s="135">
        <f t="shared" si="72"/>
        <v>50181.755718334774</v>
      </c>
      <c r="J47" s="135">
        <f t="shared" si="72"/>
        <v>60887.923691298543</v>
      </c>
      <c r="K47" s="135">
        <f t="shared" si="72"/>
        <v>71807.447368614448</v>
      </c>
      <c r="L47" s="135">
        <f t="shared" si="72"/>
        <v>82135.648498909883</v>
      </c>
      <c r="M47" s="135">
        <f t="shared" si="72"/>
        <v>89506.896125024898</v>
      </c>
      <c r="N47" s="135">
        <f t="shared" si="72"/>
        <v>91139.7878885768</v>
      </c>
      <c r="O47" s="135">
        <f t="shared" si="72"/>
        <v>92807.107225511063</v>
      </c>
      <c r="P47" s="135">
        <f t="shared" si="72"/>
        <v>94506.985536150576</v>
      </c>
      <c r="Q47" s="135">
        <f t="shared" si="72"/>
        <v>96240.159482241477</v>
      </c>
      <c r="R47" s="135">
        <f t="shared" si="72"/>
        <v>98008.530038852652</v>
      </c>
      <c r="S47" s="135">
        <f t="shared" si="72"/>
        <v>99814.058867452928</v>
      </c>
      <c r="T47" s="135">
        <f t="shared" si="72"/>
        <v>101653.64793956153</v>
      </c>
      <c r="U47" s="135">
        <f t="shared" si="72"/>
        <v>103529.36545626936</v>
      </c>
      <c r="V47" s="135">
        <f t="shared" si="72"/>
        <v>105443.17872145836</v>
      </c>
      <c r="W47" s="135">
        <f t="shared" si="72"/>
        <v>107397.00808194307</v>
      </c>
      <c r="X47" s="135">
        <f t="shared" si="72"/>
        <v>109387.83467917856</v>
      </c>
      <c r="Y47" s="135">
        <f t="shared" si="72"/>
        <v>111420.28891609894</v>
      </c>
      <c r="Z47" s="135">
        <f t="shared" si="72"/>
        <v>113491.36169135338</v>
      </c>
      <c r="AA47" s="135">
        <f t="shared" si="72"/>
        <v>115605.71719129605</v>
      </c>
      <c r="AB47" s="135">
        <f t="shared" si="72"/>
        <v>117761.63408397988</v>
      </c>
      <c r="AC47" s="135">
        <f t="shared" si="72"/>
        <v>119960.03421036049</v>
      </c>
      <c r="AD47" s="135">
        <f t="shared" si="72"/>
        <v>122203.02892507089</v>
      </c>
      <c r="AE47" s="135">
        <f t="shared" si="72"/>
        <v>124490.2953564178</v>
      </c>
      <c r="AF47" s="135">
        <f t="shared" si="72"/>
        <v>126825.23478613766</v>
      </c>
      <c r="AG47" s="233"/>
      <c r="AH47" s="243" t="s">
        <v>173</v>
      </c>
      <c r="AI47" s="152"/>
    </row>
    <row r="48" spans="1:35" ht="15" customHeight="1" x14ac:dyDescent="0.25">
      <c r="A48" s="200" t="s">
        <v>163</v>
      </c>
      <c r="B48" s="203">
        <v>0.54</v>
      </c>
      <c r="C48" s="135">
        <v>0</v>
      </c>
      <c r="D48" s="218">
        <v>0</v>
      </c>
      <c r="E48" s="135">
        <f t="shared" ref="E48:AF48" si="73">$B$48*E43</f>
        <v>103944.08487710553</v>
      </c>
      <c r="F48" s="135">
        <f t="shared" si="73"/>
        <v>138797.69405369915</v>
      </c>
      <c r="G48" s="135">
        <f t="shared" si="73"/>
        <v>174349.74217207922</v>
      </c>
      <c r="H48" s="135">
        <f t="shared" si="73"/>
        <v>210614.35911632964</v>
      </c>
      <c r="I48" s="135">
        <f t="shared" si="73"/>
        <v>338726.85109875974</v>
      </c>
      <c r="J48" s="135">
        <f t="shared" si="73"/>
        <v>410993.48491626518</v>
      </c>
      <c r="K48" s="135">
        <f t="shared" si="73"/>
        <v>484700.2697381475</v>
      </c>
      <c r="L48" s="135">
        <f t="shared" si="73"/>
        <v>554415.62736764166</v>
      </c>
      <c r="M48" s="135">
        <f t="shared" si="73"/>
        <v>604171.54884391802</v>
      </c>
      <c r="N48" s="135">
        <f t="shared" si="73"/>
        <v>615193.56824789348</v>
      </c>
      <c r="O48" s="135">
        <f t="shared" si="73"/>
        <v>626447.97377219971</v>
      </c>
      <c r="P48" s="135">
        <f t="shared" si="73"/>
        <v>637922.15236901643</v>
      </c>
      <c r="Q48" s="135">
        <f t="shared" si="73"/>
        <v>649621.07650513004</v>
      </c>
      <c r="R48" s="135">
        <f t="shared" si="73"/>
        <v>661557.57776225545</v>
      </c>
      <c r="S48" s="135">
        <f t="shared" si="73"/>
        <v>673744.89735530736</v>
      </c>
      <c r="T48" s="135">
        <f t="shared" si="73"/>
        <v>686162.12359204039</v>
      </c>
      <c r="U48" s="135">
        <f t="shared" si="73"/>
        <v>698823.21682981809</v>
      </c>
      <c r="V48" s="135">
        <f t="shared" si="73"/>
        <v>711741.45636984392</v>
      </c>
      <c r="W48" s="135">
        <f t="shared" si="73"/>
        <v>724929.80455311586</v>
      </c>
      <c r="X48" s="135">
        <f t="shared" si="73"/>
        <v>738367.88408445532</v>
      </c>
      <c r="Y48" s="135">
        <f t="shared" si="73"/>
        <v>752086.95018366794</v>
      </c>
      <c r="Z48" s="135">
        <f t="shared" si="73"/>
        <v>766066.69141663529</v>
      </c>
      <c r="AA48" s="135">
        <f t="shared" si="73"/>
        <v>780338.59104124841</v>
      </c>
      <c r="AB48" s="135">
        <f t="shared" si="73"/>
        <v>794891.03006686422</v>
      </c>
      <c r="AC48" s="135">
        <f t="shared" si="73"/>
        <v>809730.23091993341</v>
      </c>
      <c r="AD48" s="135">
        <f t="shared" si="73"/>
        <v>824870.44524422858</v>
      </c>
      <c r="AE48" s="135">
        <f t="shared" si="73"/>
        <v>840309.49365582026</v>
      </c>
      <c r="AF48" s="135">
        <f t="shared" si="73"/>
        <v>856070.33480642922</v>
      </c>
      <c r="AG48" s="227" t="s">
        <v>185</v>
      </c>
      <c r="AH48" s="240" t="s">
        <v>188</v>
      </c>
      <c r="AI48" s="152"/>
    </row>
    <row r="49" spans="1:35" ht="15" customHeight="1" x14ac:dyDescent="0.25">
      <c r="A49" s="220" t="s">
        <v>160</v>
      </c>
      <c r="B49" s="221">
        <f>SUM(B46:B48)</f>
        <v>1</v>
      </c>
      <c r="C49" s="222">
        <f>SUM(C46:C48)</f>
        <v>0</v>
      </c>
      <c r="D49" s="223">
        <f t="shared" ref="D49:AF49" si="74">SUM(D46:D48)</f>
        <v>0</v>
      </c>
      <c r="E49" s="222">
        <f t="shared" si="74"/>
        <v>192489.04606871394</v>
      </c>
      <c r="F49" s="222">
        <f t="shared" si="74"/>
        <v>257032.7667661095</v>
      </c>
      <c r="G49" s="222">
        <f t="shared" si="74"/>
        <v>322869.8929112578</v>
      </c>
      <c r="H49" s="222">
        <f t="shared" si="74"/>
        <v>390026.59095616598</v>
      </c>
      <c r="I49" s="222">
        <f t="shared" si="74"/>
        <v>627271.94647918467</v>
      </c>
      <c r="J49" s="222">
        <f t="shared" si="74"/>
        <v>761099.04614123178</v>
      </c>
      <c r="K49" s="222">
        <f t="shared" si="74"/>
        <v>897593.09210768051</v>
      </c>
      <c r="L49" s="222">
        <f t="shared" si="74"/>
        <v>1026695.6062363735</v>
      </c>
      <c r="M49" s="222">
        <f t="shared" si="74"/>
        <v>1118836.2015628112</v>
      </c>
      <c r="N49" s="222">
        <f t="shared" si="74"/>
        <v>1139247.34860721</v>
      </c>
      <c r="O49" s="222">
        <f t="shared" si="74"/>
        <v>1160088.8403188884</v>
      </c>
      <c r="P49" s="222">
        <f t="shared" si="74"/>
        <v>1181337.3192018825</v>
      </c>
      <c r="Q49" s="222">
        <f t="shared" si="74"/>
        <v>1203001.9935280185</v>
      </c>
      <c r="R49" s="222">
        <f t="shared" si="74"/>
        <v>1225106.6254856582</v>
      </c>
      <c r="S49" s="222">
        <f t="shared" si="74"/>
        <v>1247675.7358431616</v>
      </c>
      <c r="T49" s="222">
        <f t="shared" si="74"/>
        <v>1270670.5992445191</v>
      </c>
      <c r="U49" s="222">
        <f t="shared" si="74"/>
        <v>1294117.0682033668</v>
      </c>
      <c r="V49" s="222">
        <f t="shared" si="74"/>
        <v>1318039.7340182294</v>
      </c>
      <c r="W49" s="222">
        <f t="shared" si="74"/>
        <v>1342462.6010242887</v>
      </c>
      <c r="X49" s="222">
        <f t="shared" si="74"/>
        <v>1367347.933489732</v>
      </c>
      <c r="Y49" s="222">
        <f t="shared" si="74"/>
        <v>1392753.6114512368</v>
      </c>
      <c r="Z49" s="222">
        <f t="shared" si="74"/>
        <v>1418642.0211419172</v>
      </c>
      <c r="AA49" s="222">
        <f t="shared" si="74"/>
        <v>1445071.4648912007</v>
      </c>
      <c r="AB49" s="222">
        <f t="shared" si="74"/>
        <v>1472020.4260497484</v>
      </c>
      <c r="AC49" s="222">
        <f t="shared" si="74"/>
        <v>1499500.4276295062</v>
      </c>
      <c r="AD49" s="222">
        <f t="shared" si="74"/>
        <v>1527537.8615633862</v>
      </c>
      <c r="AE49" s="222">
        <f t="shared" si="74"/>
        <v>1556128.6919552227</v>
      </c>
      <c r="AF49" s="222">
        <f t="shared" si="74"/>
        <v>1585315.434826721</v>
      </c>
      <c r="AG49" s="227"/>
      <c r="AH49" s="238"/>
      <c r="AI49" s="152"/>
    </row>
    <row r="50" spans="1:35" ht="8.1" customHeight="1" x14ac:dyDescent="0.25">
      <c r="A50" s="140"/>
      <c r="B50" s="101"/>
      <c r="C50" s="136"/>
      <c r="D50" s="205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227"/>
      <c r="AH50" s="238"/>
      <c r="AI50" s="152"/>
    </row>
    <row r="51" spans="1:35" ht="15" customHeight="1" x14ac:dyDescent="0.25">
      <c r="A51" s="150" t="str">
        <f>CONCATENATE("Increase in ",A4," General Fund Revenues")</f>
        <v>Increase in Del Rey Oaks General Fund Revenues</v>
      </c>
      <c r="B51" s="251" t="s">
        <v>198</v>
      </c>
      <c r="C51" s="136"/>
      <c r="D51" s="205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227"/>
      <c r="AH51" s="238"/>
      <c r="AI51" s="152"/>
    </row>
    <row r="52" spans="1:35" ht="30" customHeight="1" x14ac:dyDescent="0.25">
      <c r="A52" s="178" t="s">
        <v>199</v>
      </c>
      <c r="B52" s="252">
        <f>Scenarios!D7</f>
        <v>0.2</v>
      </c>
      <c r="C52" s="177">
        <v>0</v>
      </c>
      <c r="D52" s="224">
        <v>0</v>
      </c>
      <c r="E52" s="177">
        <f t="shared" ref="E52:AF52" si="75">E48*$B$52</f>
        <v>20788.816975421109</v>
      </c>
      <c r="F52" s="177">
        <f t="shared" si="75"/>
        <v>27759.538810739832</v>
      </c>
      <c r="G52" s="177">
        <f t="shared" si="75"/>
        <v>34869.948434415848</v>
      </c>
      <c r="H52" s="177">
        <f t="shared" si="75"/>
        <v>42122.87182326593</v>
      </c>
      <c r="I52" s="177">
        <f t="shared" si="75"/>
        <v>67745.370219751945</v>
      </c>
      <c r="J52" s="177">
        <f t="shared" si="75"/>
        <v>82198.696983253045</v>
      </c>
      <c r="K52" s="177">
        <f t="shared" si="75"/>
        <v>96940.053947629509</v>
      </c>
      <c r="L52" s="177">
        <f t="shared" si="75"/>
        <v>110883.12547352834</v>
      </c>
      <c r="M52" s="177">
        <f t="shared" si="75"/>
        <v>120834.30976878361</v>
      </c>
      <c r="N52" s="177">
        <f t="shared" si="75"/>
        <v>123038.7136495787</v>
      </c>
      <c r="O52" s="177">
        <f t="shared" si="75"/>
        <v>125289.59475443995</v>
      </c>
      <c r="P52" s="177">
        <f t="shared" si="75"/>
        <v>127584.4304738033</v>
      </c>
      <c r="Q52" s="177">
        <f t="shared" si="75"/>
        <v>129924.21530102601</v>
      </c>
      <c r="R52" s="177">
        <f t="shared" si="75"/>
        <v>132311.51555245111</v>
      </c>
      <c r="S52" s="177">
        <f t="shared" si="75"/>
        <v>134748.97947106147</v>
      </c>
      <c r="T52" s="177">
        <f t="shared" si="75"/>
        <v>137232.42471840809</v>
      </c>
      <c r="U52" s="177">
        <f t="shared" si="75"/>
        <v>139764.64336596362</v>
      </c>
      <c r="V52" s="177">
        <f t="shared" si="75"/>
        <v>142348.29127396879</v>
      </c>
      <c r="W52" s="177">
        <f t="shared" si="75"/>
        <v>144985.96091062317</v>
      </c>
      <c r="X52" s="177">
        <f t="shared" si="75"/>
        <v>147673.57681689106</v>
      </c>
      <c r="Y52" s="177">
        <f t="shared" si="75"/>
        <v>150417.39003673359</v>
      </c>
      <c r="Z52" s="177">
        <f t="shared" si="75"/>
        <v>153213.33828332706</v>
      </c>
      <c r="AA52" s="177">
        <f t="shared" si="75"/>
        <v>156067.71820824969</v>
      </c>
      <c r="AB52" s="177">
        <f t="shared" si="75"/>
        <v>158978.20601337287</v>
      </c>
      <c r="AC52" s="177">
        <f t="shared" si="75"/>
        <v>161946.04618398671</v>
      </c>
      <c r="AD52" s="177">
        <f t="shared" si="75"/>
        <v>164974.08904884572</v>
      </c>
      <c r="AE52" s="177">
        <f t="shared" si="75"/>
        <v>168061.89873116405</v>
      </c>
      <c r="AF52" s="177">
        <f t="shared" si="75"/>
        <v>171214.06696128586</v>
      </c>
      <c r="AG52" s="235" t="s">
        <v>186</v>
      </c>
      <c r="AH52" s="245" t="s">
        <v>187</v>
      </c>
      <c r="AI52" s="152"/>
    </row>
    <row r="53" spans="1:35" ht="15" hidden="1" customHeight="1" x14ac:dyDescent="0.25">
      <c r="A53" s="151" t="str">
        <f>CONCATENATE("Add Back In: 10% of Incremental FORA Share sent to ",A4)</f>
        <v>Add Back In: 10% of Incremental FORA Share sent to Del Rey Oaks</v>
      </c>
      <c r="B53" s="142"/>
      <c r="C53" s="145">
        <f t="shared" ref="C53:M53" si="76">-C40</f>
        <v>1082.0478723404256</v>
      </c>
      <c r="D53" s="211">
        <f t="shared" si="76"/>
        <v>10369.119319668085</v>
      </c>
      <c r="E53" s="145">
        <f t="shared" si="76"/>
        <v>22079.589386061449</v>
      </c>
      <c r="F53" s="145">
        <f t="shared" si="76"/>
        <v>29251.308213782668</v>
      </c>
      <c r="G53" s="145">
        <f t="shared" si="76"/>
        <v>36566.461418058323</v>
      </c>
      <c r="H53" s="145">
        <f t="shared" si="76"/>
        <v>44027.917686419496</v>
      </c>
      <c r="I53" s="145">
        <f t="shared" si="76"/>
        <v>70389.519880147884</v>
      </c>
      <c r="J53" s="145">
        <f t="shared" si="76"/>
        <v>85257.564357750845</v>
      </c>
      <c r="K53" s="145">
        <f t="shared" si="76"/>
        <v>100422.96972490587</v>
      </c>
      <c r="L53" s="145">
        <f t="shared" si="76"/>
        <v>114769.99535940397</v>
      </c>
      <c r="M53" s="145">
        <f t="shared" si="76"/>
        <v>125006.29694796589</v>
      </c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227" t="s">
        <v>148</v>
      </c>
      <c r="AH53" s="238"/>
      <c r="AI53" s="26"/>
    </row>
    <row r="54" spans="1:35" x14ac:dyDescent="0.25">
      <c r="A54" s="153" t="str">
        <f>CONCATENATE("Increase in Net Property Taxes Received by ",A4," General Fund")</f>
        <v>Increase in Net Property Taxes Received by Del Rey Oaks General Fund</v>
      </c>
      <c r="B54" s="153"/>
      <c r="C54" s="154">
        <f>C52</f>
        <v>0</v>
      </c>
      <c r="D54" s="219">
        <f t="shared" ref="D54:L54" si="77">D52</f>
        <v>0</v>
      </c>
      <c r="E54" s="154">
        <f t="shared" si="77"/>
        <v>20788.816975421109</v>
      </c>
      <c r="F54" s="154">
        <f t="shared" si="77"/>
        <v>27759.538810739832</v>
      </c>
      <c r="G54" s="154">
        <f t="shared" si="77"/>
        <v>34869.948434415848</v>
      </c>
      <c r="H54" s="154">
        <f t="shared" si="77"/>
        <v>42122.87182326593</v>
      </c>
      <c r="I54" s="154">
        <f t="shared" si="77"/>
        <v>67745.370219751945</v>
      </c>
      <c r="J54" s="154">
        <f t="shared" si="77"/>
        <v>82198.696983253045</v>
      </c>
      <c r="K54" s="154">
        <f t="shared" si="77"/>
        <v>96940.053947629509</v>
      </c>
      <c r="L54" s="154">
        <f t="shared" si="77"/>
        <v>110883.12547352834</v>
      </c>
      <c r="M54" s="154">
        <f>M52</f>
        <v>120834.30976878361</v>
      </c>
      <c r="N54" s="154">
        <f t="shared" ref="N54:AF54" si="78">N52</f>
        <v>123038.7136495787</v>
      </c>
      <c r="O54" s="154">
        <f t="shared" si="78"/>
        <v>125289.59475443995</v>
      </c>
      <c r="P54" s="154">
        <f t="shared" si="78"/>
        <v>127584.4304738033</v>
      </c>
      <c r="Q54" s="154">
        <f t="shared" si="78"/>
        <v>129924.21530102601</v>
      </c>
      <c r="R54" s="154">
        <f t="shared" si="78"/>
        <v>132311.51555245111</v>
      </c>
      <c r="S54" s="154">
        <f t="shared" si="78"/>
        <v>134748.97947106147</v>
      </c>
      <c r="T54" s="154">
        <f t="shared" si="78"/>
        <v>137232.42471840809</v>
      </c>
      <c r="U54" s="154">
        <f t="shared" si="78"/>
        <v>139764.64336596362</v>
      </c>
      <c r="V54" s="154">
        <f t="shared" si="78"/>
        <v>142348.29127396879</v>
      </c>
      <c r="W54" s="154">
        <f t="shared" si="78"/>
        <v>144985.96091062317</v>
      </c>
      <c r="X54" s="154">
        <f t="shared" si="78"/>
        <v>147673.57681689106</v>
      </c>
      <c r="Y54" s="154">
        <f t="shared" si="78"/>
        <v>150417.39003673359</v>
      </c>
      <c r="Z54" s="154">
        <f t="shared" si="78"/>
        <v>153213.33828332706</v>
      </c>
      <c r="AA54" s="154">
        <f t="shared" si="78"/>
        <v>156067.71820824969</v>
      </c>
      <c r="AB54" s="154">
        <f t="shared" si="78"/>
        <v>158978.20601337287</v>
      </c>
      <c r="AC54" s="154">
        <f t="shared" si="78"/>
        <v>161946.04618398671</v>
      </c>
      <c r="AD54" s="154">
        <f t="shared" si="78"/>
        <v>164974.08904884572</v>
      </c>
      <c r="AE54" s="154">
        <f t="shared" si="78"/>
        <v>168061.89873116405</v>
      </c>
      <c r="AF54" s="154">
        <f t="shared" si="78"/>
        <v>171214.06696128586</v>
      </c>
      <c r="AG54" s="230"/>
      <c r="AH54" s="240" t="s">
        <v>216</v>
      </c>
    </row>
    <row r="55" spans="1:35" x14ac:dyDescent="0.25">
      <c r="A55" s="1" t="s">
        <v>103</v>
      </c>
      <c r="C55" s="109">
        <f>NPV(Assumptions!D4,'1 - DRO'!D54:AF54)+'1 - DRO'!C54</f>
        <v>1605593.8459271106</v>
      </c>
      <c r="E55" s="80"/>
      <c r="AG55" s="227"/>
      <c r="AH55" s="238"/>
    </row>
    <row r="56" spans="1:35" x14ac:dyDescent="0.25">
      <c r="D56" s="80"/>
      <c r="AG56" s="227"/>
      <c r="AH56" s="238"/>
    </row>
    <row r="57" spans="1:35" x14ac:dyDescent="0.25">
      <c r="A57" s="19" t="s">
        <v>204</v>
      </c>
      <c r="D57" s="80"/>
      <c r="AG57" s="227"/>
      <c r="AH57" s="238"/>
    </row>
    <row r="58" spans="1:35" x14ac:dyDescent="0.25">
      <c r="A58" s="19" t="s">
        <v>201</v>
      </c>
      <c r="E58" s="80"/>
      <c r="AG58" s="227"/>
      <c r="AH58" s="238"/>
    </row>
    <row r="59" spans="1:35" x14ac:dyDescent="0.25">
      <c r="A59" s="19"/>
      <c r="AG59" s="227"/>
      <c r="AH59" s="238"/>
    </row>
    <row r="60" spans="1:35" ht="15.75" x14ac:dyDescent="0.25">
      <c r="A60" s="65"/>
      <c r="AG60" s="227"/>
      <c r="AH60" s="238"/>
    </row>
    <row r="61" spans="1:35" x14ac:dyDescent="0.25">
      <c r="AG61" s="227"/>
      <c r="AH61" s="238"/>
    </row>
    <row r="62" spans="1:35" x14ac:dyDescent="0.25">
      <c r="AG62" s="236"/>
      <c r="AH62" s="246"/>
    </row>
  </sheetData>
  <mergeCells count="5">
    <mergeCell ref="AM24:AM25"/>
    <mergeCell ref="C6:D6"/>
    <mergeCell ref="E6:M6"/>
    <mergeCell ref="AH10:AH12"/>
    <mergeCell ref="B38:B39"/>
  </mergeCells>
  <pageMargins left="0.25" right="0.25" top="0.75" bottom="0.75" header="0.3" footer="0.3"/>
  <pageSetup scale="55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J81"/>
  <sheetViews>
    <sheetView showGridLines="0" zoomScale="80" zoomScaleNormal="80" workbookViewId="0">
      <selection activeCell="E8" sqref="E8:I8"/>
    </sheetView>
  </sheetViews>
  <sheetFormatPr defaultColWidth="8.85546875" defaultRowHeight="15" x14ac:dyDescent="0.25"/>
  <cols>
    <col min="1" max="1" width="68.7109375" customWidth="1"/>
    <col min="2" max="2" width="15.28515625" customWidth="1"/>
    <col min="3" max="32" width="13.28515625" customWidth="1"/>
    <col min="33" max="33" width="8.28515625" style="226" bestFit="1" customWidth="1"/>
    <col min="34" max="34" width="17.7109375" style="237" customWidth="1"/>
    <col min="35" max="35" width="13.85546875" customWidth="1"/>
    <col min="36" max="36" width="11.28515625" bestFit="1" customWidth="1"/>
  </cols>
  <sheetData>
    <row r="1" spans="1:36" ht="18.75" x14ac:dyDescent="0.3">
      <c r="A1" s="53" t="s">
        <v>56</v>
      </c>
    </row>
    <row r="2" spans="1:36" ht="18.75" x14ac:dyDescent="0.3">
      <c r="A2" s="54" t="s">
        <v>101</v>
      </c>
    </row>
    <row r="3" spans="1:36" ht="18.75" x14ac:dyDescent="0.3">
      <c r="A3" s="54"/>
    </row>
    <row r="4" spans="1:36" ht="18.75" x14ac:dyDescent="0.3">
      <c r="A4" s="149" t="s">
        <v>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6" x14ac:dyDescent="0.25">
      <c r="A5" s="52"/>
      <c r="AI5" s="264"/>
    </row>
    <row r="6" spans="1:36" x14ac:dyDescent="0.25">
      <c r="A6" s="52"/>
      <c r="B6" s="257"/>
      <c r="C6" s="442" t="s">
        <v>59</v>
      </c>
      <c r="D6" s="442"/>
      <c r="E6" s="443" t="s">
        <v>60</v>
      </c>
      <c r="F6" s="443"/>
      <c r="G6" s="443"/>
      <c r="H6" s="443"/>
      <c r="I6" s="443"/>
      <c r="J6" s="443"/>
      <c r="K6" s="443"/>
      <c r="L6" s="443"/>
      <c r="M6" s="443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I6" s="265"/>
    </row>
    <row r="7" spans="1:36" x14ac:dyDescent="0.25">
      <c r="A7" s="258" t="s">
        <v>92</v>
      </c>
      <c r="B7" s="259" t="s">
        <v>9</v>
      </c>
      <c r="C7" s="339">
        <v>201819</v>
      </c>
      <c r="D7" s="339">
        <f t="shared" ref="D7:M7" si="0">C7+101</f>
        <v>201920</v>
      </c>
      <c r="E7" s="337">
        <f t="shared" si="0"/>
        <v>202021</v>
      </c>
      <c r="F7" s="337">
        <f t="shared" si="0"/>
        <v>202122</v>
      </c>
      <c r="G7" s="337">
        <f t="shared" si="0"/>
        <v>202223</v>
      </c>
      <c r="H7" s="337">
        <f t="shared" si="0"/>
        <v>202324</v>
      </c>
      <c r="I7" s="337">
        <f t="shared" si="0"/>
        <v>202425</v>
      </c>
      <c r="J7" s="337">
        <f t="shared" si="0"/>
        <v>202526</v>
      </c>
      <c r="K7" s="337">
        <f>J7+101</f>
        <v>202627</v>
      </c>
      <c r="L7" s="337">
        <f t="shared" si="0"/>
        <v>202728</v>
      </c>
      <c r="M7" s="337">
        <f t="shared" si="0"/>
        <v>202829</v>
      </c>
      <c r="N7" s="337">
        <f t="shared" ref="N7" si="1">M7+101</f>
        <v>202930</v>
      </c>
      <c r="O7" s="337">
        <f t="shared" ref="O7" si="2">N7+101</f>
        <v>203031</v>
      </c>
      <c r="P7" s="337">
        <f t="shared" ref="P7" si="3">O7+101</f>
        <v>203132</v>
      </c>
      <c r="Q7" s="337">
        <f t="shared" ref="Q7" si="4">P7+101</f>
        <v>203233</v>
      </c>
      <c r="R7" s="337">
        <f t="shared" ref="R7" si="5">Q7+101</f>
        <v>203334</v>
      </c>
      <c r="S7" s="337">
        <f t="shared" ref="S7" si="6">R7+101</f>
        <v>203435</v>
      </c>
      <c r="T7" s="337">
        <f t="shared" ref="T7" si="7">S7+101</f>
        <v>203536</v>
      </c>
      <c r="U7" s="337">
        <f t="shared" ref="U7" si="8">T7+101</f>
        <v>203637</v>
      </c>
      <c r="V7" s="337">
        <f t="shared" ref="V7" si="9">U7+101</f>
        <v>203738</v>
      </c>
      <c r="W7" s="337">
        <f t="shared" ref="W7" si="10">V7+101</f>
        <v>203839</v>
      </c>
      <c r="X7" s="337">
        <f t="shared" ref="X7" si="11">W7+101</f>
        <v>203940</v>
      </c>
      <c r="Y7" s="337">
        <f t="shared" ref="Y7" si="12">X7+101</f>
        <v>204041</v>
      </c>
      <c r="Z7" s="337">
        <f t="shared" ref="Z7" si="13">Y7+101</f>
        <v>204142</v>
      </c>
      <c r="AA7" s="337">
        <f t="shared" ref="AA7" si="14">Z7+101</f>
        <v>204243</v>
      </c>
      <c r="AB7" s="337">
        <f t="shared" ref="AB7" si="15">AA7+101</f>
        <v>204344</v>
      </c>
      <c r="AC7" s="337">
        <f t="shared" ref="AC7" si="16">AB7+101</f>
        <v>204445</v>
      </c>
      <c r="AD7" s="337">
        <f t="shared" ref="AD7" si="17">AC7+101</f>
        <v>204546</v>
      </c>
      <c r="AE7" s="337">
        <f t="shared" ref="AE7" si="18">AD7+101</f>
        <v>204647</v>
      </c>
      <c r="AF7" s="337">
        <f t="shared" ref="AF7" si="19">AE7+101</f>
        <v>204748</v>
      </c>
      <c r="AG7" s="227"/>
      <c r="AH7" s="238"/>
      <c r="AI7" s="265"/>
    </row>
    <row r="8" spans="1:36" x14ac:dyDescent="0.25">
      <c r="A8" s="139" t="s">
        <v>43</v>
      </c>
      <c r="B8" s="260">
        <v>533000</v>
      </c>
      <c r="C8" s="247">
        <v>192</v>
      </c>
      <c r="D8" s="248">
        <v>235</v>
      </c>
      <c r="E8" s="137">
        <v>120</v>
      </c>
      <c r="F8" s="137">
        <v>120</v>
      </c>
      <c r="G8" s="137">
        <v>120</v>
      </c>
      <c r="H8" s="137">
        <v>120</v>
      </c>
      <c r="I8" s="137">
        <v>82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60">
        <v>0</v>
      </c>
      <c r="AD8" s="60">
        <v>0</v>
      </c>
      <c r="AE8" s="60">
        <v>0</v>
      </c>
      <c r="AF8" s="60">
        <v>0</v>
      </c>
      <c r="AG8" s="227"/>
      <c r="AH8" s="238"/>
      <c r="AI8" s="265"/>
    </row>
    <row r="9" spans="1:36" x14ac:dyDescent="0.25">
      <c r="A9" s="139" t="s">
        <v>44</v>
      </c>
      <c r="B9" s="261">
        <v>220</v>
      </c>
      <c r="C9" s="247">
        <v>0</v>
      </c>
      <c r="D9" s="248">
        <v>23000</v>
      </c>
      <c r="E9" s="137">
        <v>24000</v>
      </c>
      <c r="F9" s="137">
        <v>24000</v>
      </c>
      <c r="G9" s="137">
        <v>0</v>
      </c>
      <c r="H9" s="137">
        <v>0</v>
      </c>
      <c r="I9" s="137">
        <v>0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60">
        <v>0</v>
      </c>
      <c r="AD9" s="60">
        <v>0</v>
      </c>
      <c r="AE9" s="60">
        <v>0</v>
      </c>
      <c r="AF9" s="60">
        <v>0</v>
      </c>
      <c r="AG9" s="227"/>
      <c r="AH9" s="238"/>
      <c r="AI9" s="265"/>
    </row>
    <row r="10" spans="1:36" x14ac:dyDescent="0.25">
      <c r="A10" s="139" t="s">
        <v>45</v>
      </c>
      <c r="B10" s="261">
        <v>90</v>
      </c>
      <c r="C10" s="247">
        <v>0</v>
      </c>
      <c r="D10" s="248">
        <v>0</v>
      </c>
      <c r="E10" s="137">
        <v>0</v>
      </c>
      <c r="F10" s="137">
        <v>0</v>
      </c>
      <c r="G10" s="137">
        <v>0</v>
      </c>
      <c r="H10" s="137">
        <v>0</v>
      </c>
      <c r="I10" s="137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C10" s="60">
        <v>0</v>
      </c>
      <c r="AD10" s="60">
        <v>0</v>
      </c>
      <c r="AE10" s="60">
        <v>0</v>
      </c>
      <c r="AF10" s="60">
        <v>0</v>
      </c>
      <c r="AG10" s="228"/>
      <c r="AH10" s="444" t="s">
        <v>197</v>
      </c>
      <c r="AI10" s="265"/>
    </row>
    <row r="11" spans="1:36" ht="15" customHeight="1" x14ac:dyDescent="0.25">
      <c r="A11" s="139" t="s">
        <v>46</v>
      </c>
      <c r="B11" s="261">
        <v>265</v>
      </c>
      <c r="C11" s="247">
        <v>0</v>
      </c>
      <c r="D11" s="248">
        <v>20000</v>
      </c>
      <c r="E11" s="137">
        <v>12000</v>
      </c>
      <c r="F11" s="137">
        <v>10000</v>
      </c>
      <c r="G11" s="137">
        <v>0</v>
      </c>
      <c r="H11" s="137">
        <v>0</v>
      </c>
      <c r="I11" s="137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60">
        <v>0</v>
      </c>
      <c r="AD11" s="60">
        <v>0</v>
      </c>
      <c r="AE11" s="60">
        <v>0</v>
      </c>
      <c r="AF11" s="60">
        <v>0</v>
      </c>
      <c r="AG11" s="228"/>
      <c r="AH11" s="444"/>
      <c r="AI11" s="143"/>
      <c r="AJ11" s="80"/>
    </row>
    <row r="12" spans="1:36" x14ac:dyDescent="0.25">
      <c r="A12" s="139" t="s">
        <v>47</v>
      </c>
      <c r="B12" s="262">
        <v>162000</v>
      </c>
      <c r="C12" s="249">
        <v>0</v>
      </c>
      <c r="D12" s="250">
        <v>0</v>
      </c>
      <c r="E12" s="138">
        <v>0</v>
      </c>
      <c r="F12" s="138">
        <v>0</v>
      </c>
      <c r="G12" s="138">
        <v>0</v>
      </c>
      <c r="H12" s="138">
        <v>0</v>
      </c>
      <c r="I12" s="138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228" t="s">
        <v>189</v>
      </c>
      <c r="AH12" s="444"/>
      <c r="AI12" s="152"/>
    </row>
    <row r="13" spans="1:36" x14ac:dyDescent="0.25">
      <c r="A13" s="37" t="s">
        <v>49</v>
      </c>
      <c r="B13" s="24"/>
      <c r="C13" s="318">
        <v>55181490</v>
      </c>
      <c r="D13" s="205">
        <v>64724916</v>
      </c>
      <c r="E13" s="147">
        <f>SUMPRODUCT($B$8:$B$12,E8:E12)</f>
        <v>72420000</v>
      </c>
      <c r="F13" s="147">
        <f t="shared" ref="F13:L13" si="20">SUMPRODUCT($B$8:$B$12,F8:F12)</f>
        <v>71890000</v>
      </c>
      <c r="G13" s="147">
        <f t="shared" si="20"/>
        <v>63960000</v>
      </c>
      <c r="H13" s="147">
        <f t="shared" si="20"/>
        <v>63960000</v>
      </c>
      <c r="I13" s="147">
        <f t="shared" si="20"/>
        <v>43706000</v>
      </c>
      <c r="J13" s="147">
        <f t="shared" si="20"/>
        <v>0</v>
      </c>
      <c r="K13" s="147">
        <f t="shared" si="20"/>
        <v>0</v>
      </c>
      <c r="L13" s="147">
        <f t="shared" si="20"/>
        <v>0</v>
      </c>
      <c r="M13" s="147">
        <f>SUMPRODUCT($B$8:$B$12,M8:M12)</f>
        <v>0</v>
      </c>
      <c r="N13" s="147">
        <f t="shared" ref="N13:AF13" si="21">SUMPRODUCT($B$8:$B$12,N8:N12)</f>
        <v>0</v>
      </c>
      <c r="O13" s="147">
        <f t="shared" si="21"/>
        <v>0</v>
      </c>
      <c r="P13" s="147">
        <f t="shared" si="21"/>
        <v>0</v>
      </c>
      <c r="Q13" s="147">
        <f t="shared" si="21"/>
        <v>0</v>
      </c>
      <c r="R13" s="147">
        <f t="shared" si="21"/>
        <v>0</v>
      </c>
      <c r="S13" s="147">
        <f t="shared" si="21"/>
        <v>0</v>
      </c>
      <c r="T13" s="147">
        <f t="shared" si="21"/>
        <v>0</v>
      </c>
      <c r="U13" s="147">
        <f t="shared" si="21"/>
        <v>0</v>
      </c>
      <c r="V13" s="147">
        <f t="shared" si="21"/>
        <v>0</v>
      </c>
      <c r="W13" s="147">
        <f t="shared" si="21"/>
        <v>0</v>
      </c>
      <c r="X13" s="147">
        <f t="shared" si="21"/>
        <v>0</v>
      </c>
      <c r="Y13" s="147">
        <f t="shared" si="21"/>
        <v>0</v>
      </c>
      <c r="Z13" s="147">
        <f t="shared" si="21"/>
        <v>0</v>
      </c>
      <c r="AA13" s="147">
        <f t="shared" si="21"/>
        <v>0</v>
      </c>
      <c r="AB13" s="147">
        <f t="shared" si="21"/>
        <v>0</v>
      </c>
      <c r="AC13" s="147">
        <f t="shared" si="21"/>
        <v>0</v>
      </c>
      <c r="AD13" s="147">
        <f t="shared" si="21"/>
        <v>0</v>
      </c>
      <c r="AE13" s="147">
        <f t="shared" si="21"/>
        <v>0</v>
      </c>
      <c r="AF13" s="147">
        <f t="shared" si="21"/>
        <v>0</v>
      </c>
      <c r="AG13" s="229" t="s">
        <v>143</v>
      </c>
      <c r="AH13" s="239"/>
      <c r="AI13" s="143"/>
      <c r="AJ13" s="24"/>
    </row>
    <row r="14" spans="1:36" x14ac:dyDescent="0.25">
      <c r="A14" t="s">
        <v>97</v>
      </c>
      <c r="C14" s="319">
        <f>C16-C13-C15</f>
        <v>297505879.83759463</v>
      </c>
      <c r="D14" s="205">
        <f>C16</f>
        <v>358142355</v>
      </c>
      <c r="E14" s="144">
        <f>D16</f>
        <v>430030118.10000002</v>
      </c>
      <c r="F14" s="144">
        <f>E16</f>
        <v>511050720.46200001</v>
      </c>
      <c r="G14" s="144">
        <f t="shared" ref="G14:L14" si="22">F16</f>
        <v>593161734.87124002</v>
      </c>
      <c r="H14" s="144">
        <f t="shared" si="22"/>
        <v>668984969.56866479</v>
      </c>
      <c r="I14" s="144">
        <f t="shared" si="22"/>
        <v>746324668.96003807</v>
      </c>
      <c r="J14" s="144">
        <f t="shared" si="22"/>
        <v>804957162.33923888</v>
      </c>
      <c r="K14" s="144">
        <f t="shared" si="22"/>
        <v>821056305.58602369</v>
      </c>
      <c r="L14" s="144">
        <f t="shared" si="22"/>
        <v>837477431.69774413</v>
      </c>
      <c r="M14" s="144">
        <f>L16</f>
        <v>854226980.33169901</v>
      </c>
      <c r="N14" s="144">
        <f t="shared" ref="N14:AF14" si="23">M16</f>
        <v>871311519.93833303</v>
      </c>
      <c r="O14" s="144">
        <f t="shared" si="23"/>
        <v>888737750.33709967</v>
      </c>
      <c r="P14" s="144">
        <f t="shared" si="23"/>
        <v>906512505.34384167</v>
      </c>
      <c r="Q14" s="144">
        <f t="shared" si="23"/>
        <v>924642755.45071852</v>
      </c>
      <c r="R14" s="144">
        <f t="shared" si="23"/>
        <v>943135610.55973291</v>
      </c>
      <c r="S14" s="144">
        <f t="shared" si="23"/>
        <v>961998322.77092755</v>
      </c>
      <c r="T14" s="144">
        <f t="shared" si="23"/>
        <v>981238289.22634614</v>
      </c>
      <c r="U14" s="144">
        <f t="shared" si="23"/>
        <v>1000863055.0108731</v>
      </c>
      <c r="V14" s="144">
        <f t="shared" si="23"/>
        <v>1020880316.1110905</v>
      </c>
      <c r="W14" s="144">
        <f t="shared" si="23"/>
        <v>1041297922.4333123</v>
      </c>
      <c r="X14" s="144">
        <f t="shared" si="23"/>
        <v>1062123880.8819785</v>
      </c>
      <c r="Y14" s="144">
        <f t="shared" si="23"/>
        <v>1083366358.4996181</v>
      </c>
      <c r="Z14" s="144">
        <f t="shared" si="23"/>
        <v>1105033685.6696105</v>
      </c>
      <c r="AA14" s="144">
        <f t="shared" si="23"/>
        <v>1127134359.3830028</v>
      </c>
      <c r="AB14" s="144">
        <f t="shared" si="23"/>
        <v>1149677046.5706627</v>
      </c>
      <c r="AC14" s="144">
        <f t="shared" si="23"/>
        <v>1172670587.5020759</v>
      </c>
      <c r="AD14" s="144">
        <f t="shared" si="23"/>
        <v>1196123999.2521174</v>
      </c>
      <c r="AE14" s="144">
        <f t="shared" si="23"/>
        <v>1220046479.2371597</v>
      </c>
      <c r="AF14" s="144">
        <f t="shared" si="23"/>
        <v>1244447408.821903</v>
      </c>
      <c r="AG14" s="227" t="s">
        <v>145</v>
      </c>
      <c r="AH14" s="238"/>
      <c r="AI14" s="152"/>
    </row>
    <row r="15" spans="1:36" x14ac:dyDescent="0.25">
      <c r="A15" t="s">
        <v>94</v>
      </c>
      <c r="B15" s="8"/>
      <c r="C15" s="320">
        <v>5454985.1624053884</v>
      </c>
      <c r="D15" s="206">
        <f>D14*0.02</f>
        <v>7162847.1000000006</v>
      </c>
      <c r="E15" s="132">
        <f t="shared" ref="E15:L15" si="24">E14*0.02</f>
        <v>8600602.3619999997</v>
      </c>
      <c r="F15" s="132">
        <f t="shared" si="24"/>
        <v>10221014.40924</v>
      </c>
      <c r="G15" s="132">
        <f t="shared" si="24"/>
        <v>11863234.697424801</v>
      </c>
      <c r="H15" s="132">
        <f t="shared" si="24"/>
        <v>13379699.391373295</v>
      </c>
      <c r="I15" s="132">
        <f t="shared" si="24"/>
        <v>14926493.379200762</v>
      </c>
      <c r="J15" s="132">
        <f t="shared" si="24"/>
        <v>16099143.246784778</v>
      </c>
      <c r="K15" s="132">
        <f t="shared" si="24"/>
        <v>16421126.111720474</v>
      </c>
      <c r="L15" s="132">
        <f t="shared" si="24"/>
        <v>16749548.633954883</v>
      </c>
      <c r="M15" s="132">
        <f>M14*0.02</f>
        <v>17084539.60663398</v>
      </c>
      <c r="N15" s="132">
        <f t="shared" ref="N15:AF15" si="25">N14*0.02</f>
        <v>17426230.398766659</v>
      </c>
      <c r="O15" s="132">
        <f t="shared" si="25"/>
        <v>17774755.006741993</v>
      </c>
      <c r="P15" s="132">
        <f t="shared" si="25"/>
        <v>18130250.106876835</v>
      </c>
      <c r="Q15" s="132">
        <f t="shared" si="25"/>
        <v>18492855.10901437</v>
      </c>
      <c r="R15" s="132">
        <f t="shared" si="25"/>
        <v>18862712.211194661</v>
      </c>
      <c r="S15" s="132">
        <f t="shared" si="25"/>
        <v>19239966.455418553</v>
      </c>
      <c r="T15" s="132">
        <f t="shared" si="25"/>
        <v>19624765.784526922</v>
      </c>
      <c r="U15" s="132">
        <f t="shared" si="25"/>
        <v>20017261.100217462</v>
      </c>
      <c r="V15" s="132">
        <f t="shared" si="25"/>
        <v>20417606.322221812</v>
      </c>
      <c r="W15" s="132">
        <f t="shared" si="25"/>
        <v>20825958.448666245</v>
      </c>
      <c r="X15" s="132">
        <f t="shared" si="25"/>
        <v>21242477.617639571</v>
      </c>
      <c r="Y15" s="132">
        <f t="shared" si="25"/>
        <v>21667327.169992361</v>
      </c>
      <c r="Z15" s="132">
        <f t="shared" si="25"/>
        <v>22100673.713392209</v>
      </c>
      <c r="AA15" s="132">
        <f t="shared" si="25"/>
        <v>22542687.187660057</v>
      </c>
      <c r="AB15" s="132">
        <f t="shared" si="25"/>
        <v>22993540.931413256</v>
      </c>
      <c r="AC15" s="132">
        <f t="shared" si="25"/>
        <v>23453411.750041518</v>
      </c>
      <c r="AD15" s="132">
        <f t="shared" si="25"/>
        <v>23922479.985042349</v>
      </c>
      <c r="AE15" s="132">
        <f t="shared" si="25"/>
        <v>24400929.584743194</v>
      </c>
      <c r="AF15" s="132">
        <f t="shared" si="25"/>
        <v>24888948.17643806</v>
      </c>
      <c r="AG15" s="227" t="s">
        <v>146</v>
      </c>
      <c r="AH15" s="238"/>
      <c r="AI15" s="152"/>
    </row>
    <row r="16" spans="1:36" x14ac:dyDescent="0.25">
      <c r="A16" t="s">
        <v>203</v>
      </c>
      <c r="C16" s="82">
        <f>C20/B20</f>
        <v>358142355</v>
      </c>
      <c r="D16" s="207">
        <f>D13+D14+D15</f>
        <v>430030118.10000002</v>
      </c>
      <c r="E16" s="82">
        <f t="shared" ref="E16:AF16" si="26">E13+E14+E15</f>
        <v>511050720.46200001</v>
      </c>
      <c r="F16" s="82">
        <f t="shared" si="26"/>
        <v>593161734.87124002</v>
      </c>
      <c r="G16" s="82">
        <f t="shared" si="26"/>
        <v>668984969.56866479</v>
      </c>
      <c r="H16" s="82">
        <f t="shared" si="26"/>
        <v>746324668.96003807</v>
      </c>
      <c r="I16" s="82">
        <f t="shared" si="26"/>
        <v>804957162.33923888</v>
      </c>
      <c r="J16" s="82">
        <f t="shared" si="26"/>
        <v>821056305.58602369</v>
      </c>
      <c r="K16" s="82">
        <f t="shared" si="26"/>
        <v>837477431.69774413</v>
      </c>
      <c r="L16" s="82">
        <f t="shared" si="26"/>
        <v>854226980.33169901</v>
      </c>
      <c r="M16" s="82">
        <f t="shared" si="26"/>
        <v>871311519.93833303</v>
      </c>
      <c r="N16" s="82">
        <f t="shared" si="26"/>
        <v>888737750.33709967</v>
      </c>
      <c r="O16" s="82">
        <f t="shared" si="26"/>
        <v>906512505.34384167</v>
      </c>
      <c r="P16" s="82">
        <f t="shared" si="26"/>
        <v>924642755.45071852</v>
      </c>
      <c r="Q16" s="82">
        <f t="shared" si="26"/>
        <v>943135610.55973291</v>
      </c>
      <c r="R16" s="82">
        <f t="shared" si="26"/>
        <v>961998322.77092755</v>
      </c>
      <c r="S16" s="82">
        <f t="shared" si="26"/>
        <v>981238289.22634614</v>
      </c>
      <c r="T16" s="82">
        <f t="shared" si="26"/>
        <v>1000863055.0108731</v>
      </c>
      <c r="U16" s="82">
        <f t="shared" si="26"/>
        <v>1020880316.1110905</v>
      </c>
      <c r="V16" s="82">
        <f t="shared" si="26"/>
        <v>1041297922.4333123</v>
      </c>
      <c r="W16" s="82">
        <f t="shared" si="26"/>
        <v>1062123880.8819785</v>
      </c>
      <c r="X16" s="82">
        <f t="shared" si="26"/>
        <v>1083366358.4996181</v>
      </c>
      <c r="Y16" s="82">
        <f t="shared" si="26"/>
        <v>1105033685.6696105</v>
      </c>
      <c r="Z16" s="82">
        <f t="shared" si="26"/>
        <v>1127134359.3830028</v>
      </c>
      <c r="AA16" s="82">
        <f t="shared" si="26"/>
        <v>1149677046.5706627</v>
      </c>
      <c r="AB16" s="82">
        <f t="shared" si="26"/>
        <v>1172670587.5020759</v>
      </c>
      <c r="AC16" s="82">
        <f t="shared" si="26"/>
        <v>1196123999.2521174</v>
      </c>
      <c r="AD16" s="82">
        <f t="shared" si="26"/>
        <v>1220046479.2371597</v>
      </c>
      <c r="AE16" s="82">
        <f t="shared" si="26"/>
        <v>1244447408.821903</v>
      </c>
      <c r="AF16" s="82">
        <f t="shared" si="26"/>
        <v>1269336356.9983411</v>
      </c>
      <c r="AG16" s="230" t="s">
        <v>176</v>
      </c>
      <c r="AH16" s="240" t="s">
        <v>190</v>
      </c>
      <c r="AI16" s="152"/>
    </row>
    <row r="17" spans="1:35" x14ac:dyDescent="0.25">
      <c r="A17" t="s">
        <v>12</v>
      </c>
      <c r="C17" s="146">
        <f t="shared" ref="C17:AF17" si="27">-$B$6</f>
        <v>0</v>
      </c>
      <c r="D17" s="208">
        <f t="shared" si="27"/>
        <v>0</v>
      </c>
      <c r="E17" s="56">
        <f t="shared" si="27"/>
        <v>0</v>
      </c>
      <c r="F17" s="56">
        <f t="shared" si="27"/>
        <v>0</v>
      </c>
      <c r="G17" s="56">
        <f t="shared" si="27"/>
        <v>0</v>
      </c>
      <c r="H17" s="56">
        <f t="shared" si="27"/>
        <v>0</v>
      </c>
      <c r="I17" s="56">
        <f t="shared" si="27"/>
        <v>0</v>
      </c>
      <c r="J17" s="56">
        <f t="shared" si="27"/>
        <v>0</v>
      </c>
      <c r="K17" s="56">
        <f t="shared" si="27"/>
        <v>0</v>
      </c>
      <c r="L17" s="56">
        <f t="shared" si="27"/>
        <v>0</v>
      </c>
      <c r="M17" s="56">
        <f t="shared" si="27"/>
        <v>0</v>
      </c>
      <c r="N17" s="56">
        <f t="shared" si="27"/>
        <v>0</v>
      </c>
      <c r="O17" s="56">
        <f t="shared" si="27"/>
        <v>0</v>
      </c>
      <c r="P17" s="56">
        <f t="shared" si="27"/>
        <v>0</v>
      </c>
      <c r="Q17" s="56">
        <f t="shared" si="27"/>
        <v>0</v>
      </c>
      <c r="R17" s="56">
        <f t="shared" si="27"/>
        <v>0</v>
      </c>
      <c r="S17" s="56">
        <f t="shared" si="27"/>
        <v>0</v>
      </c>
      <c r="T17" s="56">
        <f t="shared" si="27"/>
        <v>0</v>
      </c>
      <c r="U17" s="56">
        <f t="shared" si="27"/>
        <v>0</v>
      </c>
      <c r="V17" s="56">
        <f t="shared" si="27"/>
        <v>0</v>
      </c>
      <c r="W17" s="56">
        <f t="shared" si="27"/>
        <v>0</v>
      </c>
      <c r="X17" s="56">
        <f t="shared" si="27"/>
        <v>0</v>
      </c>
      <c r="Y17" s="56">
        <f t="shared" si="27"/>
        <v>0</v>
      </c>
      <c r="Z17" s="56">
        <f t="shared" si="27"/>
        <v>0</v>
      </c>
      <c r="AA17" s="56">
        <f t="shared" si="27"/>
        <v>0</v>
      </c>
      <c r="AB17" s="56">
        <f t="shared" si="27"/>
        <v>0</v>
      </c>
      <c r="AC17" s="56">
        <f t="shared" si="27"/>
        <v>0</v>
      </c>
      <c r="AD17" s="56">
        <f t="shared" si="27"/>
        <v>0</v>
      </c>
      <c r="AE17" s="56">
        <f t="shared" si="27"/>
        <v>0</v>
      </c>
      <c r="AF17" s="56">
        <f t="shared" si="27"/>
        <v>0</v>
      </c>
      <c r="AG17" s="227" t="s">
        <v>144</v>
      </c>
      <c r="AH17" s="238" t="s">
        <v>144</v>
      </c>
      <c r="AI17" s="152"/>
    </row>
    <row r="18" spans="1:35" x14ac:dyDescent="0.25">
      <c r="A18" s="1" t="s">
        <v>51</v>
      </c>
      <c r="C18" s="96">
        <f>C20/B20</f>
        <v>358142355</v>
      </c>
      <c r="D18" s="209">
        <f t="shared" ref="D18:AF18" si="28">SUM(D16:D17)</f>
        <v>430030118.10000002</v>
      </c>
      <c r="E18" s="70">
        <f t="shared" si="28"/>
        <v>511050720.46200001</v>
      </c>
      <c r="F18" s="70">
        <f t="shared" si="28"/>
        <v>593161734.87124002</v>
      </c>
      <c r="G18" s="70">
        <f t="shared" si="28"/>
        <v>668984969.56866479</v>
      </c>
      <c r="H18" s="70">
        <f t="shared" si="28"/>
        <v>746324668.96003807</v>
      </c>
      <c r="I18" s="70">
        <f t="shared" si="28"/>
        <v>804957162.33923888</v>
      </c>
      <c r="J18" s="70">
        <f t="shared" si="28"/>
        <v>821056305.58602369</v>
      </c>
      <c r="K18" s="70">
        <f t="shared" si="28"/>
        <v>837477431.69774413</v>
      </c>
      <c r="L18" s="70">
        <f t="shared" si="28"/>
        <v>854226980.33169901</v>
      </c>
      <c r="M18" s="70">
        <f t="shared" si="28"/>
        <v>871311519.93833303</v>
      </c>
      <c r="N18" s="70">
        <f t="shared" si="28"/>
        <v>888737750.33709967</v>
      </c>
      <c r="O18" s="70">
        <f t="shared" si="28"/>
        <v>906512505.34384167</v>
      </c>
      <c r="P18" s="70">
        <f t="shared" si="28"/>
        <v>924642755.45071852</v>
      </c>
      <c r="Q18" s="70">
        <f t="shared" si="28"/>
        <v>943135610.55973291</v>
      </c>
      <c r="R18" s="70">
        <f t="shared" si="28"/>
        <v>961998322.77092755</v>
      </c>
      <c r="S18" s="70">
        <f t="shared" si="28"/>
        <v>981238289.22634614</v>
      </c>
      <c r="T18" s="70">
        <f t="shared" si="28"/>
        <v>1000863055.0108731</v>
      </c>
      <c r="U18" s="70">
        <f t="shared" si="28"/>
        <v>1020880316.1110905</v>
      </c>
      <c r="V18" s="70">
        <f t="shared" si="28"/>
        <v>1041297922.4333123</v>
      </c>
      <c r="W18" s="70">
        <f t="shared" si="28"/>
        <v>1062123880.8819785</v>
      </c>
      <c r="X18" s="70">
        <f t="shared" si="28"/>
        <v>1083366358.4996181</v>
      </c>
      <c r="Y18" s="70">
        <f t="shared" si="28"/>
        <v>1105033685.6696105</v>
      </c>
      <c r="Z18" s="70">
        <f t="shared" si="28"/>
        <v>1127134359.3830028</v>
      </c>
      <c r="AA18" s="70">
        <f t="shared" si="28"/>
        <v>1149677046.5706627</v>
      </c>
      <c r="AB18" s="70">
        <f t="shared" si="28"/>
        <v>1172670587.5020759</v>
      </c>
      <c r="AC18" s="70">
        <f t="shared" si="28"/>
        <v>1196123999.2521174</v>
      </c>
      <c r="AD18" s="70">
        <f t="shared" si="28"/>
        <v>1220046479.2371597</v>
      </c>
      <c r="AE18" s="70">
        <f t="shared" si="28"/>
        <v>1244447408.821903</v>
      </c>
      <c r="AF18" s="70">
        <f t="shared" si="28"/>
        <v>1269336356.9983411</v>
      </c>
      <c r="AG18" s="227" t="s">
        <v>177</v>
      </c>
      <c r="AH18" s="238" t="s">
        <v>191</v>
      </c>
      <c r="AI18" s="152"/>
    </row>
    <row r="19" spans="1:35" ht="8.1" customHeight="1" x14ac:dyDescent="0.25">
      <c r="C19" s="82"/>
      <c r="D19" s="207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227"/>
      <c r="AH19" s="238"/>
      <c r="AI19" s="152"/>
    </row>
    <row r="20" spans="1:35" x14ac:dyDescent="0.25">
      <c r="A20" t="s">
        <v>42</v>
      </c>
      <c r="B20" s="253">
        <v>0.01</v>
      </c>
      <c r="C20" s="82">
        <v>3581423.55</v>
      </c>
      <c r="D20" s="207">
        <f>D18*B20</f>
        <v>4300301.1809999999</v>
      </c>
      <c r="E20" s="68">
        <f t="shared" ref="E20:L20" si="29">1%*E18</f>
        <v>5110507.20462</v>
      </c>
      <c r="F20" s="68">
        <f t="shared" si="29"/>
        <v>5931617.3487124005</v>
      </c>
      <c r="G20" s="68">
        <f t="shared" si="29"/>
        <v>6689849.6956866477</v>
      </c>
      <c r="H20" s="68">
        <f t="shared" si="29"/>
        <v>7463246.6896003811</v>
      </c>
      <c r="I20" s="68">
        <f t="shared" si="29"/>
        <v>8049571.6233923892</v>
      </c>
      <c r="J20" s="68">
        <f t="shared" si="29"/>
        <v>8210563.0558602372</v>
      </c>
      <c r="K20" s="68">
        <f t="shared" si="29"/>
        <v>8374774.3169774413</v>
      </c>
      <c r="L20" s="68">
        <f t="shared" si="29"/>
        <v>8542269.8033169899</v>
      </c>
      <c r="M20" s="68">
        <f>1%*M18</f>
        <v>8713115.1993833296</v>
      </c>
      <c r="N20" s="68">
        <f t="shared" ref="N20:AF20" si="30">1%*N18</f>
        <v>8887377.5033709966</v>
      </c>
      <c r="O20" s="68">
        <f t="shared" si="30"/>
        <v>9065125.0534384176</v>
      </c>
      <c r="P20" s="68">
        <f t="shared" si="30"/>
        <v>9246427.5545071848</v>
      </c>
      <c r="Q20" s="68">
        <f t="shared" si="30"/>
        <v>9431356.1055973303</v>
      </c>
      <c r="R20" s="68">
        <f t="shared" si="30"/>
        <v>9619983.2277092766</v>
      </c>
      <c r="S20" s="68">
        <f t="shared" si="30"/>
        <v>9812382.8922634609</v>
      </c>
      <c r="T20" s="68">
        <f t="shared" si="30"/>
        <v>10008630.550108731</v>
      </c>
      <c r="U20" s="68">
        <f t="shared" si="30"/>
        <v>10208803.161110906</v>
      </c>
      <c r="V20" s="68">
        <f t="shared" si="30"/>
        <v>10412979.224333122</v>
      </c>
      <c r="W20" s="68">
        <f t="shared" si="30"/>
        <v>10621238.808819786</v>
      </c>
      <c r="X20" s="68">
        <f t="shared" si="30"/>
        <v>10833663.584996181</v>
      </c>
      <c r="Y20" s="68">
        <f t="shared" si="30"/>
        <v>11050336.856696105</v>
      </c>
      <c r="Z20" s="68">
        <f t="shared" si="30"/>
        <v>11271343.593830029</v>
      </c>
      <c r="AA20" s="68">
        <f t="shared" si="30"/>
        <v>11496770.465706628</v>
      </c>
      <c r="AB20" s="68">
        <f t="shared" si="30"/>
        <v>11726705.875020759</v>
      </c>
      <c r="AC20" s="68">
        <f t="shared" si="30"/>
        <v>11961239.992521174</v>
      </c>
      <c r="AD20" s="68">
        <f t="shared" si="30"/>
        <v>12200464.792371597</v>
      </c>
      <c r="AE20" s="68">
        <f t="shared" si="30"/>
        <v>12444474.08821903</v>
      </c>
      <c r="AF20" s="68">
        <f t="shared" si="30"/>
        <v>12693363.569983412</v>
      </c>
      <c r="AG20" s="227" t="s">
        <v>178</v>
      </c>
      <c r="AH20" s="240" t="s">
        <v>192</v>
      </c>
      <c r="AI20" s="152"/>
    </row>
    <row r="21" spans="1:35" x14ac:dyDescent="0.25">
      <c r="A21" t="s">
        <v>41</v>
      </c>
      <c r="B21" s="176">
        <v>0.2</v>
      </c>
      <c r="C21" s="173">
        <f t="shared" ref="C21:L21" si="31">-$B21*C20</f>
        <v>-716284.71</v>
      </c>
      <c r="D21" s="207">
        <f t="shared" si="31"/>
        <v>-860060.23620000004</v>
      </c>
      <c r="E21" s="69">
        <f t="shared" si="31"/>
        <v>-1022101.440924</v>
      </c>
      <c r="F21" s="69">
        <f t="shared" si="31"/>
        <v>-1186323.4697424802</v>
      </c>
      <c r="G21" s="69">
        <f t="shared" si="31"/>
        <v>-1337969.9391373296</v>
      </c>
      <c r="H21" s="69">
        <f t="shared" si="31"/>
        <v>-1492649.3379200762</v>
      </c>
      <c r="I21" s="69">
        <f t="shared" si="31"/>
        <v>-1609914.3246784778</v>
      </c>
      <c r="J21" s="69">
        <f t="shared" si="31"/>
        <v>-1642112.6111720474</v>
      </c>
      <c r="K21" s="69">
        <f t="shared" si="31"/>
        <v>-1674954.8633954884</v>
      </c>
      <c r="L21" s="69">
        <f t="shared" si="31"/>
        <v>-1708453.960663398</v>
      </c>
      <c r="M21" s="69">
        <f>-$B21*M20</f>
        <v>-1742623.0398766659</v>
      </c>
      <c r="N21" s="69">
        <f t="shared" ref="N21:AF21" si="32">-$B21*N20</f>
        <v>-1777475.5006741993</v>
      </c>
      <c r="O21" s="69">
        <f t="shared" si="32"/>
        <v>-1813025.0106876837</v>
      </c>
      <c r="P21" s="69">
        <f t="shared" si="32"/>
        <v>-1849285.5109014371</v>
      </c>
      <c r="Q21" s="69">
        <f t="shared" si="32"/>
        <v>-1886271.2211194662</v>
      </c>
      <c r="R21" s="69">
        <f t="shared" si="32"/>
        <v>-1923996.6455418554</v>
      </c>
      <c r="S21" s="69">
        <f t="shared" si="32"/>
        <v>-1962476.5784526924</v>
      </c>
      <c r="T21" s="69">
        <f t="shared" si="32"/>
        <v>-2001726.1100217463</v>
      </c>
      <c r="U21" s="69">
        <f t="shared" si="32"/>
        <v>-2041760.6322221812</v>
      </c>
      <c r="V21" s="69">
        <f t="shared" si="32"/>
        <v>-2082595.8448666246</v>
      </c>
      <c r="W21" s="69">
        <f t="shared" si="32"/>
        <v>-2124247.7617639573</v>
      </c>
      <c r="X21" s="69">
        <f t="shared" si="32"/>
        <v>-2166732.716999236</v>
      </c>
      <c r="Y21" s="69">
        <f t="shared" si="32"/>
        <v>-2210067.371339221</v>
      </c>
      <c r="Z21" s="69">
        <f t="shared" si="32"/>
        <v>-2254268.7187660057</v>
      </c>
      <c r="AA21" s="69">
        <f t="shared" si="32"/>
        <v>-2299354.0931413257</v>
      </c>
      <c r="AB21" s="69">
        <f t="shared" si="32"/>
        <v>-2345341.1750041521</v>
      </c>
      <c r="AC21" s="69">
        <f t="shared" si="32"/>
        <v>-2392247.9985042349</v>
      </c>
      <c r="AD21" s="69">
        <f t="shared" si="32"/>
        <v>-2440092.9584743194</v>
      </c>
      <c r="AE21" s="69">
        <f t="shared" si="32"/>
        <v>-2488894.8176438059</v>
      </c>
      <c r="AF21" s="69">
        <f t="shared" si="32"/>
        <v>-2538672.7139966823</v>
      </c>
      <c r="AG21" s="231" t="s">
        <v>179</v>
      </c>
      <c r="AH21" s="241" t="s">
        <v>193</v>
      </c>
      <c r="AI21" s="152"/>
    </row>
    <row r="22" spans="1:35" x14ac:dyDescent="0.25">
      <c r="A22" s="1" t="s">
        <v>69</v>
      </c>
      <c r="B22" s="254"/>
      <c r="C22" s="204">
        <f>C20+C21</f>
        <v>2865138.84</v>
      </c>
      <c r="D22" s="210">
        <f t="shared" ref="D22:AF22" si="33">SUM(D20:D21)</f>
        <v>3440240.9447999997</v>
      </c>
      <c r="E22" s="71">
        <f t="shared" si="33"/>
        <v>4088405.763696</v>
      </c>
      <c r="F22" s="71">
        <f t="shared" si="33"/>
        <v>4745293.8789699208</v>
      </c>
      <c r="G22" s="71">
        <f t="shared" si="33"/>
        <v>5351879.7565493183</v>
      </c>
      <c r="H22" s="71">
        <f t="shared" si="33"/>
        <v>5970597.3516803049</v>
      </c>
      <c r="I22" s="71">
        <f t="shared" si="33"/>
        <v>6439657.2987139113</v>
      </c>
      <c r="J22" s="71">
        <f t="shared" si="33"/>
        <v>6568450.4446881898</v>
      </c>
      <c r="K22" s="71">
        <f t="shared" si="33"/>
        <v>6699819.4535819534</v>
      </c>
      <c r="L22" s="71">
        <f t="shared" si="33"/>
        <v>6833815.8426535921</v>
      </c>
      <c r="M22" s="71">
        <f t="shared" si="33"/>
        <v>6970492.1595066637</v>
      </c>
      <c r="N22" s="71">
        <f t="shared" si="33"/>
        <v>7109902.0026967973</v>
      </c>
      <c r="O22" s="71">
        <f t="shared" si="33"/>
        <v>7252100.0427507339</v>
      </c>
      <c r="P22" s="71">
        <f t="shared" si="33"/>
        <v>7397142.0436057476</v>
      </c>
      <c r="Q22" s="71">
        <f t="shared" si="33"/>
        <v>7545084.884477864</v>
      </c>
      <c r="R22" s="71">
        <f t="shared" si="33"/>
        <v>7695986.5821674215</v>
      </c>
      <c r="S22" s="71">
        <f t="shared" si="33"/>
        <v>7849906.3138107685</v>
      </c>
      <c r="T22" s="71">
        <f t="shared" si="33"/>
        <v>8006904.440086985</v>
      </c>
      <c r="U22" s="71">
        <f t="shared" si="33"/>
        <v>8167042.5288887247</v>
      </c>
      <c r="V22" s="71">
        <f t="shared" si="33"/>
        <v>8330383.3794664983</v>
      </c>
      <c r="W22" s="71">
        <f t="shared" si="33"/>
        <v>8496991.0470558293</v>
      </c>
      <c r="X22" s="71">
        <f t="shared" si="33"/>
        <v>8666930.8679969441</v>
      </c>
      <c r="Y22" s="71">
        <f t="shared" si="33"/>
        <v>8840269.4853568841</v>
      </c>
      <c r="Z22" s="71">
        <f t="shared" si="33"/>
        <v>9017074.8750640228</v>
      </c>
      <c r="AA22" s="71">
        <f t="shared" si="33"/>
        <v>9197416.372565303</v>
      </c>
      <c r="AB22" s="71">
        <f t="shared" si="33"/>
        <v>9381364.7000166066</v>
      </c>
      <c r="AC22" s="71">
        <f t="shared" si="33"/>
        <v>9568991.9940169398</v>
      </c>
      <c r="AD22" s="71">
        <f t="shared" si="33"/>
        <v>9760371.8338972777</v>
      </c>
      <c r="AE22" s="71">
        <f t="shared" si="33"/>
        <v>9955579.2705752235</v>
      </c>
      <c r="AF22" s="71">
        <f t="shared" si="33"/>
        <v>10154690.855986729</v>
      </c>
      <c r="AG22" s="227" t="s">
        <v>180</v>
      </c>
      <c r="AH22" s="238" t="s">
        <v>150</v>
      </c>
      <c r="AI22" s="152"/>
    </row>
    <row r="23" spans="1:35" ht="7.5" customHeight="1" x14ac:dyDescent="0.25">
      <c r="A23" s="1"/>
      <c r="B23" s="254"/>
      <c r="C23" s="82"/>
      <c r="D23" s="207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227"/>
      <c r="AH23" s="238"/>
      <c r="AI23" s="152"/>
    </row>
    <row r="24" spans="1:35" ht="15" customHeight="1" x14ac:dyDescent="0.25">
      <c r="A24" s="1" t="s">
        <v>222</v>
      </c>
      <c r="B24" s="254"/>
      <c r="C24" s="82"/>
      <c r="D24" s="207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227"/>
      <c r="AH24" s="238"/>
      <c r="AI24" s="152"/>
    </row>
    <row r="25" spans="1:35" x14ac:dyDescent="0.25">
      <c r="A25" s="19" t="s">
        <v>220</v>
      </c>
      <c r="B25" s="321">
        <v>0.25</v>
      </c>
      <c r="D25" s="207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227"/>
      <c r="AH25" s="240"/>
      <c r="AI25" s="152"/>
    </row>
    <row r="26" spans="1:35" x14ac:dyDescent="0.25">
      <c r="A26" t="s">
        <v>218</v>
      </c>
      <c r="B26" s="255">
        <v>0.54453700000000005</v>
      </c>
      <c r="C26" s="82">
        <f>-$B$25*$B$26*C$22</f>
        <v>-390043.52712927002</v>
      </c>
      <c r="D26" s="207">
        <f t="shared" ref="D26:AF26" si="34">-$B$25*$B$26*D$22</f>
        <v>-468334.62083963939</v>
      </c>
      <c r="E26" s="68">
        <f t="shared" si="34"/>
        <v>-556572.05233643227</v>
      </c>
      <c r="F26" s="68">
        <f t="shared" si="34"/>
        <v>-645997.02324316103</v>
      </c>
      <c r="G26" s="68">
        <f t="shared" si="34"/>
        <v>-728574.13674802415</v>
      </c>
      <c r="H26" s="68">
        <f t="shared" si="34"/>
        <v>-812802.79252298456</v>
      </c>
      <c r="I26" s="68">
        <f t="shared" si="34"/>
        <v>-876657.91661744437</v>
      </c>
      <c r="J26" s="68">
        <f t="shared" si="34"/>
        <v>-894191.07494979328</v>
      </c>
      <c r="K26" s="68">
        <f t="shared" si="34"/>
        <v>-912074.89644878916</v>
      </c>
      <c r="L26" s="68">
        <f t="shared" si="34"/>
        <v>-930316.3943777649</v>
      </c>
      <c r="M26" s="68">
        <f t="shared" si="34"/>
        <v>-948922.72226532013</v>
      </c>
      <c r="N26" s="68">
        <f t="shared" si="34"/>
        <v>-967901.17671062658</v>
      </c>
      <c r="O26" s="68">
        <f t="shared" si="34"/>
        <v>-987259.20024483919</v>
      </c>
      <c r="P26" s="68">
        <f t="shared" si="34"/>
        <v>-1007004.3842497359</v>
      </c>
      <c r="Q26" s="68">
        <f t="shared" si="34"/>
        <v>-1027144.4719347308</v>
      </c>
      <c r="R26" s="68">
        <f t="shared" si="34"/>
        <v>-1047687.3613734253</v>
      </c>
      <c r="S26" s="68">
        <f t="shared" si="34"/>
        <v>-1068641.1086008938</v>
      </c>
      <c r="T26" s="68">
        <f t="shared" si="34"/>
        <v>-1090013.9307729118</v>
      </c>
      <c r="U26" s="68">
        <f t="shared" si="34"/>
        <v>-1111814.2093883699</v>
      </c>
      <c r="V26" s="68">
        <f t="shared" si="34"/>
        <v>-1134050.4935761373</v>
      </c>
      <c r="W26" s="68">
        <f t="shared" si="34"/>
        <v>-1156731.5034476602</v>
      </c>
      <c r="X26" s="68">
        <f t="shared" si="34"/>
        <v>-1179866.1335166132</v>
      </c>
      <c r="Y26" s="68">
        <f t="shared" si="34"/>
        <v>-1203463.4561869456</v>
      </c>
      <c r="Z26" s="68">
        <f t="shared" si="34"/>
        <v>-1227532.7253106846</v>
      </c>
      <c r="AA26" s="68">
        <f t="shared" si="34"/>
        <v>-1252083.3798168981</v>
      </c>
      <c r="AB26" s="68">
        <f t="shared" si="34"/>
        <v>-1277125.0474132358</v>
      </c>
      <c r="AC26" s="68">
        <f t="shared" si="34"/>
        <v>-1302667.5483615007</v>
      </c>
      <c r="AD26" s="68">
        <f t="shared" si="34"/>
        <v>-1328720.8993287305</v>
      </c>
      <c r="AE26" s="68">
        <f t="shared" si="34"/>
        <v>-1355295.3173153054</v>
      </c>
      <c r="AF26" s="68">
        <f t="shared" si="34"/>
        <v>-1382401.2236616116</v>
      </c>
      <c r="AG26" s="227" t="s">
        <v>224</v>
      </c>
      <c r="AH26" s="240" t="s">
        <v>228</v>
      </c>
      <c r="AI26" s="152"/>
    </row>
    <row r="27" spans="1:35" x14ac:dyDescent="0.25">
      <c r="A27" t="s">
        <v>219</v>
      </c>
      <c r="B27" s="255">
        <v>5.8806999999999998E-2</v>
      </c>
      <c r="C27" s="82">
        <f>-C22*$B$27*$B$25</f>
        <v>-42122.554940969996</v>
      </c>
      <c r="D27" s="207">
        <f t="shared" ref="D27:AF27" si="35">-D22*$B$27*$B$25</f>
        <v>-50577.562310213398</v>
      </c>
      <c r="E27" s="68">
        <f t="shared" si="35"/>
        <v>-60106.719436417668</v>
      </c>
      <c r="F27" s="68">
        <f t="shared" si="35"/>
        <v>-69764.124285146027</v>
      </c>
      <c r="G27" s="68">
        <f t="shared" si="35"/>
        <v>-78681.998210848935</v>
      </c>
      <c r="H27" s="68">
        <f t="shared" si="35"/>
        <v>-87778.229615065924</v>
      </c>
      <c r="I27" s="68">
        <f t="shared" si="35"/>
        <v>-94674.23169136724</v>
      </c>
      <c r="J27" s="68">
        <f t="shared" si="35"/>
        <v>-96567.716325194589</v>
      </c>
      <c r="K27" s="68">
        <f t="shared" si="35"/>
        <v>-98499.070651698479</v>
      </c>
      <c r="L27" s="68">
        <f t="shared" si="35"/>
        <v>-100469.05206473244</v>
      </c>
      <c r="M27" s="68">
        <f t="shared" si="35"/>
        <v>-102478.43310602709</v>
      </c>
      <c r="N27" s="68">
        <f t="shared" si="35"/>
        <v>-104528.00176814763</v>
      </c>
      <c r="O27" s="68">
        <f t="shared" si="35"/>
        <v>-106618.5618035106</v>
      </c>
      <c r="P27" s="68">
        <f t="shared" si="35"/>
        <v>-108750.93303958079</v>
      </c>
      <c r="Q27" s="68">
        <f t="shared" si="35"/>
        <v>-110925.95170037243</v>
      </c>
      <c r="R27" s="68">
        <f t="shared" si="35"/>
        <v>-113144.47073437988</v>
      </c>
      <c r="S27" s="68">
        <f t="shared" si="35"/>
        <v>-115407.36014906746</v>
      </c>
      <c r="T27" s="68">
        <f t="shared" si="35"/>
        <v>-117715.50735204882</v>
      </c>
      <c r="U27" s="68">
        <f t="shared" si="35"/>
        <v>-120069.81749908981</v>
      </c>
      <c r="V27" s="68">
        <f t="shared" si="35"/>
        <v>-122471.21384907159</v>
      </c>
      <c r="W27" s="68">
        <f t="shared" si="35"/>
        <v>-124920.63812605303</v>
      </c>
      <c r="X27" s="68">
        <f t="shared" si="35"/>
        <v>-127419.05088857407</v>
      </c>
      <c r="Y27" s="68">
        <f t="shared" si="35"/>
        <v>-129967.43190634556</v>
      </c>
      <c r="Z27" s="68">
        <f t="shared" si="35"/>
        <v>-132566.78054447248</v>
      </c>
      <c r="AA27" s="68">
        <f t="shared" si="35"/>
        <v>-135218.11615536193</v>
      </c>
      <c r="AB27" s="68">
        <f t="shared" si="35"/>
        <v>-137922.47847846913</v>
      </c>
      <c r="AC27" s="68">
        <f t="shared" si="35"/>
        <v>-140680.92804803854</v>
      </c>
      <c r="AD27" s="68">
        <f t="shared" si="35"/>
        <v>-143494.54660899928</v>
      </c>
      <c r="AE27" s="68">
        <f t="shared" si="35"/>
        <v>-146364.4375411793</v>
      </c>
      <c r="AF27" s="68">
        <f t="shared" si="35"/>
        <v>-149291.72629200289</v>
      </c>
      <c r="AG27" s="227" t="s">
        <v>225</v>
      </c>
      <c r="AH27" s="240" t="s">
        <v>229</v>
      </c>
      <c r="AI27" s="152"/>
    </row>
    <row r="28" spans="1:35" ht="26.25" x14ac:dyDescent="0.25">
      <c r="A28" s="322" t="s">
        <v>232</v>
      </c>
      <c r="B28" s="321"/>
      <c r="C28" s="99" t="s">
        <v>231</v>
      </c>
      <c r="D28" s="205">
        <f>D22-$C$22</f>
        <v>575102.10479999986</v>
      </c>
      <c r="E28" s="144">
        <f t="shared" ref="E28:L28" si="36">E22-$C$22</f>
        <v>1223266.9236960001</v>
      </c>
      <c r="F28" s="144">
        <f t="shared" si="36"/>
        <v>1880155.0389699209</v>
      </c>
      <c r="G28" s="144">
        <f t="shared" si="36"/>
        <v>2486740.9165493185</v>
      </c>
      <c r="H28" s="144">
        <f t="shared" si="36"/>
        <v>3105458.511680305</v>
      </c>
      <c r="I28" s="144">
        <f t="shared" si="36"/>
        <v>3574518.4587139115</v>
      </c>
      <c r="J28" s="144">
        <f t="shared" si="36"/>
        <v>3703311.6046881899</v>
      </c>
      <c r="K28" s="144">
        <f t="shared" si="36"/>
        <v>3834680.6135819536</v>
      </c>
      <c r="L28" s="144">
        <f t="shared" si="36"/>
        <v>3968677.0026535923</v>
      </c>
      <c r="M28" s="144">
        <f>M22-$C$22</f>
        <v>4105353.3195066638</v>
      </c>
      <c r="N28" s="144">
        <f t="shared" ref="N28:AF28" si="37">N22-$C$22</f>
        <v>4244763.1626967974</v>
      </c>
      <c r="O28" s="144">
        <f t="shared" si="37"/>
        <v>4386961.2027507341</v>
      </c>
      <c r="P28" s="144">
        <f t="shared" si="37"/>
        <v>4532003.2036057478</v>
      </c>
      <c r="Q28" s="144">
        <f t="shared" si="37"/>
        <v>4679946.0444778642</v>
      </c>
      <c r="R28" s="144">
        <f t="shared" si="37"/>
        <v>4830847.7421674216</v>
      </c>
      <c r="S28" s="144">
        <f t="shared" si="37"/>
        <v>4984767.4738107687</v>
      </c>
      <c r="T28" s="144">
        <f t="shared" si="37"/>
        <v>5141765.6000869852</v>
      </c>
      <c r="U28" s="144">
        <f>U22-$C$22</f>
        <v>5301903.6888887249</v>
      </c>
      <c r="V28" s="144">
        <f t="shared" si="37"/>
        <v>5465244.5394664984</v>
      </c>
      <c r="W28" s="144">
        <f>W22-$C$22</f>
        <v>5631852.2070558295</v>
      </c>
      <c r="X28" s="144">
        <f t="shared" si="37"/>
        <v>5801792.0279969443</v>
      </c>
      <c r="Y28" s="144">
        <f t="shared" si="37"/>
        <v>5975130.6453568842</v>
      </c>
      <c r="Z28" s="144">
        <f t="shared" si="37"/>
        <v>6151936.035064023</v>
      </c>
      <c r="AA28" s="144">
        <f t="shared" si="37"/>
        <v>6332277.5325653031</v>
      </c>
      <c r="AB28" s="144">
        <f t="shared" si="37"/>
        <v>6516225.8600166067</v>
      </c>
      <c r="AC28" s="144">
        <f t="shared" si="37"/>
        <v>6703853.1540169399</v>
      </c>
      <c r="AD28" s="144">
        <f t="shared" si="37"/>
        <v>6895232.9938972779</v>
      </c>
      <c r="AE28" s="144">
        <f t="shared" si="37"/>
        <v>7090440.4305752236</v>
      </c>
      <c r="AF28" s="144">
        <f t="shared" si="37"/>
        <v>7289552.0159867294</v>
      </c>
      <c r="AG28" s="227" t="s">
        <v>181</v>
      </c>
      <c r="AH28" s="246" t="s">
        <v>233</v>
      </c>
      <c r="AI28" s="152"/>
    </row>
    <row r="29" spans="1:35" x14ac:dyDescent="0.25">
      <c r="A29" s="317" t="s">
        <v>283</v>
      </c>
      <c r="B29" s="321">
        <v>0.21</v>
      </c>
      <c r="C29" s="82"/>
      <c r="D29" s="207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227"/>
      <c r="AH29" s="240"/>
      <c r="AI29" s="152"/>
    </row>
    <row r="30" spans="1:35" x14ac:dyDescent="0.25">
      <c r="A30" s="316" t="s">
        <v>218</v>
      </c>
      <c r="B30" s="255">
        <v>0.54453700000000005</v>
      </c>
      <c r="C30" s="82">
        <v>0</v>
      </c>
      <c r="D30" s="207">
        <f t="shared" ref="D30:AF30" si="38">-(D28)*$B$29*$B$30</f>
        <v>-65764.518716710285</v>
      </c>
      <c r="E30" s="68">
        <f t="shared" si="38"/>
        <v>-139883.96117401627</v>
      </c>
      <c r="F30" s="68">
        <f t="shared" si="38"/>
        <v>-215000.93673566842</v>
      </c>
      <c r="G30" s="68">
        <f t="shared" si="38"/>
        <v>-284365.71207975346</v>
      </c>
      <c r="H30" s="68">
        <f t="shared" si="38"/>
        <v>-355117.78293072025</v>
      </c>
      <c r="I30" s="68">
        <f t="shared" si="38"/>
        <v>-408756.08717006643</v>
      </c>
      <c r="J30" s="68">
        <f t="shared" si="38"/>
        <v>-423483.94016923953</v>
      </c>
      <c r="K30" s="68">
        <f t="shared" si="38"/>
        <v>-438506.35022839601</v>
      </c>
      <c r="L30" s="68">
        <f t="shared" si="38"/>
        <v>-453829.20848873566</v>
      </c>
      <c r="M30" s="68">
        <f t="shared" si="38"/>
        <v>-469458.52391428209</v>
      </c>
      <c r="N30" s="68">
        <f t="shared" si="38"/>
        <v>-485400.4256483395</v>
      </c>
      <c r="O30" s="68">
        <f t="shared" si="38"/>
        <v>-501661.16541707807</v>
      </c>
      <c r="P30" s="68">
        <f t="shared" si="38"/>
        <v>-518247.11998119124</v>
      </c>
      <c r="Q30" s="68">
        <f t="shared" si="38"/>
        <v>-535164.79363658698</v>
      </c>
      <c r="R30" s="68">
        <f t="shared" si="38"/>
        <v>-552420.82076509052</v>
      </c>
      <c r="S30" s="68">
        <f t="shared" si="38"/>
        <v>-570021.96843616397</v>
      </c>
      <c r="T30" s="68">
        <f t="shared" si="38"/>
        <v>-587975.13906065898</v>
      </c>
      <c r="U30" s="68">
        <f t="shared" si="38"/>
        <v>-606287.37309764395</v>
      </c>
      <c r="V30" s="68">
        <f t="shared" si="38"/>
        <v>-624965.8518153684</v>
      </c>
      <c r="W30" s="68">
        <f t="shared" si="38"/>
        <v>-644017.90010744764</v>
      </c>
      <c r="X30" s="68">
        <f t="shared" si="38"/>
        <v>-663450.98936536815</v>
      </c>
      <c r="Y30" s="68">
        <f t="shared" si="38"/>
        <v>-683272.74040844734</v>
      </c>
      <c r="Z30" s="68">
        <f t="shared" si="38"/>
        <v>-703490.92647238821</v>
      </c>
      <c r="AA30" s="68">
        <f t="shared" si="38"/>
        <v>-724113.47625760769</v>
      </c>
      <c r="AB30" s="68">
        <f t="shared" si="38"/>
        <v>-745148.47703853133</v>
      </c>
      <c r="AC30" s="68">
        <f t="shared" si="38"/>
        <v>-766604.17783507367</v>
      </c>
      <c r="AD30" s="68">
        <f t="shared" si="38"/>
        <v>-788488.99264754693</v>
      </c>
      <c r="AE30" s="68">
        <f t="shared" si="38"/>
        <v>-810811.50375626958</v>
      </c>
      <c r="AF30" s="68">
        <f t="shared" si="38"/>
        <v>-833580.46508716687</v>
      </c>
      <c r="AG30" s="227" t="s">
        <v>226</v>
      </c>
      <c r="AH30" s="240" t="s">
        <v>302</v>
      </c>
      <c r="AI30" s="152"/>
    </row>
    <row r="31" spans="1:35" x14ac:dyDescent="0.25">
      <c r="A31" s="316" t="s">
        <v>219</v>
      </c>
      <c r="B31" s="255">
        <v>5.8806999999999998E-2</v>
      </c>
      <c r="C31" s="173">
        <v>0</v>
      </c>
      <c r="D31" s="207">
        <f t="shared" ref="D31:AF31" si="39">-(D28)*$B$31*$B$29</f>
        <v>-7102.2061901644538</v>
      </c>
      <c r="E31" s="69">
        <f t="shared" si="39"/>
        <v>-15106.698176176042</v>
      </c>
      <c r="F31" s="69">
        <f t="shared" si="39"/>
        <v>-23218.918249107868</v>
      </c>
      <c r="G31" s="69">
        <f t="shared" si="39"/>
        <v>-30709.932346698308</v>
      </c>
      <c r="H31" s="69">
        <f t="shared" si="39"/>
        <v>-38350.766726240574</v>
      </c>
      <c r="I31" s="69">
        <f t="shared" si="39"/>
        <v>-44143.408470333685</v>
      </c>
      <c r="J31" s="69">
        <f t="shared" si="39"/>
        <v>-45733.935562748658</v>
      </c>
      <c r="K31" s="69">
        <f t="shared" si="39"/>
        <v>-47356.273197011928</v>
      </c>
      <c r="L31" s="69">
        <f t="shared" si="39"/>
        <v>-49011.057583960457</v>
      </c>
      <c r="M31" s="69">
        <f t="shared" si="39"/>
        <v>-50698.937658647956</v>
      </c>
      <c r="N31" s="69">
        <f t="shared" si="39"/>
        <v>-52420.57533482922</v>
      </c>
      <c r="O31" s="69">
        <f t="shared" si="39"/>
        <v>-54176.645764534107</v>
      </c>
      <c r="P31" s="69">
        <f t="shared" si="39"/>
        <v>-55967.837602833075</v>
      </c>
      <c r="Q31" s="69">
        <f t="shared" si="39"/>
        <v>-57794.853277898052</v>
      </c>
      <c r="R31" s="69">
        <f t="shared" si="39"/>
        <v>-59658.409266464303</v>
      </c>
      <c r="S31" s="69">
        <f t="shared" si="39"/>
        <v>-61559.236374801862</v>
      </c>
      <c r="T31" s="69">
        <f t="shared" si="39"/>
        <v>-63498.080025306219</v>
      </c>
      <c r="U31" s="69">
        <f t="shared" si="39"/>
        <v>-65475.700548820634</v>
      </c>
      <c r="V31" s="69">
        <f t="shared" si="39"/>
        <v>-67492.873482805328</v>
      </c>
      <c r="W31" s="69">
        <f t="shared" si="39"/>
        <v>-69550.389875469758</v>
      </c>
      <c r="X31" s="69">
        <f t="shared" si="39"/>
        <v>-71649.056595987407</v>
      </c>
      <c r="Y31" s="69">
        <f t="shared" si="39"/>
        <v>-73789.696650915474</v>
      </c>
      <c r="Z31" s="69">
        <f t="shared" si="39"/>
        <v>-75973.149506942093</v>
      </c>
      <c r="AA31" s="69">
        <f t="shared" si="39"/>
        <v>-78200.271420089222</v>
      </c>
      <c r="AB31" s="69">
        <f t="shared" si="39"/>
        <v>-80471.93577149928</v>
      </c>
      <c r="AC31" s="69">
        <f t="shared" si="39"/>
        <v>-82789.033409937576</v>
      </c>
      <c r="AD31" s="69">
        <f t="shared" si="39"/>
        <v>-85152.473001144608</v>
      </c>
      <c r="AE31" s="69">
        <f t="shared" si="39"/>
        <v>-87563.181384175812</v>
      </c>
      <c r="AF31" s="69">
        <f t="shared" si="39"/>
        <v>-90022.103934867628</v>
      </c>
      <c r="AG31" s="227" t="s">
        <v>227</v>
      </c>
      <c r="AH31" s="240" t="s">
        <v>303</v>
      </c>
      <c r="AI31" s="152"/>
    </row>
    <row r="32" spans="1:35" ht="26.25" x14ac:dyDescent="0.25">
      <c r="A32" s="322" t="s">
        <v>232</v>
      </c>
      <c r="B32" s="321"/>
      <c r="C32" s="136">
        <v>0</v>
      </c>
      <c r="D32" s="205">
        <v>0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75">
        <f>W22-$V$22</f>
        <v>166607.66758933105</v>
      </c>
      <c r="X32" s="175">
        <f t="shared" ref="X32:AF32" si="40">X22-$V$22</f>
        <v>336547.48853044584</v>
      </c>
      <c r="Y32" s="175">
        <f t="shared" si="40"/>
        <v>509886.10589038581</v>
      </c>
      <c r="Z32" s="175">
        <f t="shared" si="40"/>
        <v>686691.49559752457</v>
      </c>
      <c r="AA32" s="175">
        <f t="shared" si="40"/>
        <v>867032.99309880473</v>
      </c>
      <c r="AB32" s="175">
        <f t="shared" si="40"/>
        <v>1050981.3205501083</v>
      </c>
      <c r="AC32" s="175">
        <f t="shared" si="40"/>
        <v>1238608.6145504415</v>
      </c>
      <c r="AD32" s="175">
        <f t="shared" si="40"/>
        <v>1429988.4544307794</v>
      </c>
      <c r="AE32" s="175">
        <f t="shared" si="40"/>
        <v>1625195.8911087252</v>
      </c>
      <c r="AF32" s="175">
        <f t="shared" si="40"/>
        <v>1824307.476520231</v>
      </c>
      <c r="AG32" s="227" t="s">
        <v>181</v>
      </c>
      <c r="AH32" s="246" t="s">
        <v>294</v>
      </c>
      <c r="AI32" s="152"/>
    </row>
    <row r="33" spans="1:35" x14ac:dyDescent="0.25">
      <c r="A33" s="317" t="s">
        <v>282</v>
      </c>
      <c r="B33" s="321">
        <v>0.14000000000000001</v>
      </c>
      <c r="C33" s="82"/>
      <c r="D33" s="207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227"/>
      <c r="AH33" s="240"/>
      <c r="AI33" s="152"/>
    </row>
    <row r="34" spans="1:35" x14ac:dyDescent="0.25">
      <c r="A34" s="316" t="s">
        <v>218</v>
      </c>
      <c r="B34" s="255">
        <v>0.54453700000000005</v>
      </c>
      <c r="C34" s="82">
        <f>-C32*$B$34*$B$33</f>
        <v>0</v>
      </c>
      <c r="D34" s="207">
        <f t="shared" ref="D34:L34" si="41">-D32*$B$34*$B$33</f>
        <v>0</v>
      </c>
      <c r="E34" s="82">
        <f t="shared" si="41"/>
        <v>0</v>
      </c>
      <c r="F34" s="82">
        <f t="shared" si="41"/>
        <v>0</v>
      </c>
      <c r="G34" s="82">
        <f t="shared" si="41"/>
        <v>0</v>
      </c>
      <c r="H34" s="82">
        <f t="shared" si="41"/>
        <v>0</v>
      </c>
      <c r="I34" s="82">
        <f t="shared" si="41"/>
        <v>0</v>
      </c>
      <c r="J34" s="82">
        <f t="shared" si="41"/>
        <v>0</v>
      </c>
      <c r="K34" s="82">
        <f t="shared" si="41"/>
        <v>0</v>
      </c>
      <c r="L34" s="82">
        <f t="shared" si="41"/>
        <v>0</v>
      </c>
      <c r="M34" s="82">
        <f>-M32*$B$34*$B$33</f>
        <v>0</v>
      </c>
      <c r="N34" s="82">
        <f t="shared" ref="N34:AF34" si="42">-N32*$B$34*$B$33</f>
        <v>0</v>
      </c>
      <c r="O34" s="82">
        <f t="shared" si="42"/>
        <v>0</v>
      </c>
      <c r="P34" s="82">
        <f t="shared" si="42"/>
        <v>0</v>
      </c>
      <c r="Q34" s="82">
        <f t="shared" si="42"/>
        <v>0</v>
      </c>
      <c r="R34" s="82">
        <f t="shared" si="42"/>
        <v>0</v>
      </c>
      <c r="S34" s="82">
        <f t="shared" si="42"/>
        <v>0</v>
      </c>
      <c r="T34" s="82">
        <f t="shared" si="42"/>
        <v>0</v>
      </c>
      <c r="U34" s="82">
        <f t="shared" si="42"/>
        <v>0</v>
      </c>
      <c r="V34" s="82">
        <f t="shared" si="42"/>
        <v>0</v>
      </c>
      <c r="W34" s="82">
        <f t="shared" si="42"/>
        <v>-12701.36552805282</v>
      </c>
      <c r="X34" s="82">
        <f t="shared" si="42"/>
        <v>-25656.758366666476</v>
      </c>
      <c r="Y34" s="82">
        <f t="shared" si="42"/>
        <v>-38871.259062052632</v>
      </c>
      <c r="Z34" s="82">
        <f t="shared" si="42"/>
        <v>-52350.049771346501</v>
      </c>
      <c r="AA34" s="82">
        <f t="shared" si="42"/>
        <v>-66098.416294826151</v>
      </c>
      <c r="AB34" s="82">
        <f t="shared" si="42"/>
        <v>-80121.750148775216</v>
      </c>
      <c r="AC34" s="82">
        <f t="shared" si="42"/>
        <v>-94425.550679803549</v>
      </c>
      <c r="AD34" s="82">
        <f t="shared" si="42"/>
        <v>-109015.42722145229</v>
      </c>
      <c r="AE34" s="82">
        <f t="shared" si="42"/>
        <v>-123897.10129393409</v>
      </c>
      <c r="AF34" s="82">
        <f t="shared" si="42"/>
        <v>-139076.40884786559</v>
      </c>
      <c r="AG34" s="227" t="s">
        <v>284</v>
      </c>
      <c r="AH34" s="240" t="s">
        <v>304</v>
      </c>
      <c r="AI34" s="152"/>
    </row>
    <row r="35" spans="1:35" x14ac:dyDescent="0.25">
      <c r="A35" s="316" t="s">
        <v>219</v>
      </c>
      <c r="B35" s="255">
        <v>5.8806999999999998E-2</v>
      </c>
      <c r="C35" s="146">
        <f>-C32*$B$35*$B$33</f>
        <v>0</v>
      </c>
      <c r="D35" s="208">
        <f t="shared" ref="D35:AF35" si="43">-D32*$B$35*$B$33</f>
        <v>0</v>
      </c>
      <c r="E35" s="146">
        <f t="shared" si="43"/>
        <v>0</v>
      </c>
      <c r="F35" s="146">
        <f t="shared" si="43"/>
        <v>0</v>
      </c>
      <c r="G35" s="146">
        <f t="shared" si="43"/>
        <v>0</v>
      </c>
      <c r="H35" s="146">
        <f t="shared" si="43"/>
        <v>0</v>
      </c>
      <c r="I35" s="146">
        <f t="shared" si="43"/>
        <v>0</v>
      </c>
      <c r="J35" s="146">
        <f t="shared" si="43"/>
        <v>0</v>
      </c>
      <c r="K35" s="146">
        <f t="shared" si="43"/>
        <v>0</v>
      </c>
      <c r="L35" s="146">
        <f t="shared" si="43"/>
        <v>0</v>
      </c>
      <c r="M35" s="146">
        <f t="shared" si="43"/>
        <v>0</v>
      </c>
      <c r="N35" s="146">
        <f t="shared" si="43"/>
        <v>0</v>
      </c>
      <c r="O35" s="146">
        <f t="shared" si="43"/>
        <v>0</v>
      </c>
      <c r="P35" s="146">
        <f t="shared" si="43"/>
        <v>0</v>
      </c>
      <c r="Q35" s="146">
        <f t="shared" si="43"/>
        <v>0</v>
      </c>
      <c r="R35" s="146">
        <f t="shared" si="43"/>
        <v>0</v>
      </c>
      <c r="S35" s="146">
        <f t="shared" si="43"/>
        <v>0</v>
      </c>
      <c r="T35" s="146">
        <f t="shared" si="43"/>
        <v>0</v>
      </c>
      <c r="U35" s="146">
        <f t="shared" si="43"/>
        <v>0</v>
      </c>
      <c r="V35" s="146">
        <f t="shared" si="43"/>
        <v>0</v>
      </c>
      <c r="W35" s="146">
        <f t="shared" si="43"/>
        <v>-1371.6775951096108</v>
      </c>
      <c r="X35" s="146">
        <f t="shared" si="43"/>
        <v>-2770.7887421213904</v>
      </c>
      <c r="Y35" s="146">
        <f t="shared" si="43"/>
        <v>-4197.8821120734283</v>
      </c>
      <c r="Z35" s="146">
        <f t="shared" si="43"/>
        <v>-5653.5173494245082</v>
      </c>
      <c r="AA35" s="146">
        <f t="shared" si="43"/>
        <v>-7138.2652915225981</v>
      </c>
      <c r="AB35" s="146">
        <f t="shared" si="43"/>
        <v>-8652.7081924626309</v>
      </c>
      <c r="AC35" s="146">
        <f t="shared" si="43"/>
        <v>-10197.439951421495</v>
      </c>
      <c r="AD35" s="146">
        <f t="shared" si="43"/>
        <v>-11773.066345559519</v>
      </c>
      <c r="AE35" s="146">
        <f t="shared" si="43"/>
        <v>-13380.205267580315</v>
      </c>
      <c r="AF35" s="146">
        <f t="shared" si="43"/>
        <v>-15019.486968041532</v>
      </c>
      <c r="AG35" s="227" t="s">
        <v>285</v>
      </c>
      <c r="AH35" s="240" t="s">
        <v>305</v>
      </c>
      <c r="AI35" s="152"/>
    </row>
    <row r="36" spans="1:35" x14ac:dyDescent="0.25">
      <c r="A36" s="1" t="s">
        <v>223</v>
      </c>
      <c r="B36" s="266"/>
      <c r="C36" s="112">
        <f>C22+SUM(C26:C27)+SUM(C30:C31)+SUM(C34:C35)</f>
        <v>2432972.75792976</v>
      </c>
      <c r="D36" s="210">
        <f t="shared" ref="D36:AF36" si="44">D22+SUM(D26:D27)+SUM(D30:D31)</f>
        <v>2848462.0367432721</v>
      </c>
      <c r="E36" s="71">
        <f t="shared" si="44"/>
        <v>3316736.332572958</v>
      </c>
      <c r="F36" s="71">
        <f t="shared" si="44"/>
        <v>3791312.8764568376</v>
      </c>
      <c r="G36" s="71">
        <f t="shared" si="44"/>
        <v>4229547.9771639928</v>
      </c>
      <c r="H36" s="71">
        <f t="shared" si="44"/>
        <v>4676547.779885293</v>
      </c>
      <c r="I36" s="71">
        <f t="shared" si="44"/>
        <v>5015425.6547646997</v>
      </c>
      <c r="J36" s="71">
        <f t="shared" si="44"/>
        <v>5108473.7776812138</v>
      </c>
      <c r="K36" s="71">
        <f t="shared" si="44"/>
        <v>5203382.8630560571</v>
      </c>
      <c r="L36" s="71">
        <f t="shared" si="44"/>
        <v>5300190.1301383991</v>
      </c>
      <c r="M36" s="71">
        <f t="shared" si="44"/>
        <v>5398933.542562386</v>
      </c>
      <c r="N36" s="71">
        <f t="shared" si="44"/>
        <v>5499651.8232348552</v>
      </c>
      <c r="O36" s="71">
        <f t="shared" si="44"/>
        <v>5602384.4695207719</v>
      </c>
      <c r="P36" s="71">
        <f t="shared" si="44"/>
        <v>5707171.7687324071</v>
      </c>
      <c r="Q36" s="71">
        <f t="shared" si="44"/>
        <v>5814054.8139282754</v>
      </c>
      <c r="R36" s="71">
        <f t="shared" si="44"/>
        <v>5923075.5200280612</v>
      </c>
      <c r="S36" s="71">
        <f t="shared" si="44"/>
        <v>6034276.6402498418</v>
      </c>
      <c r="T36" s="71">
        <f t="shared" si="44"/>
        <v>6147701.7828760594</v>
      </c>
      <c r="U36" s="71">
        <f t="shared" si="44"/>
        <v>6263395.4283548007</v>
      </c>
      <c r="V36" s="71">
        <f t="shared" si="44"/>
        <v>6381402.9467431158</v>
      </c>
      <c r="W36" s="71">
        <f>W22+SUM(W26:W27)+SUM(W30:W31)</f>
        <v>6501770.6154991984</v>
      </c>
      <c r="X36" s="71">
        <f t="shared" si="44"/>
        <v>6624545.6376304012</v>
      </c>
      <c r="Y36" s="71">
        <f t="shared" si="44"/>
        <v>6749776.1602042308</v>
      </c>
      <c r="Z36" s="71">
        <f t="shared" si="44"/>
        <v>6877511.2932295352</v>
      </c>
      <c r="AA36" s="71">
        <f t="shared" si="44"/>
        <v>7007801.1289153462</v>
      </c>
      <c r="AB36" s="71">
        <f t="shared" si="44"/>
        <v>7140696.7613148717</v>
      </c>
      <c r="AC36" s="71">
        <f t="shared" si="44"/>
        <v>7276250.3063623887</v>
      </c>
      <c r="AD36" s="71">
        <f t="shared" si="44"/>
        <v>7414514.9223108562</v>
      </c>
      <c r="AE36" s="71">
        <f t="shared" si="44"/>
        <v>7555544.8305782937</v>
      </c>
      <c r="AF36" s="71">
        <f t="shared" si="44"/>
        <v>7699395.3370110812</v>
      </c>
      <c r="AG36" s="227" t="s">
        <v>182</v>
      </c>
      <c r="AH36" s="240" t="s">
        <v>286</v>
      </c>
      <c r="AI36" s="152"/>
    </row>
    <row r="37" spans="1:35" ht="8.1" customHeight="1" x14ac:dyDescent="0.25">
      <c r="A37" s="1"/>
      <c r="B37" s="152"/>
      <c r="C37" s="114"/>
      <c r="D37" s="2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227"/>
      <c r="AH37" s="238"/>
      <c r="AI37" s="152"/>
    </row>
    <row r="38" spans="1:35" x14ac:dyDescent="0.25">
      <c r="A38" s="193" t="s">
        <v>167</v>
      </c>
      <c r="B38" s="194"/>
      <c r="C38" s="195"/>
      <c r="D38" s="212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227"/>
      <c r="AH38" s="238"/>
      <c r="AI38" s="152"/>
    </row>
    <row r="39" spans="1:35" ht="15" customHeight="1" x14ac:dyDescent="0.25">
      <c r="A39" s="179" t="s">
        <v>157</v>
      </c>
      <c r="B39" s="180">
        <v>0.25</v>
      </c>
      <c r="C39" s="181">
        <f>$B$39*C$36</f>
        <v>608243.18948244001</v>
      </c>
      <c r="D39" s="213">
        <f t="shared" ref="D39:L39" si="45">$B$39*D$36</f>
        <v>712115.50918581802</v>
      </c>
      <c r="E39" s="181">
        <f t="shared" si="45"/>
        <v>829184.08314323949</v>
      </c>
      <c r="F39" s="181">
        <f t="shared" si="45"/>
        <v>947828.21911420941</v>
      </c>
      <c r="G39" s="181">
        <f t="shared" si="45"/>
        <v>1057386.9942909982</v>
      </c>
      <c r="H39" s="181">
        <f t="shared" si="45"/>
        <v>1169136.9449713232</v>
      </c>
      <c r="I39" s="181">
        <f t="shared" si="45"/>
        <v>1253856.4136911749</v>
      </c>
      <c r="J39" s="181">
        <f t="shared" si="45"/>
        <v>1277118.4444203035</v>
      </c>
      <c r="K39" s="181">
        <f t="shared" si="45"/>
        <v>1300845.7157640143</v>
      </c>
      <c r="L39" s="181">
        <f t="shared" si="45"/>
        <v>1325047.5325345998</v>
      </c>
      <c r="M39" s="181">
        <f>$B$39*M$36</f>
        <v>1349733.3856405965</v>
      </c>
      <c r="N39" s="181">
        <f t="shared" ref="N39:AF39" si="46">$B$39*N$36</f>
        <v>1374912.9558087138</v>
      </c>
      <c r="O39" s="181">
        <f t="shared" si="46"/>
        <v>1400596.117380193</v>
      </c>
      <c r="P39" s="181">
        <f t="shared" si="46"/>
        <v>1426792.9421831018</v>
      </c>
      <c r="Q39" s="181">
        <f t="shared" si="46"/>
        <v>1453513.7034820688</v>
      </c>
      <c r="R39" s="181">
        <f t="shared" si="46"/>
        <v>1480768.8800070153</v>
      </c>
      <c r="S39" s="181">
        <f t="shared" si="46"/>
        <v>1508569.1600624605</v>
      </c>
      <c r="T39" s="181">
        <f t="shared" si="46"/>
        <v>1536925.4457190149</v>
      </c>
      <c r="U39" s="181">
        <f t="shared" si="46"/>
        <v>1565848.8570887002</v>
      </c>
      <c r="V39" s="181">
        <f t="shared" si="46"/>
        <v>1595350.7366857789</v>
      </c>
      <c r="W39" s="181">
        <f t="shared" si="46"/>
        <v>1625442.6538747996</v>
      </c>
      <c r="X39" s="181">
        <f t="shared" si="46"/>
        <v>1656136.4094076003</v>
      </c>
      <c r="Y39" s="181">
        <f t="shared" si="46"/>
        <v>1687444.0400510577</v>
      </c>
      <c r="Z39" s="181">
        <f t="shared" si="46"/>
        <v>1719377.8233073838</v>
      </c>
      <c r="AA39" s="181">
        <f t="shared" si="46"/>
        <v>1751950.2822288366</v>
      </c>
      <c r="AB39" s="181">
        <f t="shared" si="46"/>
        <v>1785174.1903287179</v>
      </c>
      <c r="AC39" s="181">
        <f t="shared" si="46"/>
        <v>1819062.5765905972</v>
      </c>
      <c r="AD39" s="181">
        <f t="shared" si="46"/>
        <v>1853628.730577714</v>
      </c>
      <c r="AE39" s="181">
        <f t="shared" si="46"/>
        <v>1888886.2076445734</v>
      </c>
      <c r="AF39" s="181">
        <f t="shared" si="46"/>
        <v>1924848.8342527703</v>
      </c>
      <c r="AG39" s="232"/>
      <c r="AH39" s="242" t="s">
        <v>169</v>
      </c>
      <c r="AI39" s="124"/>
    </row>
    <row r="40" spans="1:35" ht="15" customHeight="1" x14ac:dyDescent="0.25">
      <c r="A40" s="179" t="s">
        <v>156</v>
      </c>
      <c r="B40" s="182">
        <v>0.05</v>
      </c>
      <c r="C40" s="181">
        <f>B40*C$36</f>
        <v>121648.63789648801</v>
      </c>
      <c r="D40" s="213">
        <f>B40*D$36</f>
        <v>142423.10183716362</v>
      </c>
      <c r="E40" s="181">
        <f>$B$40*E36</f>
        <v>165836.81662864791</v>
      </c>
      <c r="F40" s="181">
        <f t="shared" ref="F40:AF40" si="47">$B$40*F36</f>
        <v>189565.6438228419</v>
      </c>
      <c r="G40" s="181">
        <f t="shared" si="47"/>
        <v>211477.39885819965</v>
      </c>
      <c r="H40" s="181">
        <f t="shared" si="47"/>
        <v>233827.38899426465</v>
      </c>
      <c r="I40" s="181">
        <f t="shared" si="47"/>
        <v>250771.28273823499</v>
      </c>
      <c r="J40" s="181">
        <f t="shared" si="47"/>
        <v>255423.68888406071</v>
      </c>
      <c r="K40" s="181">
        <f t="shared" si="47"/>
        <v>260169.14315280286</v>
      </c>
      <c r="L40" s="181">
        <f t="shared" si="47"/>
        <v>265009.50650691998</v>
      </c>
      <c r="M40" s="181">
        <f t="shared" si="47"/>
        <v>269946.67712811934</v>
      </c>
      <c r="N40" s="181">
        <f t="shared" si="47"/>
        <v>274982.59116174275</v>
      </c>
      <c r="O40" s="181">
        <f t="shared" si="47"/>
        <v>280119.22347603861</v>
      </c>
      <c r="P40" s="181">
        <f t="shared" si="47"/>
        <v>285358.58843662037</v>
      </c>
      <c r="Q40" s="181">
        <f t="shared" si="47"/>
        <v>290702.74069641379</v>
      </c>
      <c r="R40" s="181">
        <f t="shared" si="47"/>
        <v>296153.77600140305</v>
      </c>
      <c r="S40" s="181">
        <f t="shared" si="47"/>
        <v>301713.83201249212</v>
      </c>
      <c r="T40" s="181">
        <f t="shared" si="47"/>
        <v>307385.08914380299</v>
      </c>
      <c r="U40" s="181">
        <f t="shared" si="47"/>
        <v>313169.77141774003</v>
      </c>
      <c r="V40" s="181">
        <f t="shared" si="47"/>
        <v>319070.14733715582</v>
      </c>
      <c r="W40" s="181">
        <f t="shared" si="47"/>
        <v>325088.53077495995</v>
      </c>
      <c r="X40" s="181">
        <f t="shared" si="47"/>
        <v>331227.28188152006</v>
      </c>
      <c r="Y40" s="181">
        <f t="shared" si="47"/>
        <v>337488.80801021156</v>
      </c>
      <c r="Z40" s="181">
        <f t="shared" si="47"/>
        <v>343875.56466147676</v>
      </c>
      <c r="AA40" s="181">
        <f t="shared" si="47"/>
        <v>350390.05644576735</v>
      </c>
      <c r="AB40" s="181">
        <f t="shared" si="47"/>
        <v>357034.83806574362</v>
      </c>
      <c r="AC40" s="181">
        <f t="shared" si="47"/>
        <v>363812.51531811943</v>
      </c>
      <c r="AD40" s="181">
        <f t="shared" si="47"/>
        <v>370725.74611554283</v>
      </c>
      <c r="AE40" s="181">
        <f t="shared" si="47"/>
        <v>377777.24152891472</v>
      </c>
      <c r="AF40" s="181">
        <f t="shared" si="47"/>
        <v>384969.76685055409</v>
      </c>
      <c r="AG40" s="233"/>
      <c r="AH40" s="243" t="s">
        <v>170</v>
      </c>
      <c r="AI40" s="152"/>
    </row>
    <row r="41" spans="1:35" ht="15" customHeight="1" x14ac:dyDescent="0.25">
      <c r="A41" s="179" t="s">
        <v>58</v>
      </c>
      <c r="B41" s="182">
        <v>0.35</v>
      </c>
      <c r="C41" s="181">
        <f>B41*C$36</f>
        <v>851540.46527541592</v>
      </c>
      <c r="D41" s="213">
        <f>B41*(D$36)</f>
        <v>996961.71286014514</v>
      </c>
      <c r="E41" s="181">
        <f>$B$41*(E36)</f>
        <v>1160857.7164005353</v>
      </c>
      <c r="F41" s="181">
        <f t="shared" ref="F41:AF41" si="48">$B$41*(F36)</f>
        <v>1326959.5067598931</v>
      </c>
      <c r="G41" s="181">
        <f t="shared" si="48"/>
        <v>1480341.7920073974</v>
      </c>
      <c r="H41" s="181">
        <f t="shared" si="48"/>
        <v>1636791.7229598525</v>
      </c>
      <c r="I41" s="181">
        <f t="shared" si="48"/>
        <v>1755398.9791676449</v>
      </c>
      <c r="J41" s="181">
        <f t="shared" si="48"/>
        <v>1787965.8221884246</v>
      </c>
      <c r="K41" s="181">
        <f t="shared" si="48"/>
        <v>1821184.0020696199</v>
      </c>
      <c r="L41" s="181">
        <f t="shared" si="48"/>
        <v>1855066.5455484395</v>
      </c>
      <c r="M41" s="181">
        <f t="shared" si="48"/>
        <v>1889626.7398968351</v>
      </c>
      <c r="N41" s="181">
        <f t="shared" si="48"/>
        <v>1924878.1381321992</v>
      </c>
      <c r="O41" s="181">
        <f t="shared" si="48"/>
        <v>1960834.5643322701</v>
      </c>
      <c r="P41" s="181">
        <f t="shared" si="48"/>
        <v>1997510.1190563424</v>
      </c>
      <c r="Q41" s="181">
        <f t="shared" si="48"/>
        <v>2034919.1848748962</v>
      </c>
      <c r="R41" s="181">
        <f t="shared" si="48"/>
        <v>2073076.4320098213</v>
      </c>
      <c r="S41" s="181">
        <f t="shared" si="48"/>
        <v>2111996.8240874447</v>
      </c>
      <c r="T41" s="181">
        <f t="shared" si="48"/>
        <v>2151695.6240066206</v>
      </c>
      <c r="U41" s="181">
        <f t="shared" si="48"/>
        <v>2192188.39992418</v>
      </c>
      <c r="V41" s="181">
        <f t="shared" si="48"/>
        <v>2233491.0313600902</v>
      </c>
      <c r="W41" s="181">
        <f t="shared" si="48"/>
        <v>2275619.7154247193</v>
      </c>
      <c r="X41" s="181">
        <f t="shared" si="48"/>
        <v>2318590.9731706404</v>
      </c>
      <c r="Y41" s="181">
        <f t="shared" si="48"/>
        <v>2362421.6560714808</v>
      </c>
      <c r="Z41" s="181">
        <f t="shared" si="48"/>
        <v>2407128.9526303373</v>
      </c>
      <c r="AA41" s="181">
        <f t="shared" si="48"/>
        <v>2452730.3951203711</v>
      </c>
      <c r="AB41" s="181">
        <f t="shared" si="48"/>
        <v>2499243.8664602051</v>
      </c>
      <c r="AC41" s="181">
        <f t="shared" si="48"/>
        <v>2546687.607226836</v>
      </c>
      <c r="AD41" s="181">
        <f t="shared" si="48"/>
        <v>2595080.2228087997</v>
      </c>
      <c r="AE41" s="181">
        <f t="shared" si="48"/>
        <v>2644440.6907024025</v>
      </c>
      <c r="AF41" s="181">
        <f t="shared" si="48"/>
        <v>2694788.3679538784</v>
      </c>
      <c r="AG41" s="230"/>
      <c r="AH41" s="240" t="s">
        <v>171</v>
      </c>
      <c r="AI41" s="152"/>
    </row>
    <row r="42" spans="1:35" x14ac:dyDescent="0.25">
      <c r="A42" s="179" t="s">
        <v>165</v>
      </c>
      <c r="B42" s="183">
        <v>0.35</v>
      </c>
      <c r="C42" s="181">
        <f>B42*C36</f>
        <v>851540.46527541592</v>
      </c>
      <c r="D42" s="213">
        <f>B42*D36</f>
        <v>996961.71286014514</v>
      </c>
      <c r="E42" s="181">
        <f>$B$42*E36</f>
        <v>1160857.7164005353</v>
      </c>
      <c r="F42" s="181">
        <f t="shared" ref="F42:AF42" si="49">$B$42*F36</f>
        <v>1326959.5067598931</v>
      </c>
      <c r="G42" s="181">
        <f t="shared" si="49"/>
        <v>1480341.7920073974</v>
      </c>
      <c r="H42" s="181">
        <f t="shared" si="49"/>
        <v>1636791.7229598525</v>
      </c>
      <c r="I42" s="181">
        <f t="shared" si="49"/>
        <v>1755398.9791676449</v>
      </c>
      <c r="J42" s="181">
        <f t="shared" si="49"/>
        <v>1787965.8221884246</v>
      </c>
      <c r="K42" s="181">
        <f t="shared" si="49"/>
        <v>1821184.0020696199</v>
      </c>
      <c r="L42" s="181">
        <f t="shared" si="49"/>
        <v>1855066.5455484395</v>
      </c>
      <c r="M42" s="181">
        <f t="shared" si="49"/>
        <v>1889626.7398968351</v>
      </c>
      <c r="N42" s="181">
        <f t="shared" si="49"/>
        <v>1924878.1381321992</v>
      </c>
      <c r="O42" s="181">
        <f t="shared" si="49"/>
        <v>1960834.5643322701</v>
      </c>
      <c r="P42" s="181">
        <f t="shared" si="49"/>
        <v>1997510.1190563424</v>
      </c>
      <c r="Q42" s="181">
        <f t="shared" si="49"/>
        <v>2034919.1848748962</v>
      </c>
      <c r="R42" s="181">
        <f t="shared" si="49"/>
        <v>2073076.4320098213</v>
      </c>
      <c r="S42" s="181">
        <f t="shared" si="49"/>
        <v>2111996.8240874447</v>
      </c>
      <c r="T42" s="181">
        <f t="shared" si="49"/>
        <v>2151695.6240066206</v>
      </c>
      <c r="U42" s="181">
        <f t="shared" si="49"/>
        <v>2192188.39992418</v>
      </c>
      <c r="V42" s="181">
        <f t="shared" si="49"/>
        <v>2233491.0313600902</v>
      </c>
      <c r="W42" s="181">
        <f t="shared" si="49"/>
        <v>2275619.7154247193</v>
      </c>
      <c r="X42" s="181">
        <f t="shared" si="49"/>
        <v>2318590.9731706404</v>
      </c>
      <c r="Y42" s="181">
        <f t="shared" si="49"/>
        <v>2362421.6560714808</v>
      </c>
      <c r="Z42" s="181">
        <f t="shared" si="49"/>
        <v>2407128.9526303373</v>
      </c>
      <c r="AA42" s="181">
        <f t="shared" si="49"/>
        <v>2452730.3951203711</v>
      </c>
      <c r="AB42" s="181">
        <f t="shared" si="49"/>
        <v>2499243.8664602051</v>
      </c>
      <c r="AC42" s="181">
        <f t="shared" si="49"/>
        <v>2546687.607226836</v>
      </c>
      <c r="AD42" s="181">
        <f t="shared" si="49"/>
        <v>2595080.2228087997</v>
      </c>
      <c r="AE42" s="181">
        <f t="shared" si="49"/>
        <v>2644440.6907024025</v>
      </c>
      <c r="AF42" s="181">
        <f t="shared" si="49"/>
        <v>2694788.3679538784</v>
      </c>
      <c r="AG42" s="230" t="s">
        <v>164</v>
      </c>
      <c r="AH42" s="240" t="s">
        <v>194</v>
      </c>
      <c r="AI42" s="152"/>
    </row>
    <row r="43" spans="1:35" x14ac:dyDescent="0.25">
      <c r="A43" s="197" t="s">
        <v>158</v>
      </c>
      <c r="B43" s="196">
        <f>SUM(B39:B42)</f>
        <v>0.99999999999999989</v>
      </c>
      <c r="C43" s="191">
        <f>SUM(C39:C42)</f>
        <v>2432972.75792976</v>
      </c>
      <c r="D43" s="214">
        <f t="shared" ref="D43:AF43" si="50">SUM(D39:D42)</f>
        <v>2848462.0367432721</v>
      </c>
      <c r="E43" s="191">
        <f t="shared" si="50"/>
        <v>3316736.332572958</v>
      </c>
      <c r="F43" s="191">
        <f t="shared" si="50"/>
        <v>3791312.8764568376</v>
      </c>
      <c r="G43" s="191">
        <f t="shared" si="50"/>
        <v>4229547.9771639928</v>
      </c>
      <c r="H43" s="191">
        <f t="shared" si="50"/>
        <v>4676547.779885293</v>
      </c>
      <c r="I43" s="191">
        <f t="shared" si="50"/>
        <v>5015425.6547646997</v>
      </c>
      <c r="J43" s="191">
        <f t="shared" si="50"/>
        <v>5108473.7776812138</v>
      </c>
      <c r="K43" s="191">
        <f t="shared" si="50"/>
        <v>5203382.8630560571</v>
      </c>
      <c r="L43" s="191">
        <f t="shared" si="50"/>
        <v>5300190.1301383991</v>
      </c>
      <c r="M43" s="191">
        <f t="shared" si="50"/>
        <v>5398933.542562386</v>
      </c>
      <c r="N43" s="191">
        <f t="shared" si="50"/>
        <v>5499651.8232348543</v>
      </c>
      <c r="O43" s="191">
        <f t="shared" si="50"/>
        <v>5602384.4695207719</v>
      </c>
      <c r="P43" s="191">
        <f t="shared" si="50"/>
        <v>5707171.7687324071</v>
      </c>
      <c r="Q43" s="191">
        <f t="shared" si="50"/>
        <v>5814054.8139282744</v>
      </c>
      <c r="R43" s="191">
        <f t="shared" si="50"/>
        <v>5923075.5200280603</v>
      </c>
      <c r="S43" s="191">
        <f t="shared" si="50"/>
        <v>6034276.6402498418</v>
      </c>
      <c r="T43" s="191">
        <f t="shared" si="50"/>
        <v>6147701.7828760594</v>
      </c>
      <c r="U43" s="191">
        <f t="shared" si="50"/>
        <v>6263395.4283547997</v>
      </c>
      <c r="V43" s="191">
        <f t="shared" si="50"/>
        <v>6381402.9467431158</v>
      </c>
      <c r="W43" s="191">
        <f t="shared" si="50"/>
        <v>6501770.6154991975</v>
      </c>
      <c r="X43" s="191">
        <f t="shared" si="50"/>
        <v>6624545.6376304012</v>
      </c>
      <c r="Y43" s="191">
        <f t="shared" si="50"/>
        <v>6749776.1602042299</v>
      </c>
      <c r="Z43" s="191">
        <f t="shared" si="50"/>
        <v>6877511.2932295352</v>
      </c>
      <c r="AA43" s="191">
        <f t="shared" si="50"/>
        <v>7007801.1289153462</v>
      </c>
      <c r="AB43" s="191">
        <f t="shared" si="50"/>
        <v>7140696.7613148717</v>
      </c>
      <c r="AC43" s="191">
        <f t="shared" si="50"/>
        <v>7276250.3063623887</v>
      </c>
      <c r="AD43" s="191">
        <f t="shared" si="50"/>
        <v>7414514.9223108562</v>
      </c>
      <c r="AE43" s="191">
        <f t="shared" si="50"/>
        <v>7555544.8305782937</v>
      </c>
      <c r="AF43" s="191">
        <f t="shared" si="50"/>
        <v>7699395.3370110802</v>
      </c>
      <c r="AG43" s="227"/>
      <c r="AH43" s="238"/>
      <c r="AI43" s="152"/>
    </row>
    <row r="44" spans="1:35" ht="8.1" customHeight="1" x14ac:dyDescent="0.25">
      <c r="A44" s="141"/>
      <c r="B44" s="174"/>
      <c r="C44" s="136"/>
      <c r="D44" s="205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227"/>
      <c r="AH44" s="238"/>
      <c r="AI44" s="152"/>
    </row>
    <row r="45" spans="1:35" x14ac:dyDescent="0.25">
      <c r="A45" s="184" t="s">
        <v>159</v>
      </c>
      <c r="B45" s="439" t="s">
        <v>200</v>
      </c>
      <c r="C45" s="185"/>
      <c r="D45" s="21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227"/>
      <c r="AH45" s="238"/>
      <c r="AI45" s="152"/>
    </row>
    <row r="46" spans="1:35" x14ac:dyDescent="0.25">
      <c r="A46" s="186" t="s">
        <v>165</v>
      </c>
      <c r="B46" s="439"/>
      <c r="C46" s="185">
        <f>C42</f>
        <v>851540.46527541592</v>
      </c>
      <c r="D46" s="215">
        <f t="shared" ref="D46:L46" si="51">D42</f>
        <v>996961.71286014514</v>
      </c>
      <c r="E46" s="185">
        <f t="shared" si="51"/>
        <v>1160857.7164005353</v>
      </c>
      <c r="F46" s="185">
        <f t="shared" si="51"/>
        <v>1326959.5067598931</v>
      </c>
      <c r="G46" s="185">
        <f t="shared" si="51"/>
        <v>1480341.7920073974</v>
      </c>
      <c r="H46" s="185">
        <f t="shared" si="51"/>
        <v>1636791.7229598525</v>
      </c>
      <c r="I46" s="185">
        <f t="shared" si="51"/>
        <v>1755398.9791676449</v>
      </c>
      <c r="J46" s="185">
        <f t="shared" si="51"/>
        <v>1787965.8221884246</v>
      </c>
      <c r="K46" s="185">
        <f t="shared" si="51"/>
        <v>1821184.0020696199</v>
      </c>
      <c r="L46" s="185">
        <f t="shared" si="51"/>
        <v>1855066.5455484395</v>
      </c>
      <c r="M46" s="185">
        <f>M42</f>
        <v>1889626.7398968351</v>
      </c>
      <c r="N46" s="185">
        <f t="shared" ref="N46:AF46" si="52">N42</f>
        <v>1924878.1381321992</v>
      </c>
      <c r="O46" s="185">
        <f t="shared" si="52"/>
        <v>1960834.5643322701</v>
      </c>
      <c r="P46" s="185">
        <f t="shared" si="52"/>
        <v>1997510.1190563424</v>
      </c>
      <c r="Q46" s="185">
        <f t="shared" si="52"/>
        <v>2034919.1848748962</v>
      </c>
      <c r="R46" s="185">
        <f t="shared" si="52"/>
        <v>2073076.4320098213</v>
      </c>
      <c r="S46" s="185">
        <f t="shared" si="52"/>
        <v>2111996.8240874447</v>
      </c>
      <c r="T46" s="185">
        <f t="shared" si="52"/>
        <v>2151695.6240066206</v>
      </c>
      <c r="U46" s="185">
        <f t="shared" si="52"/>
        <v>2192188.39992418</v>
      </c>
      <c r="V46" s="185">
        <f t="shared" si="52"/>
        <v>2233491.0313600902</v>
      </c>
      <c r="W46" s="185">
        <f t="shared" si="52"/>
        <v>2275619.7154247193</v>
      </c>
      <c r="X46" s="185">
        <f t="shared" si="52"/>
        <v>2318590.9731706404</v>
      </c>
      <c r="Y46" s="185">
        <f t="shared" si="52"/>
        <v>2362421.6560714808</v>
      </c>
      <c r="Z46" s="185">
        <f t="shared" si="52"/>
        <v>2407128.9526303373</v>
      </c>
      <c r="AA46" s="185">
        <f t="shared" si="52"/>
        <v>2452730.3951203711</v>
      </c>
      <c r="AB46" s="185">
        <f t="shared" si="52"/>
        <v>2499243.8664602051</v>
      </c>
      <c r="AC46" s="185">
        <f t="shared" si="52"/>
        <v>2546687.607226836</v>
      </c>
      <c r="AD46" s="185">
        <f t="shared" si="52"/>
        <v>2595080.2228087997</v>
      </c>
      <c r="AE46" s="185">
        <f t="shared" si="52"/>
        <v>2644440.6907024025</v>
      </c>
      <c r="AF46" s="185">
        <f t="shared" si="52"/>
        <v>2694788.3679538784</v>
      </c>
      <c r="AG46" s="227" t="s">
        <v>164</v>
      </c>
      <c r="AH46" s="238" t="s">
        <v>164</v>
      </c>
      <c r="AI46" s="152"/>
    </row>
    <row r="47" spans="1:35" ht="15" customHeight="1" x14ac:dyDescent="0.25">
      <c r="A47" s="186" t="str">
        <f>CONCATENATE("Less: ",$A$4," Portion of FORA Remediation Bonds Debt Service")</f>
        <v>Less: Monterey County Portion of FORA Remediation Bonds Debt Service</v>
      </c>
      <c r="B47" s="186"/>
      <c r="C47" s="185">
        <v>0</v>
      </c>
      <c r="D47" s="281">
        <f>-'DS (Base Case)'!N55</f>
        <v>-536727.67714299669</v>
      </c>
      <c r="E47" s="280">
        <f>-'DS (Base Case)'!O55</f>
        <v>-537224.96694956592</v>
      </c>
      <c r="F47" s="280">
        <f>-'DS (Base Case)'!P55</f>
        <v>-537375.83161992638</v>
      </c>
      <c r="G47" s="280">
        <f>-'DS (Base Case)'!Q55</f>
        <v>-537311.36154762062</v>
      </c>
      <c r="H47" s="280">
        <f>-'DS (Base Case)'!R55</f>
        <v>-537001.51201217773</v>
      </c>
      <c r="I47" s="280">
        <f>-'DS (Base Case)'!S55</f>
        <v>-537783.48142166843</v>
      </c>
      <c r="J47" s="280">
        <f>-'DS (Base Case)'!T55</f>
        <v>-536515.36877553444</v>
      </c>
      <c r="K47" s="280">
        <f>-'DS (Base Case)'!U55</f>
        <v>-536049.71300386405</v>
      </c>
      <c r="L47" s="280">
        <f>-'DS (Base Case)'!V55</f>
        <v>-537836.93046653236</v>
      </c>
      <c r="M47" s="280">
        <f>-'DS (Base Case)'!W55</f>
        <v>-536639.41543437913</v>
      </c>
      <c r="N47" s="280">
        <f>-'DS (Base Case)'!X55</f>
        <v>-537677.46480044664</v>
      </c>
      <c r="O47" s="280">
        <f>-'DS (Base Case)'!Y55</f>
        <v>-536827.83600532869</v>
      </c>
      <c r="P47" s="280">
        <f>-'DS (Base Case)'!Z55</f>
        <v>-536810.34019104287</v>
      </c>
      <c r="Q47" s="280">
        <f>-'DS (Base Case)'!AA55</f>
        <v>-537549.43817774171</v>
      </c>
      <c r="R47" s="280">
        <f>-'DS (Base Case)'!AB55</f>
        <v>-537728.40299562679</v>
      </c>
      <c r="S47" s="280">
        <f>-'DS (Base Case)'!AC55</f>
        <v>-535979.72974672099</v>
      </c>
      <c r="T47" s="280">
        <f>-'DS (Base Case)'!AD55</f>
        <v>-536407.10841629747</v>
      </c>
      <c r="U47" s="280">
        <f>-'DS (Base Case)'!AE55</f>
        <v>-537558.359707469</v>
      </c>
      <c r="V47" s="280">
        <f>-'DS (Base Case)'!AF55</f>
        <v>-538105.67151619541</v>
      </c>
      <c r="W47" s="280">
        <f>-'DS (Base Case)'!AG55</f>
        <v>-536787.74254388898</v>
      </c>
      <c r="X47" s="280">
        <f>-'DS (Base Case)'!AH55</f>
        <v>-537685.77197333658</v>
      </c>
      <c r="Y47" s="280">
        <f>-'DS (Base Case)'!AI55</f>
        <v>-536648.71092044236</v>
      </c>
      <c r="Z47" s="280">
        <f>-'DS (Base Case)'!AJ55</f>
        <v>-537780.59661564883</v>
      </c>
      <c r="AA47" s="280">
        <f>-'DS (Base Case)'!AK55</f>
        <v>-536927.97616984381</v>
      </c>
      <c r="AB47" s="280">
        <f>-'DS (Base Case)'!AL55</f>
        <v>-536840.89776591759</v>
      </c>
      <c r="AC47" s="280">
        <f>-'DS (Base Case)'!AM55</f>
        <v>-537436.95745414251</v>
      </c>
      <c r="AD47" s="280">
        <f>-'DS (Base Case)'!AN55</f>
        <v>-537369.24464618147</v>
      </c>
      <c r="AE47" s="280">
        <f>-'DS (Base Case)'!AO55</f>
        <v>-537934.45293669635</v>
      </c>
      <c r="AF47" s="280">
        <f>-'DS (Base Case)'!AP55</f>
        <v>-536432.21691313502</v>
      </c>
      <c r="AG47" s="227" t="s">
        <v>147</v>
      </c>
      <c r="AH47" s="238" t="s">
        <v>147</v>
      </c>
      <c r="AI47" s="152"/>
    </row>
    <row r="48" spans="1:35" ht="15" customHeight="1" x14ac:dyDescent="0.25">
      <c r="A48" s="192" t="s">
        <v>166</v>
      </c>
      <c r="B48" s="187"/>
      <c r="C48" s="190">
        <f>SUM(C46:C47)</f>
        <v>851540.46527541592</v>
      </c>
      <c r="D48" s="217">
        <f t="shared" ref="D48:M48" si="53">SUM(D46:D47)</f>
        <v>460234.03571714845</v>
      </c>
      <c r="E48" s="225">
        <f t="shared" si="53"/>
        <v>623632.74945096939</v>
      </c>
      <c r="F48" s="225">
        <f t="shared" si="53"/>
        <v>789583.67513996677</v>
      </c>
      <c r="G48" s="225">
        <f t="shared" si="53"/>
        <v>943030.43045977678</v>
      </c>
      <c r="H48" s="225">
        <f t="shared" si="53"/>
        <v>1099790.2109476747</v>
      </c>
      <c r="I48" s="225">
        <f t="shared" si="53"/>
        <v>1217615.4977459763</v>
      </c>
      <c r="J48" s="225">
        <f t="shared" si="53"/>
        <v>1251450.4534128902</v>
      </c>
      <c r="K48" s="225">
        <f t="shared" si="53"/>
        <v>1285134.2890657559</v>
      </c>
      <c r="L48" s="225">
        <f t="shared" si="53"/>
        <v>1317229.6150819072</v>
      </c>
      <c r="M48" s="225">
        <f t="shared" si="53"/>
        <v>1352987.3244624559</v>
      </c>
      <c r="N48" s="225">
        <f t="shared" ref="N48" si="54">SUM(N46:N47)</f>
        <v>1387200.6733317524</v>
      </c>
      <c r="O48" s="225">
        <f t="shared" ref="O48" si="55">SUM(O46:O47)</f>
        <v>1424006.7283269414</v>
      </c>
      <c r="P48" s="225">
        <f t="shared" ref="P48" si="56">SUM(P46:P47)</f>
        <v>1460699.7788652997</v>
      </c>
      <c r="Q48" s="225">
        <f t="shared" ref="Q48" si="57">SUM(Q46:Q47)</f>
        <v>1497369.7466971544</v>
      </c>
      <c r="R48" s="225">
        <f t="shared" ref="R48" si="58">SUM(R46:R47)</f>
        <v>1535348.0290141944</v>
      </c>
      <c r="S48" s="225">
        <f t="shared" ref="S48" si="59">SUM(S46:S47)</f>
        <v>1576017.0943407237</v>
      </c>
      <c r="T48" s="225">
        <f t="shared" ref="T48" si="60">SUM(T46:T47)</f>
        <v>1615288.5155903231</v>
      </c>
      <c r="U48" s="225">
        <f t="shared" ref="U48" si="61">SUM(U46:U47)</f>
        <v>1654630.0402167109</v>
      </c>
      <c r="V48" s="225">
        <f t="shared" ref="V48" si="62">SUM(V46:V47)</f>
        <v>1695385.3598438948</v>
      </c>
      <c r="W48" s="225">
        <f t="shared" ref="W48" si="63">SUM(W46:W47)</f>
        <v>1738831.9728808303</v>
      </c>
      <c r="X48" s="225">
        <f t="shared" ref="X48" si="64">SUM(X46:X47)</f>
        <v>1780905.2011973038</v>
      </c>
      <c r="Y48" s="225">
        <f t="shared" ref="Y48" si="65">SUM(Y46:Y47)</f>
        <v>1825772.9451510385</v>
      </c>
      <c r="Z48" s="225">
        <f t="shared" ref="Z48" si="66">SUM(Z46:Z47)</f>
        <v>1869348.3560146885</v>
      </c>
      <c r="AA48" s="225">
        <f t="shared" ref="AA48" si="67">SUM(AA46:AA47)</f>
        <v>1915802.4189505274</v>
      </c>
      <c r="AB48" s="225">
        <f t="shared" ref="AB48" si="68">SUM(AB46:AB47)</f>
        <v>1962402.9686942874</v>
      </c>
      <c r="AC48" s="225">
        <f t="shared" ref="AC48" si="69">SUM(AC46:AC47)</f>
        <v>2009250.6497726934</v>
      </c>
      <c r="AD48" s="225">
        <f t="shared" ref="AD48" si="70">SUM(AD46:AD47)</f>
        <v>2057710.9781626184</v>
      </c>
      <c r="AE48" s="225">
        <f t="shared" ref="AE48" si="71">SUM(AE46:AE47)</f>
        <v>2106506.2377657061</v>
      </c>
      <c r="AF48" s="225">
        <f t="shared" ref="AF48" si="72">SUM(AF46:AF47)</f>
        <v>2158356.1510407431</v>
      </c>
      <c r="AG48" s="227" t="s">
        <v>184</v>
      </c>
      <c r="AH48" s="240" t="s">
        <v>196</v>
      </c>
      <c r="AI48" s="152"/>
    </row>
    <row r="49" spans="1:35" ht="8.1" customHeight="1" x14ac:dyDescent="0.25">
      <c r="A49" s="171"/>
      <c r="B49" s="172"/>
      <c r="C49" s="136"/>
      <c r="D49" s="205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227"/>
      <c r="AH49" s="238"/>
      <c r="AI49" s="152"/>
    </row>
    <row r="50" spans="1:35" ht="15" customHeight="1" x14ac:dyDescent="0.25">
      <c r="A50" s="198" t="s">
        <v>168</v>
      </c>
      <c r="B50" s="199"/>
      <c r="C50" s="135"/>
      <c r="D50" s="218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227"/>
      <c r="AH50" s="238"/>
      <c r="AI50" s="152"/>
    </row>
    <row r="51" spans="1:35" ht="15" customHeight="1" x14ac:dyDescent="0.25">
      <c r="A51" s="200" t="s">
        <v>161</v>
      </c>
      <c r="B51" s="201">
        <v>0.38</v>
      </c>
      <c r="C51" s="135">
        <v>0</v>
      </c>
      <c r="D51" s="218">
        <v>0</v>
      </c>
      <c r="E51" s="135">
        <f t="shared" ref="E51:L51" si="73">E48*$B$51</f>
        <v>236980.44479136838</v>
      </c>
      <c r="F51" s="135">
        <f t="shared" si="73"/>
        <v>300041.79655318736</v>
      </c>
      <c r="G51" s="135">
        <f t="shared" si="73"/>
        <v>358351.56357471517</v>
      </c>
      <c r="H51" s="135">
        <f t="shared" si="73"/>
        <v>417920.28016011638</v>
      </c>
      <c r="I51" s="135">
        <f t="shared" si="73"/>
        <v>462693.88914347102</v>
      </c>
      <c r="J51" s="135">
        <f t="shared" si="73"/>
        <v>475551.17229689826</v>
      </c>
      <c r="K51" s="135">
        <f t="shared" si="73"/>
        <v>488351.02984498726</v>
      </c>
      <c r="L51" s="135">
        <f t="shared" si="73"/>
        <v>500547.25373112474</v>
      </c>
      <c r="M51" s="135">
        <f>M48*$B$51</f>
        <v>514135.18329573324</v>
      </c>
      <c r="N51" s="135">
        <f t="shared" ref="N51:AF51" si="74">N48*$B$51</f>
        <v>527136.25586606597</v>
      </c>
      <c r="O51" s="135">
        <f t="shared" si="74"/>
        <v>541122.5567642377</v>
      </c>
      <c r="P51" s="135">
        <f t="shared" si="74"/>
        <v>555065.91596881382</v>
      </c>
      <c r="Q51" s="135">
        <f t="shared" si="74"/>
        <v>569000.50374491862</v>
      </c>
      <c r="R51" s="135">
        <f t="shared" si="74"/>
        <v>583432.25102539384</v>
      </c>
      <c r="S51" s="135">
        <f t="shared" si="74"/>
        <v>598886.49584947503</v>
      </c>
      <c r="T51" s="135">
        <f t="shared" si="74"/>
        <v>613809.63592432276</v>
      </c>
      <c r="U51" s="135">
        <f t="shared" si="74"/>
        <v>628759.41528235015</v>
      </c>
      <c r="V51" s="135">
        <f t="shared" si="74"/>
        <v>644246.43674068002</v>
      </c>
      <c r="W51" s="135">
        <f t="shared" si="74"/>
        <v>660756.14969471551</v>
      </c>
      <c r="X51" s="135">
        <f t="shared" si="74"/>
        <v>676743.97645497543</v>
      </c>
      <c r="Y51" s="135">
        <f t="shared" si="74"/>
        <v>693793.7191573946</v>
      </c>
      <c r="Z51" s="135">
        <f t="shared" si="74"/>
        <v>710352.37528558169</v>
      </c>
      <c r="AA51" s="135">
        <f t="shared" si="74"/>
        <v>728004.91920120048</v>
      </c>
      <c r="AB51" s="135">
        <f t="shared" si="74"/>
        <v>745713.12810382922</v>
      </c>
      <c r="AC51" s="135">
        <f t="shared" si="74"/>
        <v>763515.24691362353</v>
      </c>
      <c r="AD51" s="135">
        <f t="shared" si="74"/>
        <v>781930.17170179496</v>
      </c>
      <c r="AE51" s="135">
        <f t="shared" si="74"/>
        <v>800472.37035096833</v>
      </c>
      <c r="AF51" s="135">
        <f t="shared" si="74"/>
        <v>820175.33739548235</v>
      </c>
      <c r="AG51" s="234" t="s">
        <v>149</v>
      </c>
      <c r="AH51" s="244" t="s">
        <v>172</v>
      </c>
      <c r="AI51" s="124"/>
    </row>
    <row r="52" spans="1:35" ht="15" customHeight="1" x14ac:dyDescent="0.25">
      <c r="A52" s="200" t="s">
        <v>162</v>
      </c>
      <c r="B52" s="202">
        <v>0.08</v>
      </c>
      <c r="C52" s="135">
        <v>0</v>
      </c>
      <c r="D52" s="218">
        <v>0</v>
      </c>
      <c r="E52" s="135">
        <f t="shared" ref="E52:L52" si="75">E48*$B$52</f>
        <v>49890.619956077549</v>
      </c>
      <c r="F52" s="135">
        <f t="shared" si="75"/>
        <v>63166.694011197345</v>
      </c>
      <c r="G52" s="135">
        <f t="shared" si="75"/>
        <v>75442.434436782147</v>
      </c>
      <c r="H52" s="135">
        <f t="shared" si="75"/>
        <v>87983.216875813974</v>
      </c>
      <c r="I52" s="135">
        <f t="shared" si="75"/>
        <v>97409.239819678114</v>
      </c>
      <c r="J52" s="135">
        <f t="shared" si="75"/>
        <v>100116.03627303122</v>
      </c>
      <c r="K52" s="135">
        <f t="shared" si="75"/>
        <v>102810.74312526047</v>
      </c>
      <c r="L52" s="135">
        <f t="shared" si="75"/>
        <v>105378.36920655258</v>
      </c>
      <c r="M52" s="135">
        <f>M48*$B$52</f>
        <v>108238.98595699648</v>
      </c>
      <c r="N52" s="135">
        <f t="shared" ref="N52:AF52" si="76">N48*$B$52</f>
        <v>110976.0538665402</v>
      </c>
      <c r="O52" s="135">
        <f t="shared" si="76"/>
        <v>113920.53826615532</v>
      </c>
      <c r="P52" s="135">
        <f t="shared" si="76"/>
        <v>116855.98230922397</v>
      </c>
      <c r="Q52" s="135">
        <f t="shared" si="76"/>
        <v>119789.57973577235</v>
      </c>
      <c r="R52" s="135">
        <f t="shared" si="76"/>
        <v>122827.84232113555</v>
      </c>
      <c r="S52" s="135">
        <f t="shared" si="76"/>
        <v>126081.36754725791</v>
      </c>
      <c r="T52" s="135">
        <f t="shared" si="76"/>
        <v>129223.08124722585</v>
      </c>
      <c r="U52" s="135">
        <f t="shared" si="76"/>
        <v>132370.40321733686</v>
      </c>
      <c r="V52" s="135">
        <f t="shared" si="76"/>
        <v>135630.82878751159</v>
      </c>
      <c r="W52" s="135">
        <f t="shared" si="76"/>
        <v>139106.55783046642</v>
      </c>
      <c r="X52" s="135">
        <f t="shared" si="76"/>
        <v>142472.41609578431</v>
      </c>
      <c r="Y52" s="135">
        <f t="shared" si="76"/>
        <v>146061.83561208309</v>
      </c>
      <c r="Z52" s="135">
        <f t="shared" si="76"/>
        <v>149547.86848117507</v>
      </c>
      <c r="AA52" s="135">
        <f t="shared" si="76"/>
        <v>153264.1935160422</v>
      </c>
      <c r="AB52" s="135">
        <f t="shared" si="76"/>
        <v>156992.237495543</v>
      </c>
      <c r="AC52" s="135">
        <f t="shared" si="76"/>
        <v>160740.05198181549</v>
      </c>
      <c r="AD52" s="135">
        <f t="shared" si="76"/>
        <v>164616.87825300946</v>
      </c>
      <c r="AE52" s="135">
        <f t="shared" si="76"/>
        <v>168520.49902125649</v>
      </c>
      <c r="AF52" s="135">
        <f t="shared" si="76"/>
        <v>172668.49208325945</v>
      </c>
      <c r="AG52" s="233"/>
      <c r="AH52" s="243" t="s">
        <v>173</v>
      </c>
      <c r="AI52" s="152"/>
    </row>
    <row r="53" spans="1:35" ht="15" customHeight="1" x14ac:dyDescent="0.25">
      <c r="A53" s="200" t="s">
        <v>163</v>
      </c>
      <c r="B53" s="203">
        <v>0.54</v>
      </c>
      <c r="C53" s="135">
        <v>0</v>
      </c>
      <c r="D53" s="218">
        <v>0</v>
      </c>
      <c r="E53" s="135">
        <f t="shared" ref="E53:L53" si="77">$B$53*E48</f>
        <v>336761.68470352347</v>
      </c>
      <c r="F53" s="135">
        <f t="shared" si="77"/>
        <v>426375.1845755821</v>
      </c>
      <c r="G53" s="135">
        <f t="shared" si="77"/>
        <v>509236.43244827952</v>
      </c>
      <c r="H53" s="135">
        <f t="shared" si="77"/>
        <v>593886.71391174442</v>
      </c>
      <c r="I53" s="135">
        <f t="shared" si="77"/>
        <v>657512.36878282728</v>
      </c>
      <c r="J53" s="135">
        <f t="shared" si="77"/>
        <v>675783.24484296073</v>
      </c>
      <c r="K53" s="135">
        <f t="shared" si="77"/>
        <v>693972.51609550824</v>
      </c>
      <c r="L53" s="135">
        <f t="shared" si="77"/>
        <v>711303.99214422994</v>
      </c>
      <c r="M53" s="135">
        <f>$B$53*M48</f>
        <v>730613.1552097263</v>
      </c>
      <c r="N53" s="135">
        <f t="shared" ref="N53:AF53" si="78">$B$53*N48</f>
        <v>749088.36359914637</v>
      </c>
      <c r="O53" s="135">
        <f t="shared" si="78"/>
        <v>768963.63329654839</v>
      </c>
      <c r="P53" s="135">
        <f t="shared" si="78"/>
        <v>788777.88058726187</v>
      </c>
      <c r="Q53" s="135">
        <f t="shared" si="78"/>
        <v>808579.66321646341</v>
      </c>
      <c r="R53" s="135">
        <f t="shared" si="78"/>
        <v>829087.93566766498</v>
      </c>
      <c r="S53" s="135">
        <f t="shared" si="78"/>
        <v>851049.23094399087</v>
      </c>
      <c r="T53" s="135">
        <f t="shared" si="78"/>
        <v>872255.7984187745</v>
      </c>
      <c r="U53" s="135">
        <f t="shared" si="78"/>
        <v>893500.22171702399</v>
      </c>
      <c r="V53" s="135">
        <f t="shared" si="78"/>
        <v>915508.09431570326</v>
      </c>
      <c r="W53" s="135">
        <f t="shared" si="78"/>
        <v>938969.26535564847</v>
      </c>
      <c r="X53" s="135">
        <f t="shared" si="78"/>
        <v>961688.80864654412</v>
      </c>
      <c r="Y53" s="135">
        <f t="shared" si="78"/>
        <v>985917.39038156089</v>
      </c>
      <c r="Z53" s="135">
        <f t="shared" si="78"/>
        <v>1009448.1122479319</v>
      </c>
      <c r="AA53" s="135">
        <f t="shared" si="78"/>
        <v>1034533.3062332849</v>
      </c>
      <c r="AB53" s="135">
        <f t="shared" si="78"/>
        <v>1059697.6030949152</v>
      </c>
      <c r="AC53" s="135">
        <f t="shared" si="78"/>
        <v>1084995.3508772545</v>
      </c>
      <c r="AD53" s="135">
        <f t="shared" si="78"/>
        <v>1111163.928207814</v>
      </c>
      <c r="AE53" s="135">
        <f t="shared" si="78"/>
        <v>1137513.3683934815</v>
      </c>
      <c r="AF53" s="135">
        <f t="shared" si="78"/>
        <v>1165512.3215620012</v>
      </c>
      <c r="AG53" s="227" t="s">
        <v>185</v>
      </c>
      <c r="AH53" s="240" t="s">
        <v>188</v>
      </c>
      <c r="AI53" s="152"/>
    </row>
    <row r="54" spans="1:35" ht="15" customHeight="1" x14ac:dyDescent="0.25">
      <c r="A54" s="220" t="s">
        <v>160</v>
      </c>
      <c r="B54" s="221">
        <f>SUM(B51:B53)</f>
        <v>1</v>
      </c>
      <c r="C54" s="222">
        <f>SUM(C51:C53)</f>
        <v>0</v>
      </c>
      <c r="D54" s="223">
        <f t="shared" ref="D54:L54" si="79">SUM(D51:D53)</f>
        <v>0</v>
      </c>
      <c r="E54" s="222">
        <f t="shared" si="79"/>
        <v>623632.74945096939</v>
      </c>
      <c r="F54" s="222">
        <f t="shared" si="79"/>
        <v>789583.67513996689</v>
      </c>
      <c r="G54" s="222">
        <f t="shared" si="79"/>
        <v>943030.43045977689</v>
      </c>
      <c r="H54" s="222">
        <f t="shared" si="79"/>
        <v>1099790.2109476747</v>
      </c>
      <c r="I54" s="222">
        <f t="shared" si="79"/>
        <v>1217615.4977459763</v>
      </c>
      <c r="J54" s="222">
        <f t="shared" si="79"/>
        <v>1251450.4534128902</v>
      </c>
      <c r="K54" s="222">
        <f t="shared" si="79"/>
        <v>1285134.2890657559</v>
      </c>
      <c r="L54" s="222">
        <f t="shared" si="79"/>
        <v>1317229.6150819072</v>
      </c>
      <c r="M54" s="222">
        <f>SUM(M51:M53)</f>
        <v>1352987.3244624562</v>
      </c>
      <c r="N54" s="222">
        <f t="shared" ref="N54:AF54" si="80">SUM(N51:N53)</f>
        <v>1387200.6733317524</v>
      </c>
      <c r="O54" s="222">
        <f t="shared" si="80"/>
        <v>1424006.7283269414</v>
      </c>
      <c r="P54" s="222">
        <f t="shared" si="80"/>
        <v>1460699.7788652997</v>
      </c>
      <c r="Q54" s="222">
        <f t="shared" si="80"/>
        <v>1497369.7466971544</v>
      </c>
      <c r="R54" s="222">
        <f t="shared" si="80"/>
        <v>1535348.0290141944</v>
      </c>
      <c r="S54" s="222">
        <f t="shared" si="80"/>
        <v>1576017.0943407239</v>
      </c>
      <c r="T54" s="222">
        <f t="shared" si="80"/>
        <v>1615288.5155903231</v>
      </c>
      <c r="U54" s="222">
        <f t="shared" si="80"/>
        <v>1654630.0402167109</v>
      </c>
      <c r="V54" s="222">
        <f t="shared" si="80"/>
        <v>1695385.3598438948</v>
      </c>
      <c r="W54" s="222">
        <f t="shared" si="80"/>
        <v>1738831.9728808305</v>
      </c>
      <c r="X54" s="222">
        <f t="shared" si="80"/>
        <v>1780905.2011973038</v>
      </c>
      <c r="Y54" s="222">
        <f t="shared" si="80"/>
        <v>1825772.9451510385</v>
      </c>
      <c r="Z54" s="222">
        <f t="shared" si="80"/>
        <v>1869348.3560146885</v>
      </c>
      <c r="AA54" s="222">
        <f t="shared" si="80"/>
        <v>1915802.4189505274</v>
      </c>
      <c r="AB54" s="222">
        <f t="shared" si="80"/>
        <v>1962402.9686942874</v>
      </c>
      <c r="AC54" s="222">
        <f t="shared" si="80"/>
        <v>2009250.6497726934</v>
      </c>
      <c r="AD54" s="222">
        <f t="shared" si="80"/>
        <v>2057710.9781626184</v>
      </c>
      <c r="AE54" s="222">
        <f t="shared" si="80"/>
        <v>2106506.2377657061</v>
      </c>
      <c r="AF54" s="222">
        <f t="shared" si="80"/>
        <v>2158356.1510407431</v>
      </c>
      <c r="AG54" s="227"/>
      <c r="AH54" s="238"/>
      <c r="AI54" s="152"/>
    </row>
    <row r="55" spans="1:35" ht="8.1" customHeight="1" x14ac:dyDescent="0.25">
      <c r="A55" s="140"/>
      <c r="B55" s="101"/>
      <c r="C55" s="136"/>
      <c r="D55" s="205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227"/>
      <c r="AH55" s="238"/>
      <c r="AI55" s="152"/>
    </row>
    <row r="56" spans="1:35" ht="15" customHeight="1" x14ac:dyDescent="0.25">
      <c r="A56" s="150" t="str">
        <f>CONCATENATE("Increase in ",A4," General Fund Revenues")</f>
        <v>Increase in Monterey County General Fund Revenues</v>
      </c>
      <c r="B56" s="251" t="s">
        <v>287</v>
      </c>
      <c r="C56" s="136"/>
      <c r="D56" s="205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227"/>
      <c r="AH56" s="238"/>
      <c r="AI56" s="152"/>
    </row>
    <row r="57" spans="1:35" ht="30" customHeight="1" x14ac:dyDescent="0.25">
      <c r="A57" s="178" t="s">
        <v>199</v>
      </c>
      <c r="B57" s="278">
        <f>Scenarios!E7</f>
        <v>0.2</v>
      </c>
      <c r="C57" s="177">
        <v>0</v>
      </c>
      <c r="D57" s="224">
        <v>0</v>
      </c>
      <c r="E57" s="177">
        <v>0</v>
      </c>
      <c r="F57" s="177">
        <v>0</v>
      </c>
      <c r="G57" s="177">
        <v>0</v>
      </c>
      <c r="H57" s="177">
        <v>0</v>
      </c>
      <c r="I57" s="177">
        <v>0</v>
      </c>
      <c r="J57" s="177">
        <v>0</v>
      </c>
      <c r="K57" s="177">
        <v>0</v>
      </c>
      <c r="L57" s="177">
        <v>0</v>
      </c>
      <c r="M57" s="177">
        <v>0</v>
      </c>
      <c r="N57" s="177">
        <f>N53*$B$57</f>
        <v>149817.67271982928</v>
      </c>
      <c r="O57" s="177">
        <f t="shared" ref="O57:AF57" si="81">O53*$B$57</f>
        <v>153792.72665930967</v>
      </c>
      <c r="P57" s="177">
        <f t="shared" si="81"/>
        <v>157755.57611745238</v>
      </c>
      <c r="Q57" s="177">
        <f t="shared" si="81"/>
        <v>161715.9326432927</v>
      </c>
      <c r="R57" s="177">
        <f t="shared" si="81"/>
        <v>165817.587133533</v>
      </c>
      <c r="S57" s="177">
        <f t="shared" si="81"/>
        <v>170209.8461887982</v>
      </c>
      <c r="T57" s="177">
        <f t="shared" si="81"/>
        <v>174451.1596837549</v>
      </c>
      <c r="U57" s="177">
        <f t="shared" si="81"/>
        <v>178700.04434340482</v>
      </c>
      <c r="V57" s="177">
        <f t="shared" si="81"/>
        <v>183101.61886314067</v>
      </c>
      <c r="W57" s="177">
        <f t="shared" si="81"/>
        <v>187793.85307112971</v>
      </c>
      <c r="X57" s="177">
        <f t="shared" si="81"/>
        <v>192337.76172930884</v>
      </c>
      <c r="Y57" s="177">
        <f t="shared" si="81"/>
        <v>197183.4780763122</v>
      </c>
      <c r="Z57" s="177">
        <f t="shared" si="81"/>
        <v>201889.6224495864</v>
      </c>
      <c r="AA57" s="177">
        <f t="shared" si="81"/>
        <v>206906.66124665699</v>
      </c>
      <c r="AB57" s="177">
        <f t="shared" si="81"/>
        <v>211939.52061898305</v>
      </c>
      <c r="AC57" s="177">
        <f t="shared" si="81"/>
        <v>216999.07017545091</v>
      </c>
      <c r="AD57" s="177">
        <f t="shared" si="81"/>
        <v>222232.7856415628</v>
      </c>
      <c r="AE57" s="177">
        <f t="shared" si="81"/>
        <v>227502.6736786963</v>
      </c>
      <c r="AF57" s="177">
        <f t="shared" si="81"/>
        <v>233102.46431240026</v>
      </c>
      <c r="AG57" s="235" t="s">
        <v>186</v>
      </c>
      <c r="AH57" s="245" t="s">
        <v>187</v>
      </c>
      <c r="AI57" s="152"/>
    </row>
    <row r="58" spans="1:35" ht="15" hidden="1" customHeight="1" x14ac:dyDescent="0.25">
      <c r="A58" s="151" t="str">
        <f>CONCATENATE("Add Back In: 10% of Incremental FORA Share sent to ",A4)</f>
        <v>Add Back In: 10% of Incremental FORA Share sent to Monterey County</v>
      </c>
      <c r="B58" s="142"/>
      <c r="C58" s="145" t="e">
        <f>-#REF!</f>
        <v>#REF!</v>
      </c>
      <c r="D58" s="211" t="e">
        <f>-#REF!</f>
        <v>#REF!</v>
      </c>
      <c r="E58" s="145" t="e">
        <f>-#REF!</f>
        <v>#REF!</v>
      </c>
      <c r="F58" s="145" t="e">
        <f>-#REF!</f>
        <v>#REF!</v>
      </c>
      <c r="G58" s="145" t="e">
        <f>-#REF!</f>
        <v>#REF!</v>
      </c>
      <c r="H58" s="145" t="e">
        <f>-#REF!</f>
        <v>#REF!</v>
      </c>
      <c r="I58" s="145" t="e">
        <f>-#REF!</f>
        <v>#REF!</v>
      </c>
      <c r="J58" s="145" t="e">
        <f>-#REF!</f>
        <v>#REF!</v>
      </c>
      <c r="K58" s="145" t="e">
        <f>-#REF!</f>
        <v>#REF!</v>
      </c>
      <c r="L58" s="145" t="e">
        <f>-#REF!</f>
        <v>#REF!</v>
      </c>
      <c r="M58" s="145" t="e">
        <f>-#REF!</f>
        <v>#REF!</v>
      </c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227" t="s">
        <v>148</v>
      </c>
      <c r="AH58" s="238"/>
      <c r="AI58" s="26"/>
    </row>
    <row r="59" spans="1:35" ht="15" customHeight="1" x14ac:dyDescent="0.25">
      <c r="A59" s="151"/>
      <c r="B59" s="142"/>
      <c r="C59" s="145"/>
      <c r="D59" s="211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227"/>
      <c r="AH59" s="238"/>
      <c r="AI59" s="26"/>
    </row>
    <row r="60" spans="1:35" ht="15" customHeight="1" x14ac:dyDescent="0.25">
      <c r="A60" s="267" t="s">
        <v>211</v>
      </c>
      <c r="B60" s="142"/>
      <c r="C60" s="145"/>
      <c r="D60" s="211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227"/>
      <c r="AH60" s="238"/>
      <c r="AI60" s="26"/>
    </row>
    <row r="61" spans="1:35" ht="15" customHeight="1" x14ac:dyDescent="0.25">
      <c r="A61" s="268" t="s">
        <v>104</v>
      </c>
      <c r="B61" s="269"/>
      <c r="C61" s="270">
        <f>'1 - Marina'!C53</f>
        <v>0</v>
      </c>
      <c r="D61" s="272">
        <f>'1 - Marina'!D53</f>
        <v>0</v>
      </c>
      <c r="E61" s="270">
        <f>'1 - Marina'!E53</f>
        <v>355835.23294350121</v>
      </c>
      <c r="F61" s="270">
        <f>'1 - Marina'!F53</f>
        <v>545489.01684405212</v>
      </c>
      <c r="G61" s="270">
        <f>'1 - Marina'!G53</f>
        <v>687752.2314482634</v>
      </c>
      <c r="H61" s="270">
        <f>'1 - Marina'!H53</f>
        <v>829051.93462938757</v>
      </c>
      <c r="I61" s="270">
        <f>'1 - Marina'!I53</f>
        <v>972553.89892033418</v>
      </c>
      <c r="J61" s="270">
        <f>'1 - Marina'!J53</f>
        <v>1120099.3449727998</v>
      </c>
      <c r="K61" s="270">
        <f>'1 - Marina'!K53</f>
        <v>1212714.1487584976</v>
      </c>
      <c r="L61" s="270">
        <f>'1 - Marina'!L53</f>
        <v>1269771.2404641756</v>
      </c>
      <c r="M61" s="270">
        <f>'1 - Marina'!M53</f>
        <v>1301102.8814089349</v>
      </c>
      <c r="N61" s="270">
        <f>'1 - Marina'!N53</f>
        <v>1331777.6275556139</v>
      </c>
      <c r="O61" s="270">
        <f>'1 - Marina'!O53</f>
        <v>1361376.9238148297</v>
      </c>
      <c r="P61" s="270">
        <f>'1 - Marina'!P53</f>
        <v>1391085.8563588865</v>
      </c>
      <c r="Q61" s="270">
        <f>'1 - Marina'!Q53</f>
        <v>1420958.9822272835</v>
      </c>
      <c r="R61" s="270">
        <f>'1 - Marina'!R53</f>
        <v>1451756.1537706084</v>
      </c>
      <c r="S61" s="270">
        <f>'1 - Marina'!S53</f>
        <v>1484266.3055648</v>
      </c>
      <c r="T61" s="270">
        <f>'1 - Marina'!T53</f>
        <v>1516170.6773543875</v>
      </c>
      <c r="U61" s="270">
        <f>'1 - Marina'!U53</f>
        <v>1548306.7929277662</v>
      </c>
      <c r="V61" s="270">
        <f>'1 - Marina'!V53</f>
        <v>1581441.7808574138</v>
      </c>
      <c r="W61" s="270">
        <f>'1 - Marina'!W53</f>
        <v>1616305.2451269727</v>
      </c>
      <c r="X61" s="270">
        <f>'1 - Marina'!X53</f>
        <v>1650592.2203068037</v>
      </c>
      <c r="Y61" s="270">
        <f>'1 - Marina'!Y53</f>
        <v>1686674.3745473912</v>
      </c>
      <c r="Z61" s="270">
        <f>'1 - Marina'!Z53</f>
        <v>1722234.3096476905</v>
      </c>
      <c r="AA61" s="270">
        <f>'1 - Marina'!AA53</f>
        <v>1759645.610659495</v>
      </c>
      <c r="AB61" s="270">
        <f>'1 - Marina'!AB53</f>
        <v>1797360.5813489768</v>
      </c>
      <c r="AC61" s="270">
        <f>'1 - Marina'!AC53</f>
        <v>1835440.8024415679</v>
      </c>
      <c r="AD61" s="270">
        <f>'1 - Marina'!AD53</f>
        <v>1874666.4588344304</v>
      </c>
      <c r="AE61" s="270">
        <f>'1 - Marina'!AE53</f>
        <v>1914316.3253507707</v>
      </c>
      <c r="AF61" s="270">
        <f>'1 - Marina'!AF53</f>
        <v>1955940.0317403176</v>
      </c>
      <c r="AG61" s="227" t="s">
        <v>205</v>
      </c>
      <c r="AH61" s="238"/>
      <c r="AI61" s="26"/>
    </row>
    <row r="62" spans="1:35" ht="15" customHeight="1" x14ac:dyDescent="0.25">
      <c r="A62" s="268" t="s">
        <v>105</v>
      </c>
      <c r="B62" s="269"/>
      <c r="C62" s="270">
        <f>'1 - Seaside'!C53</f>
        <v>0</v>
      </c>
      <c r="D62" s="272">
        <f>'1 - Seaside'!D53</f>
        <v>0</v>
      </c>
      <c r="E62" s="270">
        <f>'1 - Seaside'!E53</f>
        <v>239966.35385034501</v>
      </c>
      <c r="F62" s="270">
        <f>'1 - Seaside'!F53</f>
        <v>376673.25534068211</v>
      </c>
      <c r="G62" s="270">
        <f>'1 - Seaside'!G53</f>
        <v>477485.32195329125</v>
      </c>
      <c r="H62" s="270">
        <f>'1 - Seaside'!H53</f>
        <v>584828.27353762311</v>
      </c>
      <c r="I62" s="270">
        <f>'1 - Seaside'!I53</f>
        <v>653661.36809660436</v>
      </c>
      <c r="J62" s="270">
        <f>'1 - Seaside'!J53</f>
        <v>702326.24984637194</v>
      </c>
      <c r="K62" s="270">
        <f>'1 - Seaside'!K53</f>
        <v>760872.6666781127</v>
      </c>
      <c r="L62" s="270">
        <f>'1 - Seaside'!L53</f>
        <v>826260.23131604539</v>
      </c>
      <c r="M62" s="270">
        <f>'1 - Seaside'!M53</f>
        <v>945256.37343801779</v>
      </c>
      <c r="N62" s="270">
        <f>'1 - Seaside'!N53</f>
        <v>1065570.2153595125</v>
      </c>
      <c r="O62" s="270">
        <f>'1 - Seaside'!O53</f>
        <v>1089440.0795765226</v>
      </c>
      <c r="P62" s="270">
        <f>'1 - Seaside'!P53</f>
        <v>1113388.1576898887</v>
      </c>
      <c r="Q62" s="270">
        <f>'1 - Seaside'!Q53</f>
        <v>1137459.3496876645</v>
      </c>
      <c r="R62" s="270">
        <f>'1 - Seaside'!R53</f>
        <v>1162282.2395349303</v>
      </c>
      <c r="S62" s="270">
        <f>'1 - Seaside'!S53</f>
        <v>1188509.4739855656</v>
      </c>
      <c r="T62" s="270">
        <f>'1 - Seaside'!T53</f>
        <v>1214221.8254498956</v>
      </c>
      <c r="U62" s="270">
        <f>'1 - Seaside'!U53</f>
        <v>1240112.1416658349</v>
      </c>
      <c r="V62" s="270">
        <f>'1 - Seaside'!V53</f>
        <v>1266815.007209142</v>
      </c>
      <c r="W62" s="270">
        <f>'1 - Seaside'!W53</f>
        <v>1294933.9464907811</v>
      </c>
      <c r="X62" s="270">
        <f>'1 - Seaside'!X53</f>
        <v>1322561.126353883</v>
      </c>
      <c r="Y62" s="270">
        <f>'1 - Seaside'!Y53</f>
        <v>1351659.0008900424</v>
      </c>
      <c r="Z62" s="270">
        <f>'1 - Seaside'!Z53</f>
        <v>1380309.4361978823</v>
      </c>
      <c r="AA62" s="270">
        <f>'1 - Seaside'!AA53</f>
        <v>1410476.4609083068</v>
      </c>
      <c r="AB62" s="270">
        <f>'1 - Seaside'!AB53</f>
        <v>1440878.9197393656</v>
      </c>
      <c r="AC62" s="270">
        <f>'1 - Seaside'!AC53</f>
        <v>1471567.4581855792</v>
      </c>
      <c r="AD62" s="270">
        <f>'1 - Seaside'!AD53</f>
        <v>1503187.4185351753</v>
      </c>
      <c r="AE62" s="270">
        <f>'1 - Seaside'!AE53</f>
        <v>1535141.5981783567</v>
      </c>
      <c r="AF62" s="270">
        <f>'1 - Seaside'!AF53</f>
        <v>1568712.1042430836</v>
      </c>
      <c r="AG62" s="227" t="s">
        <v>206</v>
      </c>
      <c r="AH62" s="238"/>
      <c r="AI62" s="26"/>
    </row>
    <row r="63" spans="1:35" ht="15" customHeight="1" x14ac:dyDescent="0.25">
      <c r="A63" s="268" t="s">
        <v>76</v>
      </c>
      <c r="B63" s="269"/>
      <c r="C63" s="270">
        <f>'1 - DRO'!C46</f>
        <v>0</v>
      </c>
      <c r="D63" s="272">
        <f>'1 - DRO'!D46</f>
        <v>0</v>
      </c>
      <c r="E63" s="270">
        <f>'1 - DRO'!E46</f>
        <v>73145.837506111304</v>
      </c>
      <c r="F63" s="270">
        <f>'1 - DRO'!F46</f>
        <v>97672.451371121613</v>
      </c>
      <c r="G63" s="270">
        <f>'1 - DRO'!G46</f>
        <v>122690.55930627797</v>
      </c>
      <c r="H63" s="270">
        <f>'1 - DRO'!H46</f>
        <v>148210.10456334308</v>
      </c>
      <c r="I63" s="270">
        <f>'1 - DRO'!I46</f>
        <v>238363.33966209018</v>
      </c>
      <c r="J63" s="270">
        <f>'1 - DRO'!J46</f>
        <v>289217.63753366808</v>
      </c>
      <c r="K63" s="270">
        <f>'1 - DRO'!K46</f>
        <v>341085.37500091858</v>
      </c>
      <c r="L63" s="270">
        <f>'1 - DRO'!L46</f>
        <v>390144.33036982192</v>
      </c>
      <c r="M63" s="270">
        <f>'1 - DRO'!M46</f>
        <v>425157.75659386825</v>
      </c>
      <c r="N63" s="270">
        <f>'1 - DRO'!N46</f>
        <v>432913.99247073982</v>
      </c>
      <c r="O63" s="270">
        <f>'1 - DRO'!O46</f>
        <v>440833.75932117749</v>
      </c>
      <c r="P63" s="270">
        <f>'1 - DRO'!P46</f>
        <v>448908.18129671528</v>
      </c>
      <c r="Q63" s="270">
        <f>'1 - DRO'!Q46</f>
        <v>457140.757540647</v>
      </c>
      <c r="R63" s="270">
        <f>'1 - DRO'!R46</f>
        <v>465540.51768455014</v>
      </c>
      <c r="S63" s="270">
        <f>'1 - DRO'!S46</f>
        <v>474116.77962040139</v>
      </c>
      <c r="T63" s="270">
        <f>'1 - DRO'!T46</f>
        <v>482854.82771291729</v>
      </c>
      <c r="U63" s="270">
        <f>'1 - DRO'!U46</f>
        <v>491764.48591727938</v>
      </c>
      <c r="V63" s="270">
        <f>'1 - DRO'!V46</f>
        <v>500855.0989269272</v>
      </c>
      <c r="W63" s="270">
        <f>'1 - DRO'!W46</f>
        <v>510135.78838922962</v>
      </c>
      <c r="X63" s="270">
        <f>'1 - DRO'!X46</f>
        <v>519592.21472609817</v>
      </c>
      <c r="Y63" s="270">
        <f>'1 - DRO'!Y46</f>
        <v>529246.37235146994</v>
      </c>
      <c r="Z63" s="270">
        <f>'1 - DRO'!Z46</f>
        <v>539083.96803392854</v>
      </c>
      <c r="AA63" s="270">
        <f>'1 - DRO'!AA46</f>
        <v>549127.1566586562</v>
      </c>
      <c r="AB63" s="270">
        <f>'1 - DRO'!AB46</f>
        <v>559367.76189890446</v>
      </c>
      <c r="AC63" s="270">
        <f>'1 - DRO'!AC46</f>
        <v>569810.16249921231</v>
      </c>
      <c r="AD63" s="270">
        <f>'1 - DRO'!AD46</f>
        <v>580464.38739408669</v>
      </c>
      <c r="AE63" s="270">
        <f>'1 - DRO'!AE46</f>
        <v>591328.9029429846</v>
      </c>
      <c r="AF63" s="270">
        <f>'1 - DRO'!AF46</f>
        <v>602419.86523415393</v>
      </c>
      <c r="AG63" s="227" t="s">
        <v>207</v>
      </c>
      <c r="AH63" s="238"/>
      <c r="AI63" s="26"/>
    </row>
    <row r="64" spans="1:35" ht="15" customHeight="1" x14ac:dyDescent="0.25">
      <c r="A64" s="271"/>
      <c r="B64" s="277" t="s">
        <v>198</v>
      </c>
      <c r="C64" s="270"/>
      <c r="D64" s="272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27"/>
      <c r="AH64" s="238"/>
      <c r="AI64" s="26"/>
    </row>
    <row r="65" spans="1:35" ht="15" customHeight="1" x14ac:dyDescent="0.25">
      <c r="A65" s="268" t="s">
        <v>78</v>
      </c>
      <c r="B65" s="273">
        <v>0.12</v>
      </c>
      <c r="C65" s="274">
        <v>0</v>
      </c>
      <c r="D65" s="272">
        <v>0</v>
      </c>
      <c r="E65" s="270">
        <f>$B$65*'1 - Marina'!E55</f>
        <v>60679.27130194442</v>
      </c>
      <c r="F65" s="270">
        <f>$B$65*'1 - Marina'!F55</f>
        <v>93020.232346038363</v>
      </c>
      <c r="G65" s="270">
        <f>$B$65*'1 - Marina'!G55</f>
        <v>117279.85420486175</v>
      </c>
      <c r="H65" s="270">
        <f>$B$65*'1 - Marina'!H55</f>
        <v>141375.17201048502</v>
      </c>
      <c r="I65" s="270">
        <f>$B$65*'1 - Marina'!I55</f>
        <v>165846.03328957278</v>
      </c>
      <c r="J65" s="270">
        <f>$B$65*'1 - Marina'!J55</f>
        <v>191006.41461641426</v>
      </c>
      <c r="K65" s="270">
        <f>$B$65*'1 - Marina'!K55</f>
        <v>206799.67589355432</v>
      </c>
      <c r="L65" s="270">
        <f>$B$65*'1 - Marina'!L55</f>
        <v>216529.41153178576</v>
      </c>
      <c r="M65" s="270">
        <f>$B$65*'1 - Marina'!M55</f>
        <v>221872.28082973417</v>
      </c>
      <c r="N65" s="270">
        <f>$B$65*'1 - Marina'!N55</f>
        <v>227103.13227790466</v>
      </c>
      <c r="O65" s="270">
        <f>$B$65*'1 - Marina'!O55</f>
        <v>232150.59121894988</v>
      </c>
      <c r="P65" s="270">
        <f>$B$65*'1 - Marina'!P55</f>
        <v>237216.7460317259</v>
      </c>
      <c r="Q65" s="270">
        <f>$B$65*'1 - Marina'!Q55</f>
        <v>242310.90012717887</v>
      </c>
      <c r="R65" s="270">
        <f>$B$65*'1 - Marina'!R55</f>
        <v>247562.6283271985</v>
      </c>
      <c r="S65" s="270">
        <f>$B$65*'1 - Marina'!S55</f>
        <v>253106.46473841855</v>
      </c>
      <c r="T65" s="270">
        <f>$B$65*'1 - Marina'!T55</f>
        <v>258546.99971727451</v>
      </c>
      <c r="U65" s="270">
        <f>$B$65*'1 - Marina'!U55</f>
        <v>264027.05310978746</v>
      </c>
      <c r="V65" s="270">
        <f>$B$65*'1 - Marina'!V55</f>
        <v>269677.44052515895</v>
      </c>
      <c r="W65" s="270">
        <f>$B$65*'1 - Marina'!W55</f>
        <v>275622.57864270487</v>
      </c>
      <c r="X65" s="270">
        <f>$B$65*'1 - Marina'!X55</f>
        <v>281469.41019968654</v>
      </c>
      <c r="Y65" s="270">
        <f>$B$65*'1 - Marina'!Y55</f>
        <v>287622.36702808144</v>
      </c>
      <c r="Z65" s="270">
        <f>$B$65*'1 - Marina'!Z55</f>
        <v>293686.27175044827</v>
      </c>
      <c r="AA65" s="270">
        <f>$B$65*'1 - Marina'!AA55</f>
        <v>300065.88308088225</v>
      </c>
      <c r="AB65" s="270">
        <f>$B$65*'1 - Marina'!AB55</f>
        <v>306497.27808266762</v>
      </c>
      <c r="AC65" s="270">
        <f>$B$65*'1 - Marina'!AC55</f>
        <v>312990.95789003582</v>
      </c>
      <c r="AD65" s="270">
        <f>$B$65*'1 - Marina'!AD55</f>
        <v>319679.9645591345</v>
      </c>
      <c r="AE65" s="270">
        <f>$B$65*'1 - Marina'!AE55</f>
        <v>326441.31021771039</v>
      </c>
      <c r="AF65" s="270">
        <f>$B$65*'1 - Marina'!AF55</f>
        <v>333539.2475178226</v>
      </c>
      <c r="AG65" s="227" t="s">
        <v>208</v>
      </c>
      <c r="AH65" s="238"/>
      <c r="AI65" s="26"/>
    </row>
    <row r="66" spans="1:35" ht="15" customHeight="1" x14ac:dyDescent="0.25">
      <c r="A66" s="268" t="s">
        <v>77</v>
      </c>
      <c r="B66" s="275">
        <v>0.12</v>
      </c>
      <c r="C66" s="274">
        <v>0</v>
      </c>
      <c r="D66" s="272">
        <v>0</v>
      </c>
      <c r="E66" s="270">
        <f>$B$66*'1 - Seaside'!E55</f>
        <v>40920.578235532514</v>
      </c>
      <c r="F66" s="270">
        <f>$B$66*'1 - Seaside'!F55</f>
        <v>64232.702489674208</v>
      </c>
      <c r="G66" s="270">
        <f>$B$66*'1 - Seaside'!G55</f>
        <v>81423.81279624546</v>
      </c>
      <c r="H66" s="270">
        <f>$B$66*'1 - Seaside'!H55</f>
        <v>99728.610855889419</v>
      </c>
      <c r="I66" s="270">
        <f>$B$66*'1 - Seaside'!I55</f>
        <v>111466.46487542096</v>
      </c>
      <c r="J66" s="270">
        <f>$B$66*'1 - Seaside'!J55</f>
        <v>119765.1078685392</v>
      </c>
      <c r="K66" s="270">
        <f>$B$66*'1 - Seaside'!K55</f>
        <v>129748.81263353079</v>
      </c>
      <c r="L66" s="270">
        <f>$B$66*'1 - Seaside'!L55</f>
        <v>140899.11312968354</v>
      </c>
      <c r="M66" s="270">
        <f>$B$66*'1 - Seaside'!M55</f>
        <v>161191.0868389041</v>
      </c>
      <c r="N66" s="270">
        <f>$B$66*'1 - Seaside'!N55</f>
        <v>181707.76304025372</v>
      </c>
      <c r="O66" s="270">
        <f>$B$66*'1 - Seaside'!O55</f>
        <v>185778.20304357543</v>
      </c>
      <c r="P66" s="270">
        <f>$B$66*'1 - Seaside'!P55</f>
        <v>189861.98057448631</v>
      </c>
      <c r="Q66" s="270">
        <f>$B$66*'1 - Seaside'!Q55</f>
        <v>193966.75226252805</v>
      </c>
      <c r="R66" s="270">
        <f>$B$66*'1 - Seaside'!R55</f>
        <v>198199.70821543023</v>
      </c>
      <c r="S66" s="270">
        <f>$B$66*'1 - Seaside'!S55</f>
        <v>202672.14187964381</v>
      </c>
      <c r="T66" s="270">
        <f>$B$66*'1 - Seaside'!T55</f>
        <v>207056.77444514009</v>
      </c>
      <c r="U66" s="270">
        <f>$B$66*'1 - Seaside'!U55</f>
        <v>211471.75468406867</v>
      </c>
      <c r="V66" s="270">
        <f>$B$66*'1 - Seaside'!V55</f>
        <v>216025.29596619049</v>
      </c>
      <c r="W66" s="270">
        <f>$B$66*'1 - Seaside'!W55</f>
        <v>220820.31508579635</v>
      </c>
      <c r="X66" s="270">
        <f>$B$66*'1 - Seaside'!X55</f>
        <v>225531.47628350428</v>
      </c>
      <c r="Y66" s="270">
        <f>$B$66*'1 - Seaside'!Y55</f>
        <v>230493.42962545989</v>
      </c>
      <c r="Z66" s="270">
        <f>$B$66*'1 - Seaside'!Z55</f>
        <v>235379.08280427044</v>
      </c>
      <c r="AA66" s="270">
        <f>$B$66*'1 - Seaside'!AA55</f>
        <v>240523.35438646915</v>
      </c>
      <c r="AB66" s="270">
        <f>$B$66*'1 - Seaside'!AB55</f>
        <v>245707.77368187075</v>
      </c>
      <c r="AC66" s="270">
        <f>$B$66*'1 - Seaside'!AC55</f>
        <v>250940.97708006721</v>
      </c>
      <c r="AD66" s="270">
        <f>$B$66*'1 - Seaside'!AD55</f>
        <v>256333.01242389303</v>
      </c>
      <c r="AE66" s="270">
        <f>$B$66*'1 - Seaside'!AE55</f>
        <v>261782.0409525198</v>
      </c>
      <c r="AF66" s="270">
        <f>$B$66*'1 - Seaside'!AF55</f>
        <v>267506.69567092584</v>
      </c>
      <c r="AG66" s="227" t="s">
        <v>209</v>
      </c>
      <c r="AH66" s="238"/>
      <c r="AI66" s="26"/>
    </row>
    <row r="67" spans="1:35" ht="15" customHeight="1" x14ac:dyDescent="0.25">
      <c r="A67" s="268" t="s">
        <v>79</v>
      </c>
      <c r="B67" s="276">
        <v>0</v>
      </c>
      <c r="C67" s="270">
        <v>0</v>
      </c>
      <c r="D67" s="272">
        <v>0</v>
      </c>
      <c r="E67" s="270">
        <f>$B$67*'1 - DRO'!E48</f>
        <v>0</v>
      </c>
      <c r="F67" s="270">
        <f>$B$67*'1 - DRO'!F48</f>
        <v>0</v>
      </c>
      <c r="G67" s="270">
        <f>$B$67*'1 - DRO'!G48</f>
        <v>0</v>
      </c>
      <c r="H67" s="270">
        <f>$B$67*'1 - DRO'!H48</f>
        <v>0</v>
      </c>
      <c r="I67" s="270">
        <f>$B$67*'1 - DRO'!I48</f>
        <v>0</v>
      </c>
      <c r="J67" s="270">
        <f>$B$67*'1 - DRO'!J48</f>
        <v>0</v>
      </c>
      <c r="K67" s="270">
        <f>$B$67*'1 - DRO'!K48</f>
        <v>0</v>
      </c>
      <c r="L67" s="270">
        <f>$B$67*'1 - DRO'!L48</f>
        <v>0</v>
      </c>
      <c r="M67" s="270">
        <f>$B$67*'1 - DRO'!M48</f>
        <v>0</v>
      </c>
      <c r="N67" s="270">
        <f>$B$67*'1 - DRO'!N48</f>
        <v>0</v>
      </c>
      <c r="O67" s="270">
        <f>$B$67*'1 - DRO'!O48</f>
        <v>0</v>
      </c>
      <c r="P67" s="270">
        <f>$B$67*'1 - DRO'!P48</f>
        <v>0</v>
      </c>
      <c r="Q67" s="270">
        <f>$B$67*'1 - DRO'!Q48</f>
        <v>0</v>
      </c>
      <c r="R67" s="270">
        <f>$B$67*'1 - DRO'!R48</f>
        <v>0</v>
      </c>
      <c r="S67" s="270">
        <f>$B$67*'1 - DRO'!S48</f>
        <v>0</v>
      </c>
      <c r="T67" s="270">
        <f>$B$67*'1 - DRO'!T48</f>
        <v>0</v>
      </c>
      <c r="U67" s="270">
        <f>$B$67*'1 - DRO'!U48</f>
        <v>0</v>
      </c>
      <c r="V67" s="270">
        <f>$B$67*'1 - DRO'!V48</f>
        <v>0</v>
      </c>
      <c r="W67" s="270">
        <f>$B$67*'1 - DRO'!W48</f>
        <v>0</v>
      </c>
      <c r="X67" s="270">
        <f>$B$67*'1 - DRO'!X48</f>
        <v>0</v>
      </c>
      <c r="Y67" s="270">
        <f>$B$67*'1 - DRO'!Y48</f>
        <v>0</v>
      </c>
      <c r="Z67" s="270">
        <f>$B$67*'1 - DRO'!Z48</f>
        <v>0</v>
      </c>
      <c r="AA67" s="270">
        <f>$B$67*'1 - DRO'!AA48</f>
        <v>0</v>
      </c>
      <c r="AB67" s="270">
        <f>$B$67*'1 - DRO'!AB48</f>
        <v>0</v>
      </c>
      <c r="AC67" s="270">
        <f>$B$67*'1 - DRO'!AC48</f>
        <v>0</v>
      </c>
      <c r="AD67" s="270">
        <f>$B$67*'1 - DRO'!AD48</f>
        <v>0</v>
      </c>
      <c r="AE67" s="270">
        <f>$B$67*'1 - DRO'!AE48</f>
        <v>0</v>
      </c>
      <c r="AF67" s="270">
        <f>$B$67*'1 - DRO'!AF48</f>
        <v>0</v>
      </c>
      <c r="AG67" s="227" t="s">
        <v>210</v>
      </c>
      <c r="AH67" s="238"/>
      <c r="AI67" s="26"/>
    </row>
    <row r="68" spans="1:35" ht="15" customHeight="1" x14ac:dyDescent="0.25">
      <c r="A68" s="151"/>
      <c r="B68" s="142"/>
      <c r="C68" s="145"/>
      <c r="D68" s="211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227"/>
      <c r="AH68" s="238"/>
      <c r="AI68" s="26"/>
    </row>
    <row r="69" spans="1:35" x14ac:dyDescent="0.25">
      <c r="A69" s="153" t="str">
        <f>CONCATENATE("Increase in Net Property Taxes Received by ",A4,)</f>
        <v>Increase in Net Property Taxes Received by Monterey County</v>
      </c>
      <c r="B69" s="153"/>
      <c r="C69" s="154">
        <f>C51+C57+C61+C62+C63+C65+C66+C67</f>
        <v>0</v>
      </c>
      <c r="D69" s="219">
        <f t="shared" ref="D69:L69" si="82">D51+D57+D61+D62+D63+D65+D66+D67</f>
        <v>0</v>
      </c>
      <c r="E69" s="154">
        <f>E51+E57+E61+E62+E63+E65+E66+E67</f>
        <v>1007527.7186288028</v>
      </c>
      <c r="F69" s="154">
        <f t="shared" si="82"/>
        <v>1477129.4549447559</v>
      </c>
      <c r="G69" s="154">
        <f t="shared" si="82"/>
        <v>1844983.3432836549</v>
      </c>
      <c r="H69" s="154">
        <f t="shared" si="82"/>
        <v>2221114.3757568444</v>
      </c>
      <c r="I69" s="154">
        <f t="shared" si="82"/>
        <v>2604584.9939874932</v>
      </c>
      <c r="J69" s="154">
        <f t="shared" si="82"/>
        <v>2897965.9271346913</v>
      </c>
      <c r="K69" s="154">
        <f t="shared" si="82"/>
        <v>3139571.7088096011</v>
      </c>
      <c r="L69" s="154">
        <f t="shared" si="82"/>
        <v>3344151.580542637</v>
      </c>
      <c r="M69" s="154">
        <f>M51+M57+M61+M62+M63+M65+M66+M67</f>
        <v>3568715.5624051928</v>
      </c>
      <c r="N69" s="154">
        <f t="shared" ref="N69:AD69" si="83">N51+N57+N61+N62+N63+N65+N66+N67</f>
        <v>3916026.6592899198</v>
      </c>
      <c r="O69" s="154">
        <f t="shared" si="83"/>
        <v>4004494.8403986022</v>
      </c>
      <c r="P69" s="154">
        <f t="shared" si="83"/>
        <v>4093282.4140379694</v>
      </c>
      <c r="Q69" s="154">
        <f t="shared" si="83"/>
        <v>4182553.1782335136</v>
      </c>
      <c r="R69" s="154">
        <f t="shared" si="83"/>
        <v>4274591.0856916439</v>
      </c>
      <c r="S69" s="154">
        <f t="shared" si="83"/>
        <v>4371767.5078271031</v>
      </c>
      <c r="T69" s="154">
        <f t="shared" si="83"/>
        <v>4467111.9002876924</v>
      </c>
      <c r="U69" s="154">
        <f t="shared" si="83"/>
        <v>4563141.6879304918</v>
      </c>
      <c r="V69" s="154">
        <f t="shared" si="83"/>
        <v>4662162.6790886531</v>
      </c>
      <c r="W69" s="154">
        <f t="shared" si="83"/>
        <v>4766367.8765013292</v>
      </c>
      <c r="X69" s="154">
        <f t="shared" si="83"/>
        <v>4868828.1860542605</v>
      </c>
      <c r="Y69" s="154">
        <f t="shared" si="83"/>
        <v>4976672.7416761527</v>
      </c>
      <c r="Z69" s="154">
        <f t="shared" si="83"/>
        <v>5082935.0661693877</v>
      </c>
      <c r="AA69" s="154">
        <f t="shared" si="83"/>
        <v>5194750.0461416664</v>
      </c>
      <c r="AB69" s="154">
        <f t="shared" si="83"/>
        <v>5307464.9634745969</v>
      </c>
      <c r="AC69" s="154">
        <f t="shared" si="83"/>
        <v>5421264.6751855379</v>
      </c>
      <c r="AD69" s="154">
        <f t="shared" si="83"/>
        <v>5538494.1990900775</v>
      </c>
      <c r="AE69" s="154">
        <f>AE51+AE57+AE61+AE62+AE63+AE65+AE66+AE67</f>
        <v>5656985.221672006</v>
      </c>
      <c r="AF69" s="154">
        <f>AF51+AF57+AF61+AF62+AF63+AF65+AF66+AF67</f>
        <v>5781395.7461141869</v>
      </c>
      <c r="AG69" s="450" t="s">
        <v>217</v>
      </c>
      <c r="AH69" s="450"/>
    </row>
    <row r="70" spans="1:35" x14ac:dyDescent="0.25">
      <c r="A70" s="342" t="s">
        <v>289</v>
      </c>
      <c r="B70" s="343">
        <f>1-B71</f>
        <v>0.34499999999999997</v>
      </c>
      <c r="C70" s="344">
        <f>($B$70*(C51+C61+C62+C63))+C65+C66+C67+C57</f>
        <v>0</v>
      </c>
      <c r="D70" s="344">
        <f t="shared" ref="D70:AF70" si="84">($B$70*(D51+D61+D62+D63))+D65+D66+D67+D57</f>
        <v>0</v>
      </c>
      <c r="E70" s="344">
        <f>($B$70*(E51+E61+E62+E63))+E65+E66+E67+E57</f>
        <v>414144.96437398437</v>
      </c>
      <c r="F70" s="344">
        <f t="shared" si="84"/>
        <v>612610.3342733325</v>
      </c>
      <c r="G70" s="344">
        <f t="shared" si="84"/>
        <v>766670.15531858616</v>
      </c>
      <c r="H70" s="344">
        <f t="shared" si="84"/>
        <v>924207.43741358642</v>
      </c>
      <c r="I70" s="344">
        <f t="shared" si="84"/>
        <v>1080221.5092237561</v>
      </c>
      <c r="J70" s="344">
        <f t="shared" si="84"/>
        <v>1203353.5920891128</v>
      </c>
      <c r="K70" s="344">
        <f t="shared" si="84"/>
        <v>1303591.4995245528</v>
      </c>
      <c r="L70" s="344">
        <f t="shared" si="84"/>
        <v>1387847.9789404722</v>
      </c>
      <c r="M70" s="344">
        <f t="shared" si="84"/>
        <v>1482113.3748527493</v>
      </c>
      <c r="N70" s="344">
        <f t="shared" si="84"/>
        <v>1716930.9095199041</v>
      </c>
      <c r="O70" s="344">
        <f t="shared" si="84"/>
        <v>1756028.3161413195</v>
      </c>
      <c r="P70" s="344">
        <f t="shared" si="84"/>
        <v>1795248.9011270993</v>
      </c>
      <c r="Q70" s="344">
        <f t="shared" si="84"/>
        <v>1834666.6446871769</v>
      </c>
      <c r="R70" s="344">
        <f t="shared" si="84"/>
        <v>1875318.7745715033</v>
      </c>
      <c r="S70" s="344">
        <f t="shared" si="84"/>
        <v>1918282.226788844</v>
      </c>
      <c r="T70" s="344">
        <f t="shared" si="84"/>
        <v>1960389.5872684948</v>
      </c>
      <c r="U70" s="344">
        <f t="shared" si="84"/>
        <v>2002784.1304859254</v>
      </c>
      <c r="V70" s="344">
        <f t="shared" si="84"/>
        <v>2046512.9770427761</v>
      </c>
      <c r="W70" s="344">
        <f t="shared" si="84"/>
        <v>2092571.9865467167</v>
      </c>
      <c r="X70" s="344">
        <f t="shared" si="84"/>
        <v>2137812.5387679068</v>
      </c>
      <c r="Y70" s="344">
        <f t="shared" si="84"/>
        <v>2185473.1208263263</v>
      </c>
      <c r="Z70" s="344">
        <f t="shared" si="84"/>
        <v>2232388.1077662585</v>
      </c>
      <c r="AA70" s="344">
        <f t="shared" si="84"/>
        <v>2281798.5795765505</v>
      </c>
      <c r="AB70" s="344">
        <f t="shared" si="84"/>
        <v>2331590.1073099426</v>
      </c>
      <c r="AC70" s="344">
        <f t="shared" si="84"/>
        <v>2381846.1213093479</v>
      </c>
      <c r="AD70" s="344">
        <f t="shared" si="84"/>
        <v>2433631.4732051836</v>
      </c>
      <c r="AE70" s="344">
        <f t="shared" si="84"/>
        <v>2485960.4477528888</v>
      </c>
      <c r="AF70" s="344">
        <f t="shared" si="84"/>
        <v>2540948.7393226465</v>
      </c>
      <c r="AG70" s="333"/>
      <c r="AH70" s="333"/>
    </row>
    <row r="71" spans="1:35" x14ac:dyDescent="0.25">
      <c r="A71" s="342" t="s">
        <v>290</v>
      </c>
      <c r="B71" s="343">
        <v>0.65500000000000003</v>
      </c>
      <c r="C71" s="344">
        <f>$B$71*(C51+C61+C62+C63)</f>
        <v>0</v>
      </c>
      <c r="D71" s="344">
        <f t="shared" ref="D71:AF71" si="85">$B$71*(D51+D61+D62+D63)</f>
        <v>0</v>
      </c>
      <c r="E71" s="344">
        <f>$B$71*(E51+E61+E62+E63)</f>
        <v>593382.75425481854</v>
      </c>
      <c r="F71" s="344">
        <f t="shared" si="85"/>
        <v>864519.12067142338</v>
      </c>
      <c r="G71" s="344">
        <f t="shared" si="85"/>
        <v>1078313.1879650687</v>
      </c>
      <c r="H71" s="344">
        <f t="shared" si="85"/>
        <v>1296906.9383432579</v>
      </c>
      <c r="I71" s="344">
        <f t="shared" si="85"/>
        <v>1524363.4847637373</v>
      </c>
      <c r="J71" s="344">
        <f t="shared" si="85"/>
        <v>1694612.3350455782</v>
      </c>
      <c r="K71" s="344">
        <f t="shared" si="85"/>
        <v>1835980.2092850481</v>
      </c>
      <c r="L71" s="344">
        <f t="shared" si="85"/>
        <v>1956303.601602165</v>
      </c>
      <c r="M71" s="344">
        <f t="shared" si="85"/>
        <v>2086602.1875524432</v>
      </c>
      <c r="N71" s="344">
        <f t="shared" si="85"/>
        <v>2199095.7497700159</v>
      </c>
      <c r="O71" s="344">
        <f t="shared" si="85"/>
        <v>2248466.5242572827</v>
      </c>
      <c r="P71" s="344">
        <f t="shared" si="85"/>
        <v>2298033.5129108694</v>
      </c>
      <c r="Q71" s="344">
        <f t="shared" si="85"/>
        <v>2347886.5335463365</v>
      </c>
      <c r="R71" s="344">
        <f t="shared" si="85"/>
        <v>2399272.3111201413</v>
      </c>
      <c r="S71" s="344">
        <f t="shared" si="85"/>
        <v>2453485.2810382587</v>
      </c>
      <c r="T71" s="344">
        <f t="shared" si="85"/>
        <v>2506722.3130191979</v>
      </c>
      <c r="U71" s="344">
        <f t="shared" si="85"/>
        <v>2560357.5574445664</v>
      </c>
      <c r="V71" s="344">
        <f t="shared" si="85"/>
        <v>2615649.7020458765</v>
      </c>
      <c r="W71" s="344">
        <f t="shared" si="85"/>
        <v>2673795.8899546126</v>
      </c>
      <c r="X71" s="344">
        <f t="shared" si="85"/>
        <v>2731015.6472863532</v>
      </c>
      <c r="Y71" s="344">
        <f t="shared" si="85"/>
        <v>2791199.6208498254</v>
      </c>
      <c r="Z71" s="344">
        <f t="shared" si="85"/>
        <v>2850546.9584031296</v>
      </c>
      <c r="AA71" s="344">
        <f t="shared" si="85"/>
        <v>2912951.4665651163</v>
      </c>
      <c r="AB71" s="344">
        <f t="shared" si="85"/>
        <v>2975874.8561646547</v>
      </c>
      <c r="AC71" s="344">
        <f t="shared" si="85"/>
        <v>3039418.5538761886</v>
      </c>
      <c r="AD71" s="344">
        <f t="shared" si="85"/>
        <v>3104862.7258848948</v>
      </c>
      <c r="AE71" s="344">
        <f t="shared" si="85"/>
        <v>3171024.7739191176</v>
      </c>
      <c r="AF71" s="344">
        <f t="shared" si="85"/>
        <v>3240447.00679154</v>
      </c>
      <c r="AG71" s="333"/>
      <c r="AH71" s="333"/>
    </row>
    <row r="72" spans="1:35" x14ac:dyDescent="0.25">
      <c r="A72" s="342"/>
      <c r="B72" s="343"/>
      <c r="C72" s="344"/>
      <c r="D72" s="344"/>
      <c r="E72" s="344"/>
      <c r="F72" s="344"/>
      <c r="G72" s="344"/>
      <c r="H72" s="344"/>
      <c r="I72" s="344"/>
      <c r="J72" s="344"/>
      <c r="K72" s="344"/>
      <c r="L72" s="344"/>
      <c r="M72" s="344"/>
      <c r="N72" s="344"/>
      <c r="O72" s="344"/>
      <c r="P72" s="344"/>
      <c r="Q72" s="344"/>
      <c r="R72" s="344"/>
      <c r="S72" s="344"/>
      <c r="T72" s="344"/>
      <c r="U72" s="344"/>
      <c r="V72" s="344"/>
      <c r="W72" s="344"/>
      <c r="X72" s="344"/>
      <c r="Y72" s="344"/>
      <c r="Z72" s="344"/>
      <c r="AA72" s="344"/>
      <c r="AB72" s="344"/>
      <c r="AC72" s="344"/>
      <c r="AD72" s="344"/>
      <c r="AE72" s="344"/>
      <c r="AF72" s="344"/>
      <c r="AG72" s="333"/>
      <c r="AH72" s="333"/>
    </row>
    <row r="73" spans="1:35" x14ac:dyDescent="0.25">
      <c r="A73" s="1" t="s">
        <v>291</v>
      </c>
      <c r="C73" s="109">
        <f>NPV(Assumptions!D4,'1 - County'!D70:AF70)+'1 - County'!C70</f>
        <v>23590893.566576023</v>
      </c>
      <c r="E73" s="80"/>
      <c r="AG73" s="227"/>
      <c r="AH73" s="238"/>
    </row>
    <row r="74" spans="1:35" x14ac:dyDescent="0.25">
      <c r="A74" s="1" t="s">
        <v>316</v>
      </c>
      <c r="C74" s="345">
        <f>NPV(Assumptions!D4,'1 - County'!D71:AF71)+'1 - County'!C71</f>
        <v>31050931.457138699</v>
      </c>
      <c r="E74" s="80"/>
      <c r="AG74" s="227"/>
      <c r="AH74" s="238"/>
    </row>
    <row r="75" spans="1:35" x14ac:dyDescent="0.25">
      <c r="D75" s="80"/>
      <c r="AG75" s="227"/>
      <c r="AH75" s="238"/>
    </row>
    <row r="76" spans="1:35" x14ac:dyDescent="0.25">
      <c r="A76" s="19" t="s">
        <v>204</v>
      </c>
      <c r="C76" s="394"/>
      <c r="D76" s="80"/>
      <c r="AG76" s="227"/>
      <c r="AH76" s="238"/>
    </row>
    <row r="77" spans="1:35" x14ac:dyDescent="0.25">
      <c r="A77" s="19" t="s">
        <v>201</v>
      </c>
      <c r="E77" s="80"/>
      <c r="AG77" s="227"/>
      <c r="AH77" s="238"/>
    </row>
    <row r="78" spans="1:35" x14ac:dyDescent="0.25">
      <c r="A78" s="19"/>
      <c r="AG78" s="227"/>
      <c r="AH78" s="238"/>
    </row>
    <row r="79" spans="1:35" ht="15.75" x14ac:dyDescent="0.25">
      <c r="A79" s="65"/>
      <c r="AG79" s="227"/>
      <c r="AH79" s="238"/>
    </row>
    <row r="80" spans="1:35" x14ac:dyDescent="0.25">
      <c r="AG80" s="227"/>
      <c r="AH80" s="238"/>
    </row>
    <row r="81" spans="33:34" x14ac:dyDescent="0.25">
      <c r="AG81" s="236"/>
      <c r="AH81" s="246"/>
    </row>
  </sheetData>
  <mergeCells count="5">
    <mergeCell ref="C6:D6"/>
    <mergeCell ref="E6:M6"/>
    <mergeCell ref="AH10:AH12"/>
    <mergeCell ref="B45:B46"/>
    <mergeCell ref="AG69:AH69"/>
  </mergeCells>
  <pageMargins left="0.5" right="0.25" top="0.5" bottom="0.5" header="0.3" footer="0.3"/>
  <pageSetup scale="53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AW72"/>
  <sheetViews>
    <sheetView showGridLines="0" zoomScale="85" zoomScaleNormal="85" workbookViewId="0">
      <selection activeCell="E8" sqref="E8:L8"/>
    </sheetView>
  </sheetViews>
  <sheetFormatPr defaultColWidth="8.85546875" defaultRowHeight="15" x14ac:dyDescent="0.25"/>
  <cols>
    <col min="1" max="1" width="64.28515625" customWidth="1"/>
    <col min="2" max="2" width="15.28515625" customWidth="1"/>
    <col min="3" max="32" width="13.28515625" customWidth="1"/>
    <col min="33" max="33" width="4.28515625" style="226" bestFit="1" customWidth="1"/>
    <col min="34" max="35" width="17.140625" style="237" customWidth="1"/>
    <col min="36" max="36" width="13.85546875" hidden="1" customWidth="1"/>
    <col min="37" max="37" width="9.28515625" hidden="1" customWidth="1"/>
    <col min="38" max="38" width="9" hidden="1" customWidth="1"/>
    <col min="39" max="44" width="11.28515625" hidden="1" customWidth="1"/>
    <col min="45" max="48" width="11" hidden="1" customWidth="1"/>
    <col min="49" max="49" width="10.28515625" hidden="1" customWidth="1"/>
  </cols>
  <sheetData>
    <row r="1" spans="1:44" ht="18.75" x14ac:dyDescent="0.3">
      <c r="A1" s="53" t="s">
        <v>56</v>
      </c>
    </row>
    <row r="2" spans="1:44" ht="18.75" x14ac:dyDescent="0.3">
      <c r="A2" s="54" t="s">
        <v>106</v>
      </c>
    </row>
    <row r="3" spans="1:44" ht="18.75" x14ac:dyDescent="0.3">
      <c r="A3" s="54"/>
    </row>
    <row r="4" spans="1:44" ht="18.75" x14ac:dyDescent="0.3">
      <c r="A4" s="55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</row>
    <row r="5" spans="1:44" ht="15.75" x14ac:dyDescent="0.25">
      <c r="A5" s="391" t="s">
        <v>319</v>
      </c>
      <c r="B5" s="390">
        <v>0</v>
      </c>
    </row>
    <row r="6" spans="1:44" x14ac:dyDescent="0.25">
      <c r="A6" s="52"/>
      <c r="B6" s="257"/>
      <c r="C6" s="442" t="s">
        <v>59</v>
      </c>
      <c r="D6" s="442"/>
      <c r="E6" s="443" t="s">
        <v>60</v>
      </c>
      <c r="F6" s="443"/>
      <c r="G6" s="443"/>
      <c r="H6" s="443"/>
      <c r="I6" s="443"/>
      <c r="J6" s="443"/>
      <c r="K6" s="443"/>
      <c r="L6" s="443"/>
      <c r="M6" s="443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</row>
    <row r="7" spans="1:44" x14ac:dyDescent="0.25">
      <c r="A7" s="258" t="s">
        <v>92</v>
      </c>
      <c r="B7" s="259" t="s">
        <v>9</v>
      </c>
      <c r="C7" s="339">
        <v>201819</v>
      </c>
      <c r="D7" s="339">
        <f t="shared" ref="D7:AF7" si="0">C7+101</f>
        <v>201920</v>
      </c>
      <c r="E7" s="337">
        <f t="shared" si="0"/>
        <v>202021</v>
      </c>
      <c r="F7" s="337">
        <f t="shared" si="0"/>
        <v>202122</v>
      </c>
      <c r="G7" s="337">
        <f t="shared" si="0"/>
        <v>202223</v>
      </c>
      <c r="H7" s="337">
        <f t="shared" si="0"/>
        <v>202324</v>
      </c>
      <c r="I7" s="337">
        <f t="shared" si="0"/>
        <v>202425</v>
      </c>
      <c r="J7" s="337">
        <f t="shared" si="0"/>
        <v>202526</v>
      </c>
      <c r="K7" s="337">
        <f>J7+101</f>
        <v>202627</v>
      </c>
      <c r="L7" s="337">
        <f t="shared" si="0"/>
        <v>202728</v>
      </c>
      <c r="M7" s="337">
        <f t="shared" si="0"/>
        <v>202829</v>
      </c>
      <c r="N7" s="337">
        <f t="shared" si="0"/>
        <v>202930</v>
      </c>
      <c r="O7" s="337">
        <f t="shared" si="0"/>
        <v>203031</v>
      </c>
      <c r="P7" s="337">
        <f t="shared" si="0"/>
        <v>203132</v>
      </c>
      <c r="Q7" s="337">
        <f t="shared" si="0"/>
        <v>203233</v>
      </c>
      <c r="R7" s="337">
        <f t="shared" si="0"/>
        <v>203334</v>
      </c>
      <c r="S7" s="337">
        <f t="shared" si="0"/>
        <v>203435</v>
      </c>
      <c r="T7" s="337">
        <f t="shared" si="0"/>
        <v>203536</v>
      </c>
      <c r="U7" s="337">
        <f t="shared" si="0"/>
        <v>203637</v>
      </c>
      <c r="V7" s="337">
        <f t="shared" si="0"/>
        <v>203738</v>
      </c>
      <c r="W7" s="337">
        <f t="shared" si="0"/>
        <v>203839</v>
      </c>
      <c r="X7" s="337">
        <f t="shared" si="0"/>
        <v>203940</v>
      </c>
      <c r="Y7" s="337">
        <f t="shared" si="0"/>
        <v>204041</v>
      </c>
      <c r="Z7" s="337">
        <f t="shared" si="0"/>
        <v>204142</v>
      </c>
      <c r="AA7" s="337">
        <f t="shared" si="0"/>
        <v>204243</v>
      </c>
      <c r="AB7" s="337">
        <f t="shared" si="0"/>
        <v>204344</v>
      </c>
      <c r="AC7" s="337">
        <f t="shared" si="0"/>
        <v>204445</v>
      </c>
      <c r="AD7" s="337">
        <f t="shared" si="0"/>
        <v>204546</v>
      </c>
      <c r="AE7" s="337">
        <f t="shared" si="0"/>
        <v>204647</v>
      </c>
      <c r="AF7" s="337">
        <f t="shared" si="0"/>
        <v>204748</v>
      </c>
      <c r="AG7" s="227"/>
      <c r="AH7" s="238"/>
      <c r="AI7" s="238"/>
      <c r="AJ7" s="264"/>
    </row>
    <row r="8" spans="1:44" x14ac:dyDescent="0.25">
      <c r="A8" s="139" t="s">
        <v>93</v>
      </c>
      <c r="B8" s="260">
        <v>533000</v>
      </c>
      <c r="C8" s="247">
        <v>192</v>
      </c>
      <c r="D8" s="247">
        <v>235</v>
      </c>
      <c r="E8" s="60">
        <v>171</v>
      </c>
      <c r="F8" s="60">
        <v>168</v>
      </c>
      <c r="G8" s="60">
        <v>150</v>
      </c>
      <c r="H8" s="60">
        <v>150</v>
      </c>
      <c r="I8" s="60">
        <v>150</v>
      </c>
      <c r="J8" s="60">
        <v>70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60">
        <v>0</v>
      </c>
      <c r="AD8" s="60">
        <v>0</v>
      </c>
      <c r="AE8" s="60">
        <v>0</v>
      </c>
      <c r="AF8" s="60">
        <v>0</v>
      </c>
      <c r="AG8" s="227"/>
      <c r="AH8" s="238"/>
      <c r="AI8" s="238"/>
      <c r="AJ8" s="265"/>
    </row>
    <row r="9" spans="1:44" x14ac:dyDescent="0.25">
      <c r="A9" s="139" t="s">
        <v>44</v>
      </c>
      <c r="B9" s="261">
        <v>220</v>
      </c>
      <c r="C9" s="247">
        <v>0</v>
      </c>
      <c r="D9" s="247">
        <v>23000</v>
      </c>
      <c r="E9" s="60">
        <v>30000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60">
        <v>232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60">
        <v>0</v>
      </c>
      <c r="AD9" s="60">
        <v>0</v>
      </c>
      <c r="AE9" s="60">
        <v>0</v>
      </c>
      <c r="AF9" s="60">
        <v>0</v>
      </c>
      <c r="AG9" s="227"/>
      <c r="AH9" s="238"/>
      <c r="AI9" s="238"/>
      <c r="AJ9" s="265"/>
      <c r="AP9">
        <v>2666421.52</v>
      </c>
      <c r="AQ9">
        <v>1274027.8600000001</v>
      </c>
      <c r="AR9">
        <f>AP9-AQ9</f>
        <v>1392393.66</v>
      </c>
    </row>
    <row r="10" spans="1:44" x14ac:dyDescent="0.25">
      <c r="A10" s="139" t="s">
        <v>45</v>
      </c>
      <c r="B10" s="261">
        <v>90</v>
      </c>
      <c r="C10" s="247">
        <v>0</v>
      </c>
      <c r="D10" s="247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C10" s="60">
        <v>0</v>
      </c>
      <c r="AD10" s="60">
        <v>0</v>
      </c>
      <c r="AE10" s="60">
        <v>0</v>
      </c>
      <c r="AF10" s="60">
        <v>0</v>
      </c>
      <c r="AG10" s="334"/>
      <c r="AH10" s="444" t="s">
        <v>197</v>
      </c>
      <c r="AI10" s="334"/>
      <c r="AJ10" s="265"/>
      <c r="AR10">
        <f>-0.2*AR9</f>
        <v>-278478.73200000002</v>
      </c>
    </row>
    <row r="11" spans="1:44" ht="15" customHeight="1" x14ac:dyDescent="0.25">
      <c r="A11" s="139" t="s">
        <v>46</v>
      </c>
      <c r="B11" s="261">
        <v>265</v>
      </c>
      <c r="C11" s="247">
        <v>0</v>
      </c>
      <c r="D11" s="247">
        <v>20000</v>
      </c>
      <c r="E11" s="60">
        <v>0</v>
      </c>
      <c r="F11" s="60">
        <v>50000</v>
      </c>
      <c r="G11" s="60">
        <v>5000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60">
        <v>0</v>
      </c>
      <c r="AD11" s="60">
        <v>0</v>
      </c>
      <c r="AE11" s="60">
        <v>0</v>
      </c>
      <c r="AF11" s="60">
        <v>0</v>
      </c>
      <c r="AG11" s="334"/>
      <c r="AH11" s="444"/>
      <c r="AI11" s="334"/>
      <c r="AJ11" s="265"/>
      <c r="AR11">
        <f>SUM(AR9:AR10)</f>
        <v>1113914.9279999998</v>
      </c>
    </row>
    <row r="12" spans="1:44" ht="26.25" x14ac:dyDescent="0.25">
      <c r="A12" s="139" t="s">
        <v>47</v>
      </c>
      <c r="B12" s="262">
        <v>162000</v>
      </c>
      <c r="C12" s="249">
        <v>0</v>
      </c>
      <c r="D12" s="249">
        <v>0</v>
      </c>
      <c r="E12" s="63">
        <v>0</v>
      </c>
      <c r="F12" s="63">
        <v>0</v>
      </c>
      <c r="G12" s="63">
        <v>0</v>
      </c>
      <c r="H12" s="63">
        <v>94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334" t="s">
        <v>189</v>
      </c>
      <c r="AH12" s="444"/>
      <c r="AI12" s="334"/>
      <c r="AJ12" s="265"/>
    </row>
    <row r="13" spans="1:44" x14ac:dyDescent="0.25">
      <c r="A13" s="37" t="s">
        <v>49</v>
      </c>
      <c r="B13" s="24"/>
      <c r="C13" s="318">
        <v>88182185</v>
      </c>
      <c r="D13" s="205">
        <v>120495116</v>
      </c>
      <c r="E13" s="147">
        <f>SUMPRODUCT($B$8:$B$12,E8:E12)*(1-$B$5)</f>
        <v>97743000</v>
      </c>
      <c r="F13" s="147">
        <f>SUMPRODUCT($B$8:$B$12,F8:F12)*(1-$B$5)</f>
        <v>102794000</v>
      </c>
      <c r="G13" s="147">
        <f t="shared" ref="G13:AF13" si="1">SUMPRODUCT($B$8:$B$12,G8:G12)*(1-$B$5)</f>
        <v>81275000</v>
      </c>
      <c r="H13" s="147">
        <f t="shared" si="1"/>
        <v>95178000</v>
      </c>
      <c r="I13" s="147">
        <f t="shared" si="1"/>
        <v>79950000</v>
      </c>
      <c r="J13" s="147">
        <f t="shared" si="1"/>
        <v>37310000</v>
      </c>
      <c r="K13" s="147">
        <f t="shared" si="1"/>
        <v>0</v>
      </c>
      <c r="L13" s="147">
        <f t="shared" si="1"/>
        <v>0</v>
      </c>
      <c r="M13" s="147">
        <f t="shared" si="1"/>
        <v>0</v>
      </c>
      <c r="N13" s="147">
        <f t="shared" si="1"/>
        <v>51040</v>
      </c>
      <c r="O13" s="147">
        <f t="shared" si="1"/>
        <v>0</v>
      </c>
      <c r="P13" s="147">
        <f t="shared" si="1"/>
        <v>0</v>
      </c>
      <c r="Q13" s="147">
        <f t="shared" si="1"/>
        <v>0</v>
      </c>
      <c r="R13" s="147">
        <f t="shared" si="1"/>
        <v>0</v>
      </c>
      <c r="S13" s="147">
        <f t="shared" si="1"/>
        <v>0</v>
      </c>
      <c r="T13" s="147">
        <f t="shared" si="1"/>
        <v>0</v>
      </c>
      <c r="U13" s="147">
        <f t="shared" si="1"/>
        <v>0</v>
      </c>
      <c r="V13" s="147">
        <f t="shared" si="1"/>
        <v>0</v>
      </c>
      <c r="W13" s="147">
        <f t="shared" si="1"/>
        <v>0</v>
      </c>
      <c r="X13" s="147">
        <f t="shared" si="1"/>
        <v>0</v>
      </c>
      <c r="Y13" s="147">
        <f t="shared" si="1"/>
        <v>0</v>
      </c>
      <c r="Z13" s="147">
        <f t="shared" si="1"/>
        <v>0</v>
      </c>
      <c r="AA13" s="147">
        <f t="shared" si="1"/>
        <v>0</v>
      </c>
      <c r="AB13" s="147">
        <f t="shared" si="1"/>
        <v>0</v>
      </c>
      <c r="AC13" s="147">
        <f t="shared" si="1"/>
        <v>0</v>
      </c>
      <c r="AD13" s="147">
        <f t="shared" si="1"/>
        <v>0</v>
      </c>
      <c r="AE13" s="147">
        <f t="shared" si="1"/>
        <v>0</v>
      </c>
      <c r="AF13" s="147">
        <f t="shared" si="1"/>
        <v>0</v>
      </c>
      <c r="AG13" s="229" t="s">
        <v>143</v>
      </c>
      <c r="AH13" s="239"/>
      <c r="AI13" s="239"/>
      <c r="AJ13" s="143"/>
      <c r="AK13" s="24"/>
    </row>
    <row r="14" spans="1:44" x14ac:dyDescent="0.25">
      <c r="A14" t="s">
        <v>97</v>
      </c>
      <c r="C14" s="319">
        <v>415720999.0196079</v>
      </c>
      <c r="D14" s="205">
        <f>C16</f>
        <v>512217604</v>
      </c>
      <c r="E14" s="144">
        <f>D16</f>
        <v>642957072.08000004</v>
      </c>
      <c r="F14" s="144">
        <f>E16</f>
        <v>753559213.52160001</v>
      </c>
      <c r="G14" s="144">
        <f t="shared" ref="G14:AF14" si="2">F16</f>
        <v>871424397.792032</v>
      </c>
      <c r="H14" s="144">
        <f t="shared" si="2"/>
        <v>970127885.74787259</v>
      </c>
      <c r="I14" s="144">
        <f>H16</f>
        <v>1084708443.4628301</v>
      </c>
      <c r="J14" s="144">
        <f t="shared" si="2"/>
        <v>1186352612.3320866</v>
      </c>
      <c r="K14" s="144">
        <f t="shared" si="2"/>
        <v>1247389664.5787282</v>
      </c>
      <c r="L14" s="144">
        <f t="shared" si="2"/>
        <v>1272337457.8703027</v>
      </c>
      <c r="M14" s="144">
        <f t="shared" si="2"/>
        <v>1297784207.0277088</v>
      </c>
      <c r="N14" s="144">
        <f t="shared" si="2"/>
        <v>1323739891.168263</v>
      </c>
      <c r="O14" s="144">
        <f t="shared" si="2"/>
        <v>1350265728.9916282</v>
      </c>
      <c r="P14" s="144">
        <f t="shared" si="2"/>
        <v>1377271043.5714607</v>
      </c>
      <c r="Q14" s="144">
        <f t="shared" si="2"/>
        <v>1404816464.4428899</v>
      </c>
      <c r="R14" s="144">
        <f t="shared" si="2"/>
        <v>1432912793.7317476</v>
      </c>
      <c r="S14" s="144">
        <f t="shared" si="2"/>
        <v>1461571049.6063826</v>
      </c>
      <c r="T14" s="144">
        <f t="shared" si="2"/>
        <v>1490802470.5985103</v>
      </c>
      <c r="U14" s="144">
        <f t="shared" si="2"/>
        <v>1520618520.0104804</v>
      </c>
      <c r="V14" s="144">
        <f t="shared" si="2"/>
        <v>1551030890.4106901</v>
      </c>
      <c r="W14" s="144">
        <f t="shared" si="2"/>
        <v>1582051508.2189038</v>
      </c>
      <c r="X14" s="144">
        <f t="shared" si="2"/>
        <v>1613692538.3832819</v>
      </c>
      <c r="Y14" s="144">
        <f t="shared" si="2"/>
        <v>1645966389.1509476</v>
      </c>
      <c r="Z14" s="144">
        <f t="shared" si="2"/>
        <v>1678885716.9339666</v>
      </c>
      <c r="AA14" s="144">
        <f t="shared" si="2"/>
        <v>1712463431.272646</v>
      </c>
      <c r="AB14" s="144">
        <f t="shared" si="2"/>
        <v>1746712699.8980989</v>
      </c>
      <c r="AC14" s="144">
        <f t="shared" si="2"/>
        <v>1781646953.8960609</v>
      </c>
      <c r="AD14" s="144">
        <f t="shared" si="2"/>
        <v>1817279892.9739821</v>
      </c>
      <c r="AE14" s="144">
        <f t="shared" si="2"/>
        <v>1853625490.8334618</v>
      </c>
      <c r="AF14" s="144">
        <f t="shared" si="2"/>
        <v>1890698000.650131</v>
      </c>
      <c r="AG14" s="227" t="s">
        <v>145</v>
      </c>
      <c r="AH14" s="238"/>
      <c r="AI14" s="238"/>
      <c r="AJ14" s="152"/>
    </row>
    <row r="15" spans="1:44" x14ac:dyDescent="0.25">
      <c r="A15" t="s">
        <v>94</v>
      </c>
      <c r="B15" s="8"/>
      <c r="C15" s="320">
        <f>0.02*C14</f>
        <v>8314419.980392158</v>
      </c>
      <c r="D15" s="206">
        <f>D14*0.02</f>
        <v>10244352.08</v>
      </c>
      <c r="E15" s="132">
        <f>E14*0.02</f>
        <v>12859141.4416</v>
      </c>
      <c r="F15" s="132">
        <f t="shared" ref="F15:AF15" si="3">F14*0.02</f>
        <v>15071184.270432001</v>
      </c>
      <c r="G15" s="132">
        <f t="shared" si="3"/>
        <v>17428487.95584064</v>
      </c>
      <c r="H15" s="132">
        <f t="shared" si="3"/>
        <v>19402557.714957453</v>
      </c>
      <c r="I15" s="132">
        <f t="shared" si="3"/>
        <v>21694168.869256601</v>
      </c>
      <c r="J15" s="132">
        <f t="shared" si="3"/>
        <v>23727052.246641733</v>
      </c>
      <c r="K15" s="132">
        <f t="shared" si="3"/>
        <v>24947793.291574564</v>
      </c>
      <c r="L15" s="132">
        <f t="shared" si="3"/>
        <v>25446749.157406054</v>
      </c>
      <c r="M15" s="132">
        <f t="shared" si="3"/>
        <v>25955684.140554175</v>
      </c>
      <c r="N15" s="132">
        <f t="shared" si="3"/>
        <v>26474797.82336526</v>
      </c>
      <c r="O15" s="132">
        <f t="shared" si="3"/>
        <v>27005314.579832565</v>
      </c>
      <c r="P15" s="132">
        <f t="shared" si="3"/>
        <v>27545420.871429216</v>
      </c>
      <c r="Q15" s="132">
        <f t="shared" si="3"/>
        <v>28096329.288857799</v>
      </c>
      <c r="R15" s="132">
        <f t="shared" si="3"/>
        <v>28658255.874634951</v>
      </c>
      <c r="S15" s="132">
        <f t="shared" si="3"/>
        <v>29231420.992127653</v>
      </c>
      <c r="T15" s="132">
        <f t="shared" si="3"/>
        <v>29816049.411970206</v>
      </c>
      <c r="U15" s="132">
        <f t="shared" si="3"/>
        <v>30412370.400209609</v>
      </c>
      <c r="V15" s="132">
        <f t="shared" si="3"/>
        <v>31020617.8082138</v>
      </c>
      <c r="W15" s="132">
        <f t="shared" si="3"/>
        <v>31641030.164378077</v>
      </c>
      <c r="X15" s="132">
        <f t="shared" si="3"/>
        <v>32273850.76766564</v>
      </c>
      <c r="Y15" s="132">
        <f t="shared" si="3"/>
        <v>32919327.78301895</v>
      </c>
      <c r="Z15" s="132">
        <f t="shared" si="3"/>
        <v>33577714.338679336</v>
      </c>
      <c r="AA15" s="132">
        <f t="shared" si="3"/>
        <v>34249268.625452921</v>
      </c>
      <c r="AB15" s="132">
        <f t="shared" si="3"/>
        <v>34934253.997961983</v>
      </c>
      <c r="AC15" s="132">
        <f t="shared" si="3"/>
        <v>35632939.077921219</v>
      </c>
      <c r="AD15" s="132">
        <f t="shared" si="3"/>
        <v>36345597.859479643</v>
      </c>
      <c r="AE15" s="132">
        <f t="shared" si="3"/>
        <v>37072509.816669233</v>
      </c>
      <c r="AF15" s="132">
        <f t="shared" si="3"/>
        <v>37813960.013002619</v>
      </c>
      <c r="AG15" s="227" t="s">
        <v>146</v>
      </c>
      <c r="AH15" s="238"/>
      <c r="AI15" s="238"/>
      <c r="AJ15" s="152"/>
    </row>
    <row r="16" spans="1:44" x14ac:dyDescent="0.25">
      <c r="A16" t="s">
        <v>202</v>
      </c>
      <c r="C16" s="82">
        <f>(1916.01+12727.39+176939.29+2666421.52+2264171.83)/0.01</f>
        <v>512217604</v>
      </c>
      <c r="D16" s="207">
        <f t="shared" ref="D16:AF16" si="4">D13+D14+D15</f>
        <v>642957072.08000004</v>
      </c>
      <c r="E16" s="82">
        <f t="shared" si="4"/>
        <v>753559213.52160001</v>
      </c>
      <c r="F16" s="82">
        <f t="shared" si="4"/>
        <v>871424397.792032</v>
      </c>
      <c r="G16" s="82">
        <f t="shared" si="4"/>
        <v>970127885.74787259</v>
      </c>
      <c r="H16" s="82">
        <f t="shared" si="4"/>
        <v>1084708443.4628301</v>
      </c>
      <c r="I16" s="82">
        <f t="shared" si="4"/>
        <v>1186352612.3320866</v>
      </c>
      <c r="J16" s="82">
        <f t="shared" si="4"/>
        <v>1247389664.5787282</v>
      </c>
      <c r="K16" s="82">
        <f t="shared" si="4"/>
        <v>1272337457.8703027</v>
      </c>
      <c r="L16" s="82">
        <f t="shared" si="4"/>
        <v>1297784207.0277088</v>
      </c>
      <c r="M16" s="82">
        <f t="shared" si="4"/>
        <v>1323739891.168263</v>
      </c>
      <c r="N16" s="82">
        <f t="shared" si="4"/>
        <v>1350265728.9916282</v>
      </c>
      <c r="O16" s="82">
        <f t="shared" si="4"/>
        <v>1377271043.5714607</v>
      </c>
      <c r="P16" s="82">
        <f t="shared" si="4"/>
        <v>1404816464.4428899</v>
      </c>
      <c r="Q16" s="82">
        <f t="shared" si="4"/>
        <v>1432912793.7317476</v>
      </c>
      <c r="R16" s="82">
        <f t="shared" si="4"/>
        <v>1461571049.6063826</v>
      </c>
      <c r="S16" s="82">
        <f t="shared" si="4"/>
        <v>1490802470.5985103</v>
      </c>
      <c r="T16" s="82">
        <f t="shared" si="4"/>
        <v>1520618520.0104804</v>
      </c>
      <c r="U16" s="82">
        <f t="shared" si="4"/>
        <v>1551030890.4106901</v>
      </c>
      <c r="V16" s="82">
        <f t="shared" si="4"/>
        <v>1582051508.2189038</v>
      </c>
      <c r="W16" s="82">
        <f t="shared" si="4"/>
        <v>1613692538.3832819</v>
      </c>
      <c r="X16" s="82">
        <f t="shared" si="4"/>
        <v>1645966389.1509476</v>
      </c>
      <c r="Y16" s="82">
        <f t="shared" si="4"/>
        <v>1678885716.9339666</v>
      </c>
      <c r="Z16" s="82">
        <f t="shared" si="4"/>
        <v>1712463431.272646</v>
      </c>
      <c r="AA16" s="82">
        <f t="shared" si="4"/>
        <v>1746712699.8980989</v>
      </c>
      <c r="AB16" s="82">
        <f t="shared" si="4"/>
        <v>1781646953.8960609</v>
      </c>
      <c r="AC16" s="82">
        <f t="shared" si="4"/>
        <v>1817279892.9739821</v>
      </c>
      <c r="AD16" s="82">
        <f t="shared" si="4"/>
        <v>1853625490.8334618</v>
      </c>
      <c r="AE16" s="82">
        <f t="shared" si="4"/>
        <v>1890698000.650131</v>
      </c>
      <c r="AF16" s="82">
        <f t="shared" si="4"/>
        <v>1928511960.6631336</v>
      </c>
      <c r="AG16" s="335" t="s">
        <v>176</v>
      </c>
      <c r="AH16" s="240" t="s">
        <v>190</v>
      </c>
      <c r="AI16" s="240"/>
      <c r="AJ16" s="152"/>
    </row>
    <row r="17" spans="1:49" x14ac:dyDescent="0.25">
      <c r="A17" t="s">
        <v>12</v>
      </c>
      <c r="C17" s="146">
        <f t="shared" ref="C17:AF17" si="5">-$B$6</f>
        <v>0</v>
      </c>
      <c r="D17" s="208">
        <f t="shared" si="5"/>
        <v>0</v>
      </c>
      <c r="E17" s="56">
        <f t="shared" si="5"/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  <c r="Z17" s="56">
        <f t="shared" si="5"/>
        <v>0</v>
      </c>
      <c r="AA17" s="56">
        <f t="shared" si="5"/>
        <v>0</v>
      </c>
      <c r="AB17" s="56">
        <f t="shared" si="5"/>
        <v>0</v>
      </c>
      <c r="AC17" s="56">
        <f t="shared" si="5"/>
        <v>0</v>
      </c>
      <c r="AD17" s="56">
        <f t="shared" si="5"/>
        <v>0</v>
      </c>
      <c r="AE17" s="56">
        <f t="shared" si="5"/>
        <v>0</v>
      </c>
      <c r="AF17" s="56">
        <f t="shared" si="5"/>
        <v>0</v>
      </c>
      <c r="AG17" s="227" t="s">
        <v>144</v>
      </c>
      <c r="AH17" s="238" t="s">
        <v>144</v>
      </c>
      <c r="AI17" s="238"/>
      <c r="AJ17" s="152"/>
    </row>
    <row r="18" spans="1:49" x14ac:dyDescent="0.25">
      <c r="A18" s="1" t="s">
        <v>51</v>
      </c>
      <c r="C18" s="96">
        <f>C20/B20</f>
        <v>512217604</v>
      </c>
      <c r="D18" s="209">
        <f t="shared" ref="D18:AF18" si="6">SUM(D16:D17)</f>
        <v>642957072.08000004</v>
      </c>
      <c r="E18" s="70">
        <f t="shared" si="6"/>
        <v>753559213.52160001</v>
      </c>
      <c r="F18" s="70">
        <f t="shared" si="6"/>
        <v>871424397.792032</v>
      </c>
      <c r="G18" s="70">
        <f t="shared" si="6"/>
        <v>970127885.74787259</v>
      </c>
      <c r="H18" s="70">
        <f t="shared" si="6"/>
        <v>1084708443.4628301</v>
      </c>
      <c r="I18" s="70">
        <f t="shared" si="6"/>
        <v>1186352612.3320866</v>
      </c>
      <c r="J18" s="70">
        <f t="shared" si="6"/>
        <v>1247389664.5787282</v>
      </c>
      <c r="K18" s="70">
        <f t="shared" si="6"/>
        <v>1272337457.8703027</v>
      </c>
      <c r="L18" s="70">
        <f t="shared" si="6"/>
        <v>1297784207.0277088</v>
      </c>
      <c r="M18" s="70">
        <f t="shared" si="6"/>
        <v>1323739891.168263</v>
      </c>
      <c r="N18" s="70">
        <f t="shared" si="6"/>
        <v>1350265728.9916282</v>
      </c>
      <c r="O18" s="70">
        <f t="shared" si="6"/>
        <v>1377271043.5714607</v>
      </c>
      <c r="P18" s="70">
        <f t="shared" si="6"/>
        <v>1404816464.4428899</v>
      </c>
      <c r="Q18" s="70">
        <f t="shared" si="6"/>
        <v>1432912793.7317476</v>
      </c>
      <c r="R18" s="70">
        <f t="shared" si="6"/>
        <v>1461571049.6063826</v>
      </c>
      <c r="S18" s="70">
        <f t="shared" si="6"/>
        <v>1490802470.5985103</v>
      </c>
      <c r="T18" s="70">
        <f t="shared" si="6"/>
        <v>1520618520.0104804</v>
      </c>
      <c r="U18" s="70">
        <f t="shared" si="6"/>
        <v>1551030890.4106901</v>
      </c>
      <c r="V18" s="70">
        <f t="shared" si="6"/>
        <v>1582051508.2189038</v>
      </c>
      <c r="W18" s="70">
        <f t="shared" si="6"/>
        <v>1613692538.3832819</v>
      </c>
      <c r="X18" s="70">
        <f t="shared" si="6"/>
        <v>1645966389.1509476</v>
      </c>
      <c r="Y18" s="70">
        <f t="shared" si="6"/>
        <v>1678885716.9339666</v>
      </c>
      <c r="Z18" s="70">
        <f t="shared" si="6"/>
        <v>1712463431.272646</v>
      </c>
      <c r="AA18" s="70">
        <f t="shared" si="6"/>
        <v>1746712699.8980989</v>
      </c>
      <c r="AB18" s="70">
        <f t="shared" si="6"/>
        <v>1781646953.8960609</v>
      </c>
      <c r="AC18" s="70">
        <f t="shared" si="6"/>
        <v>1817279892.9739821</v>
      </c>
      <c r="AD18" s="70">
        <f t="shared" si="6"/>
        <v>1853625490.8334618</v>
      </c>
      <c r="AE18" s="70">
        <f t="shared" si="6"/>
        <v>1890698000.650131</v>
      </c>
      <c r="AF18" s="70">
        <f t="shared" si="6"/>
        <v>1928511960.6631336</v>
      </c>
      <c r="AG18" s="227" t="s">
        <v>177</v>
      </c>
      <c r="AH18" s="238" t="s">
        <v>191</v>
      </c>
      <c r="AI18" s="238"/>
      <c r="AJ18" s="152"/>
    </row>
    <row r="19" spans="1:49" ht="8.1" customHeight="1" x14ac:dyDescent="0.25">
      <c r="C19" s="82"/>
      <c r="D19" s="207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227"/>
      <c r="AH19" s="238"/>
      <c r="AI19" s="238"/>
      <c r="AJ19" s="152"/>
    </row>
    <row r="20" spans="1:49" x14ac:dyDescent="0.25">
      <c r="A20" t="s">
        <v>42</v>
      </c>
      <c r="B20" s="253">
        <v>0.01</v>
      </c>
      <c r="C20" s="82">
        <f>C16*B20</f>
        <v>5122176.04</v>
      </c>
      <c r="D20" s="207">
        <f>D18*B20</f>
        <v>6429570.7208000002</v>
      </c>
      <c r="E20" s="68">
        <f>B20*E18</f>
        <v>7535592.1352160005</v>
      </c>
      <c r="F20" s="68">
        <f>$B$20*F18</f>
        <v>8714243.9779203199</v>
      </c>
      <c r="G20" s="68">
        <f t="shared" ref="G20:AF20" si="7">$B$20*G18</f>
        <v>9701278.8574787267</v>
      </c>
      <c r="H20" s="68">
        <f t="shared" si="7"/>
        <v>10847084.4346283</v>
      </c>
      <c r="I20" s="68">
        <f t="shared" si="7"/>
        <v>11863526.123320866</v>
      </c>
      <c r="J20" s="68">
        <f t="shared" si="7"/>
        <v>12473896.645787282</v>
      </c>
      <c r="K20" s="68">
        <f t="shared" si="7"/>
        <v>12723374.578703027</v>
      </c>
      <c r="L20" s="68">
        <f t="shared" si="7"/>
        <v>12977842.070277087</v>
      </c>
      <c r="M20" s="68">
        <f t="shared" si="7"/>
        <v>13237398.91168263</v>
      </c>
      <c r="N20" s="68">
        <f t="shared" si="7"/>
        <v>13502657.289916283</v>
      </c>
      <c r="O20" s="68">
        <f t="shared" si="7"/>
        <v>13772710.435714608</v>
      </c>
      <c r="P20" s="68">
        <f t="shared" si="7"/>
        <v>14048164.6444289</v>
      </c>
      <c r="Q20" s="68">
        <f t="shared" si="7"/>
        <v>14329127.937317476</v>
      </c>
      <c r="R20" s="68">
        <f t="shared" si="7"/>
        <v>14615710.496063827</v>
      </c>
      <c r="S20" s="68">
        <f t="shared" si="7"/>
        <v>14908024.705985103</v>
      </c>
      <c r="T20" s="68">
        <f t="shared" si="7"/>
        <v>15206185.200104805</v>
      </c>
      <c r="U20" s="68">
        <f t="shared" si="7"/>
        <v>15510308.9041069</v>
      </c>
      <c r="V20" s="68">
        <f t="shared" si="7"/>
        <v>15820515.082189038</v>
      </c>
      <c r="W20" s="68">
        <f t="shared" si="7"/>
        <v>16136925.38383282</v>
      </c>
      <c r="X20" s="68">
        <f t="shared" si="7"/>
        <v>16459663.891509475</v>
      </c>
      <c r="Y20" s="68">
        <f t="shared" si="7"/>
        <v>16788857.169339668</v>
      </c>
      <c r="Z20" s="68">
        <f t="shared" si="7"/>
        <v>17124634.31272646</v>
      </c>
      <c r="AA20" s="68">
        <f t="shared" si="7"/>
        <v>17467126.998980992</v>
      </c>
      <c r="AB20" s="68">
        <f t="shared" si="7"/>
        <v>17816469.53896061</v>
      </c>
      <c r="AC20" s="68">
        <f t="shared" si="7"/>
        <v>18172798.929739822</v>
      </c>
      <c r="AD20" s="68">
        <f t="shared" si="7"/>
        <v>18536254.908334617</v>
      </c>
      <c r="AE20" s="68">
        <f t="shared" si="7"/>
        <v>18906980.00650131</v>
      </c>
      <c r="AF20" s="68">
        <f t="shared" si="7"/>
        <v>19285119.606631335</v>
      </c>
      <c r="AG20" s="227" t="s">
        <v>178</v>
      </c>
      <c r="AH20" s="240" t="s">
        <v>192</v>
      </c>
      <c r="AI20" s="240"/>
      <c r="AJ20" s="152"/>
    </row>
    <row r="21" spans="1:49" x14ac:dyDescent="0.25">
      <c r="A21" t="s">
        <v>41</v>
      </c>
      <c r="B21" s="176">
        <v>0.2</v>
      </c>
      <c r="C21" s="173">
        <f t="shared" ref="C21:AF21" si="8">-$B21*C20</f>
        <v>-1024435.2080000001</v>
      </c>
      <c r="D21" s="207">
        <f t="shared" si="8"/>
        <v>-1285914.1441600001</v>
      </c>
      <c r="E21" s="69">
        <f t="shared" si="8"/>
        <v>-1507118.4270432002</v>
      </c>
      <c r="F21" s="69">
        <f t="shared" si="8"/>
        <v>-1742848.795584064</v>
      </c>
      <c r="G21" s="69">
        <f t="shared" si="8"/>
        <v>-1940255.7714957455</v>
      </c>
      <c r="H21" s="69">
        <f t="shared" si="8"/>
        <v>-2169416.8869256601</v>
      </c>
      <c r="I21" s="69">
        <f t="shared" si="8"/>
        <v>-2372705.2246641736</v>
      </c>
      <c r="J21" s="69">
        <f t="shared" si="8"/>
        <v>-2494779.3291574563</v>
      </c>
      <c r="K21" s="69">
        <f t="shared" si="8"/>
        <v>-2544674.9157406054</v>
      </c>
      <c r="L21" s="69">
        <f t="shared" si="8"/>
        <v>-2595568.4140554178</v>
      </c>
      <c r="M21" s="69">
        <f t="shared" si="8"/>
        <v>-2647479.7823365261</v>
      </c>
      <c r="N21" s="69">
        <f t="shared" si="8"/>
        <v>-2700531.4579832568</v>
      </c>
      <c r="O21" s="69">
        <f t="shared" si="8"/>
        <v>-2754542.087142922</v>
      </c>
      <c r="P21" s="69">
        <f t="shared" si="8"/>
        <v>-2809632.9288857803</v>
      </c>
      <c r="Q21" s="69">
        <f t="shared" si="8"/>
        <v>-2865825.5874634953</v>
      </c>
      <c r="R21" s="69">
        <f t="shared" si="8"/>
        <v>-2923142.0992127657</v>
      </c>
      <c r="S21" s="69">
        <f t="shared" si="8"/>
        <v>-2981604.9411970209</v>
      </c>
      <c r="T21" s="69">
        <f t="shared" si="8"/>
        <v>-3041237.0400209613</v>
      </c>
      <c r="U21" s="69">
        <f t="shared" si="8"/>
        <v>-3102061.7808213802</v>
      </c>
      <c r="V21" s="69">
        <f t="shared" si="8"/>
        <v>-3164103.0164378081</v>
      </c>
      <c r="W21" s="69">
        <f t="shared" si="8"/>
        <v>-3227385.076766564</v>
      </c>
      <c r="X21" s="69">
        <f t="shared" si="8"/>
        <v>-3291932.7783018951</v>
      </c>
      <c r="Y21" s="69">
        <f t="shared" si="8"/>
        <v>-3357771.4338679337</v>
      </c>
      <c r="Z21" s="69">
        <f t="shared" si="8"/>
        <v>-3424926.8625452924</v>
      </c>
      <c r="AA21" s="69">
        <f t="shared" si="8"/>
        <v>-3493425.3997961986</v>
      </c>
      <c r="AB21" s="69">
        <f t="shared" si="8"/>
        <v>-3563293.9077921221</v>
      </c>
      <c r="AC21" s="69">
        <f t="shared" si="8"/>
        <v>-3634559.7859479645</v>
      </c>
      <c r="AD21" s="69">
        <f t="shared" si="8"/>
        <v>-3707250.9816669235</v>
      </c>
      <c r="AE21" s="69">
        <f t="shared" si="8"/>
        <v>-3781396.0013002623</v>
      </c>
      <c r="AF21" s="69">
        <f t="shared" si="8"/>
        <v>-3857023.9213262671</v>
      </c>
      <c r="AG21" s="231" t="s">
        <v>179</v>
      </c>
      <c r="AH21" s="241" t="s">
        <v>193</v>
      </c>
      <c r="AI21" s="241"/>
      <c r="AJ21" s="152"/>
      <c r="AT21" s="445" t="s">
        <v>254</v>
      </c>
    </row>
    <row r="22" spans="1:49" x14ac:dyDescent="0.25">
      <c r="A22" s="1" t="s">
        <v>69</v>
      </c>
      <c r="B22" s="254"/>
      <c r="C22" s="204">
        <f>C20+C21</f>
        <v>4097740.8319999999</v>
      </c>
      <c r="D22" s="210">
        <f>SUM(D20:D21)</f>
        <v>5143656.5766400006</v>
      </c>
      <c r="E22" s="71">
        <f t="shared" ref="E22:AF22" si="9">SUM(E20:E21)</f>
        <v>6028473.7081728</v>
      </c>
      <c r="F22" s="71">
        <f t="shared" si="9"/>
        <v>6971395.1823362559</v>
      </c>
      <c r="G22" s="71">
        <f t="shared" si="9"/>
        <v>7761023.0859829811</v>
      </c>
      <c r="H22" s="71">
        <f t="shared" si="9"/>
        <v>8677667.5477026403</v>
      </c>
      <c r="I22" s="71">
        <f t="shared" si="9"/>
        <v>9490820.8986566924</v>
      </c>
      <c r="J22" s="71">
        <f t="shared" si="9"/>
        <v>9979117.3166298252</v>
      </c>
      <c r="K22" s="71">
        <f t="shared" si="9"/>
        <v>10178699.662962422</v>
      </c>
      <c r="L22" s="71">
        <f t="shared" si="9"/>
        <v>10382273.656221669</v>
      </c>
      <c r="M22" s="71">
        <f t="shared" si="9"/>
        <v>10589919.129346104</v>
      </c>
      <c r="N22" s="71">
        <f t="shared" si="9"/>
        <v>10802125.831933025</v>
      </c>
      <c r="O22" s="71">
        <f t="shared" si="9"/>
        <v>11018168.348571686</v>
      </c>
      <c r="P22" s="71">
        <f t="shared" si="9"/>
        <v>11238531.715543119</v>
      </c>
      <c r="Q22" s="71">
        <f t="shared" si="9"/>
        <v>11463302.349853981</v>
      </c>
      <c r="R22" s="71">
        <f t="shared" si="9"/>
        <v>11692568.396851061</v>
      </c>
      <c r="S22" s="71">
        <f t="shared" si="9"/>
        <v>11926419.764788082</v>
      </c>
      <c r="T22" s="71">
        <f t="shared" si="9"/>
        <v>12164948.160083843</v>
      </c>
      <c r="U22" s="71">
        <f t="shared" si="9"/>
        <v>12408247.123285521</v>
      </c>
      <c r="V22" s="71">
        <f t="shared" si="9"/>
        <v>12656412.06575123</v>
      </c>
      <c r="W22" s="71">
        <f t="shared" si="9"/>
        <v>12909540.307066256</v>
      </c>
      <c r="X22" s="71">
        <f t="shared" si="9"/>
        <v>13167731.113207581</v>
      </c>
      <c r="Y22" s="71">
        <f t="shared" si="9"/>
        <v>13431085.735471735</v>
      </c>
      <c r="Z22" s="71">
        <f t="shared" si="9"/>
        <v>13699707.450181168</v>
      </c>
      <c r="AA22" s="71">
        <f t="shared" si="9"/>
        <v>13973701.599184792</v>
      </c>
      <c r="AB22" s="71">
        <f t="shared" si="9"/>
        <v>14253175.631168488</v>
      </c>
      <c r="AC22" s="71">
        <f t="shared" si="9"/>
        <v>14538239.143791858</v>
      </c>
      <c r="AD22" s="71">
        <f t="shared" si="9"/>
        <v>14829003.926667694</v>
      </c>
      <c r="AE22" s="71">
        <f t="shared" si="9"/>
        <v>15125584.005201047</v>
      </c>
      <c r="AF22" s="71">
        <f t="shared" si="9"/>
        <v>15428095.685305068</v>
      </c>
      <c r="AG22" s="227" t="s">
        <v>180</v>
      </c>
      <c r="AH22" s="238" t="s">
        <v>150</v>
      </c>
      <c r="AI22" s="238"/>
      <c r="AJ22" s="124"/>
      <c r="AK22" s="139"/>
      <c r="AL22" s="139"/>
      <c r="AM22" s="139"/>
      <c r="AN22" s="445" t="s">
        <v>41</v>
      </c>
      <c r="AO22" s="445" t="s">
        <v>249</v>
      </c>
      <c r="AP22" s="139"/>
      <c r="AQ22" s="139"/>
      <c r="AR22" s="440" t="s">
        <v>251</v>
      </c>
      <c r="AS22" s="445" t="s">
        <v>41</v>
      </c>
      <c r="AT22" s="445"/>
      <c r="AU22" s="447" t="s">
        <v>253</v>
      </c>
      <c r="AV22" s="445" t="s">
        <v>252</v>
      </c>
      <c r="AW22" s="139"/>
    </row>
    <row r="23" spans="1:49" ht="7.5" customHeight="1" x14ac:dyDescent="0.25">
      <c r="A23" s="1"/>
      <c r="B23" s="254"/>
      <c r="C23" s="82"/>
      <c r="D23" s="207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227"/>
      <c r="AH23" s="238"/>
      <c r="AI23" s="238"/>
      <c r="AJ23" s="124"/>
      <c r="AK23" s="139"/>
      <c r="AL23" s="139"/>
      <c r="AM23" s="139"/>
      <c r="AN23" s="445"/>
      <c r="AO23" s="445"/>
      <c r="AP23" s="445" t="s">
        <v>250</v>
      </c>
      <c r="AQ23" s="445" t="s">
        <v>247</v>
      </c>
      <c r="AR23" s="440"/>
      <c r="AS23" s="445"/>
      <c r="AT23" s="445"/>
      <c r="AU23" s="447"/>
      <c r="AV23" s="445"/>
      <c r="AW23" s="139"/>
    </row>
    <row r="24" spans="1:49" ht="15" customHeight="1" x14ac:dyDescent="0.25">
      <c r="A24" s="1" t="s">
        <v>222</v>
      </c>
      <c r="B24" s="254"/>
      <c r="C24" s="82"/>
      <c r="D24" s="207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227"/>
      <c r="AH24" s="238"/>
      <c r="AI24" s="238"/>
      <c r="AJ24" s="124"/>
      <c r="AK24" s="326">
        <v>0.25</v>
      </c>
      <c r="AL24" s="326">
        <v>0.21</v>
      </c>
      <c r="AM24" s="445" t="s">
        <v>246</v>
      </c>
      <c r="AN24" s="445"/>
      <c r="AO24" s="445"/>
      <c r="AP24" s="445"/>
      <c r="AQ24" s="445"/>
      <c r="AR24" s="440"/>
      <c r="AS24" s="445"/>
      <c r="AT24" s="445"/>
      <c r="AU24" s="447"/>
      <c r="AV24" s="445"/>
      <c r="AW24" s="139"/>
    </row>
    <row r="25" spans="1:49" ht="15" customHeight="1" x14ac:dyDescent="0.25">
      <c r="A25" s="19" t="s">
        <v>258</v>
      </c>
      <c r="B25" s="255">
        <v>0.25</v>
      </c>
      <c r="C25" s="82"/>
      <c r="D25" s="207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227"/>
      <c r="AH25" s="238"/>
      <c r="AI25" s="238"/>
      <c r="AJ25" s="327" t="s">
        <v>237</v>
      </c>
      <c r="AK25" s="130" t="s">
        <v>244</v>
      </c>
      <c r="AL25" s="130" t="s">
        <v>245</v>
      </c>
      <c r="AM25" s="446"/>
      <c r="AN25" s="446"/>
      <c r="AO25" s="446"/>
      <c r="AP25" s="446"/>
      <c r="AQ25" s="446"/>
      <c r="AR25" s="441"/>
      <c r="AS25" s="446"/>
      <c r="AT25" s="446"/>
      <c r="AU25" s="448"/>
      <c r="AV25" s="446"/>
      <c r="AW25" s="130"/>
    </row>
    <row r="26" spans="1:49" x14ac:dyDescent="0.25">
      <c r="A26" t="s">
        <v>218</v>
      </c>
      <c r="B26" s="255">
        <v>0.43601084729514705</v>
      </c>
      <c r="C26" s="82">
        <f>-$B26*$B25*C$22</f>
        <v>-446664.8630390602</v>
      </c>
      <c r="D26" s="207">
        <f t="shared" ref="D26:AF26" si="10">-$B26*$B25*D$22</f>
        <v>-560672.51554401556</v>
      </c>
      <c r="E26" s="68">
        <f>-$B26*$B25*E$22</f>
        <v>-657119.98234923487</v>
      </c>
      <c r="F26" s="68">
        <f t="shared" si="10"/>
        <v>-759900.98006993427</v>
      </c>
      <c r="G26" s="68">
        <f t="shared" si="10"/>
        <v>-845972.56289915915</v>
      </c>
      <c r="H26" s="68">
        <f t="shared" si="10"/>
        <v>-945889.29500485724</v>
      </c>
      <c r="I26" s="68">
        <f t="shared" si="10"/>
        <v>-1034525.2153874483</v>
      </c>
      <c r="J26" s="68">
        <f t="shared" si="10"/>
        <v>-1087750.849120361</v>
      </c>
      <c r="K26" s="68">
        <f t="shared" si="10"/>
        <v>-1109505.8661027683</v>
      </c>
      <c r="L26" s="68">
        <f t="shared" si="10"/>
        <v>-1131695.9834248235</v>
      </c>
      <c r="M26" s="68">
        <f t="shared" si="10"/>
        <v>-1154329.9030933203</v>
      </c>
      <c r="N26" s="68">
        <f t="shared" si="10"/>
        <v>-1177461.0091424785</v>
      </c>
      <c r="O26" s="68">
        <f t="shared" si="10"/>
        <v>-1201010.229325328</v>
      </c>
      <c r="P26" s="68">
        <f t="shared" si="10"/>
        <v>-1225030.4339118346</v>
      </c>
      <c r="Q26" s="68">
        <f t="shared" si="10"/>
        <v>-1249531.0425900712</v>
      </c>
      <c r="R26" s="68">
        <f t="shared" si="10"/>
        <v>-1274521.6634418727</v>
      </c>
      <c r="S26" s="68">
        <f t="shared" si="10"/>
        <v>-1300012.0967107101</v>
      </c>
      <c r="T26" s="68">
        <f t="shared" si="10"/>
        <v>-1326012.3386449241</v>
      </c>
      <c r="U26" s="68">
        <f t="shared" si="10"/>
        <v>-1352532.5854178227</v>
      </c>
      <c r="V26" s="68">
        <f t="shared" si="10"/>
        <v>-1379583.237126179</v>
      </c>
      <c r="W26" s="68">
        <f t="shared" si="10"/>
        <v>-1407174.9018687028</v>
      </c>
      <c r="X26" s="68">
        <f t="shared" si="10"/>
        <v>-1435318.3999060767</v>
      </c>
      <c r="Y26" s="68">
        <f t="shared" si="10"/>
        <v>-1464024.7679041985</v>
      </c>
      <c r="Z26" s="68">
        <f t="shared" si="10"/>
        <v>-1493305.2632622824</v>
      </c>
      <c r="AA26" s="68">
        <f t="shared" si="10"/>
        <v>-1523171.3685275281</v>
      </c>
      <c r="AB26" s="68">
        <f t="shared" si="10"/>
        <v>-1553634.7958980787</v>
      </c>
      <c r="AC26" s="68">
        <f t="shared" si="10"/>
        <v>-1584707.4918160404</v>
      </c>
      <c r="AD26" s="68">
        <f t="shared" si="10"/>
        <v>-1616401.641652361</v>
      </c>
      <c r="AE26" s="68">
        <f t="shared" si="10"/>
        <v>-1648729.6744854082</v>
      </c>
      <c r="AF26" s="68">
        <f t="shared" si="10"/>
        <v>-1681704.2679751164</v>
      </c>
      <c r="AG26" s="227" t="s">
        <v>224</v>
      </c>
      <c r="AH26" s="240" t="s">
        <v>235</v>
      </c>
      <c r="AI26" s="240"/>
      <c r="AJ26" s="152" t="s">
        <v>238</v>
      </c>
      <c r="AK26" s="328">
        <v>0.434253</v>
      </c>
      <c r="AL26" s="328">
        <v>4.6897000000000001E-2</v>
      </c>
      <c r="AM26" s="3">
        <v>2666421.52</v>
      </c>
      <c r="AN26" s="3">
        <f>-AM26*0.2</f>
        <v>-533284.304</v>
      </c>
      <c r="AO26" s="3">
        <f>AM26+AN26</f>
        <v>2133137.216</v>
      </c>
      <c r="AP26" s="3">
        <f>-(AO26*AK26*$AK$24)-(AO26*AL26*$AK$24)</f>
        <v>-256589.74286959998</v>
      </c>
      <c r="AQ26" s="3">
        <v>1274027.8600000001</v>
      </c>
      <c r="AR26" s="3">
        <f>(AM26-AQ26)</f>
        <v>1392393.66</v>
      </c>
      <c r="AS26" s="3">
        <f>-AR26*0.2</f>
        <v>-278478.73200000002</v>
      </c>
      <c r="AT26" s="3">
        <f>AR26+AS26</f>
        <v>1113914.9279999998</v>
      </c>
      <c r="AU26" s="3">
        <f>-(AT26*AK26*$AL$24)-(AT26*AL26*$AL$24)</f>
        <v>-112551.63519751198</v>
      </c>
      <c r="AV26" s="3">
        <f>AO26+AP26+AU26</f>
        <v>1763995.8379328882</v>
      </c>
      <c r="AW26" s="3">
        <f>(AM26*0.8)-(AM26*$AK$24*AK26)-(AM26*$AK$24*AL26)-(AR26*$AL$24*AK26)-(AR26*$AL$24*AL26)</f>
        <v>1671710.4934161101</v>
      </c>
    </row>
    <row r="27" spans="1:49" x14ac:dyDescent="0.25">
      <c r="A27" t="s">
        <v>219</v>
      </c>
      <c r="B27" s="323">
        <f>AJ42</f>
        <v>4.708428690072472E-2</v>
      </c>
      <c r="C27" s="82">
        <f>-$B27*$B25*C$22</f>
        <v>-48234.801244675604</v>
      </c>
      <c r="D27" s="207">
        <f>-$B27*$B25*D$22</f>
        <v>-60546.350493329337</v>
      </c>
      <c r="E27" s="82">
        <f>-$B27*$B25*E$22</f>
        <v>-70961.596412270985</v>
      </c>
      <c r="F27" s="82">
        <f>-$B27*$B25*F$22</f>
        <v>-82060.792715862597</v>
      </c>
      <c r="G27" s="82">
        <f>-$B27*$B25*G$22</f>
        <v>-91355.559405892651</v>
      </c>
      <c r="H27" s="82">
        <f t="shared" ref="H27:AF27" si="11">-$B27*$B25*H$22</f>
        <v>-102145.44711128486</v>
      </c>
      <c r="I27" s="82">
        <f t="shared" si="11"/>
        <v>-111717.13352893644</v>
      </c>
      <c r="J27" s="82">
        <f t="shared" si="11"/>
        <v>-117464.90568804722</v>
      </c>
      <c r="K27" s="82">
        <f t="shared" si="11"/>
        <v>-119814.20380180817</v>
      </c>
      <c r="L27" s="82">
        <f t="shared" si="11"/>
        <v>-122210.48787784432</v>
      </c>
      <c r="M27" s="82">
        <f t="shared" si="11"/>
        <v>-124654.69763540123</v>
      </c>
      <c r="N27" s="82">
        <f t="shared" si="11"/>
        <v>-127152.59795211606</v>
      </c>
      <c r="O27" s="82">
        <f t="shared" si="11"/>
        <v>-129695.64991115838</v>
      </c>
      <c r="P27" s="82">
        <f t="shared" si="11"/>
        <v>-132289.56290938155</v>
      </c>
      <c r="Q27" s="82">
        <f t="shared" si="11"/>
        <v>-134935.35416756917</v>
      </c>
      <c r="R27" s="82">
        <f t="shared" si="11"/>
        <v>-137634.06125092055</v>
      </c>
      <c r="S27" s="82">
        <f t="shared" si="11"/>
        <v>-140386.74247593898</v>
      </c>
      <c r="T27" s="82">
        <f t="shared" si="11"/>
        <v>-143194.47732545776</v>
      </c>
      <c r="U27" s="82">
        <f t="shared" si="11"/>
        <v>-146058.36687196692</v>
      </c>
      <c r="V27" s="82">
        <f t="shared" si="11"/>
        <v>-148979.53420940624</v>
      </c>
      <c r="W27" s="82">
        <f t="shared" si="11"/>
        <v>-151959.12489359439</v>
      </c>
      <c r="X27" s="82">
        <f t="shared" si="11"/>
        <v>-154998.30739146625</v>
      </c>
      <c r="Y27" s="82">
        <f t="shared" si="11"/>
        <v>-158098.27353929562</v>
      </c>
      <c r="Z27" s="82">
        <f t="shared" si="11"/>
        <v>-161260.23901008151</v>
      </c>
      <c r="AA27" s="82">
        <f t="shared" si="11"/>
        <v>-164485.44379028314</v>
      </c>
      <c r="AB27" s="82">
        <f t="shared" si="11"/>
        <v>-167775.1526660888</v>
      </c>
      <c r="AC27" s="82">
        <f t="shared" si="11"/>
        <v>-171130.6557194106</v>
      </c>
      <c r="AD27" s="82">
        <f t="shared" si="11"/>
        <v>-174553.26883379879</v>
      </c>
      <c r="AE27" s="82">
        <f t="shared" si="11"/>
        <v>-178044.33421047474</v>
      </c>
      <c r="AF27" s="82">
        <f t="shared" si="11"/>
        <v>-181605.22089468426</v>
      </c>
      <c r="AG27" s="227" t="s">
        <v>225</v>
      </c>
      <c r="AH27" s="240" t="s">
        <v>236</v>
      </c>
      <c r="AI27" s="240"/>
      <c r="AJ27" s="152" t="s">
        <v>239</v>
      </c>
      <c r="AK27" s="328">
        <v>0.43797799999999998</v>
      </c>
      <c r="AL27" s="328">
        <v>4.7299000000000001E-2</v>
      </c>
      <c r="AM27" s="3">
        <v>2264171.83</v>
      </c>
      <c r="AN27" s="3">
        <f t="shared" ref="AN27:AN36" si="12">-AM27*0.2</f>
        <v>-452834.36600000004</v>
      </c>
      <c r="AO27" s="3">
        <f t="shared" ref="AO27:AO36" si="13">AM27+AN27</f>
        <v>1811337.4640000002</v>
      </c>
      <c r="AP27" s="3">
        <f>-(AO27*AK27*$AK$24)-(AO27*AL27*$AK$24)</f>
        <v>-219750.10262938199</v>
      </c>
      <c r="AQ27" s="3">
        <v>671797.02</v>
      </c>
      <c r="AR27" s="3">
        <f>(AM27-AQ27)</f>
        <v>1592374.81</v>
      </c>
      <c r="AS27" s="3">
        <f t="shared" ref="AS27:AS36" si="14">-AR27*0.2</f>
        <v>-318474.96200000006</v>
      </c>
      <c r="AT27" s="3">
        <f t="shared" ref="AT27:AT36" si="15">AR27+AS27</f>
        <v>1273899.848</v>
      </c>
      <c r="AU27" s="3">
        <f>-(AT27*AK27*$AL$24)-(AT27*AL27*$AL$24)</f>
        <v>-129820.80227295816</v>
      </c>
      <c r="AV27" s="3">
        <f t="shared" ref="AV27:AV36" si="16">AO27+AP27+AU27</f>
        <v>1461766.55909766</v>
      </c>
      <c r="AW27" s="3">
        <f t="shared" ref="AW27:AW36" si="17">(AM27*0.8)-(AM27*$AK$24*AK27)-(AM27*$AK$24*AL27)-(AR27*$AL$24*AK27)-(AR27*$AL$24*AL27)</f>
        <v>1374373.8328720746</v>
      </c>
    </row>
    <row r="28" spans="1:49" ht="26.25" x14ac:dyDescent="0.25">
      <c r="A28" s="322" t="s">
        <v>234</v>
      </c>
      <c r="B28" s="323"/>
      <c r="C28" s="82">
        <f>(C20-(1274027.86+671797.02+115230.61+23706.97+1659.78))*0.8</f>
        <v>2428603.04</v>
      </c>
      <c r="D28" s="207">
        <f>(D20-(1274027.86+671797.02+115230.61+23706.97+1659.78))*0.8</f>
        <v>3474518.7846400002</v>
      </c>
      <c r="E28" s="82">
        <f t="shared" ref="E28:AF28" si="18">(E20-(1274027.86+671797.02+115230.61+23706.97+1659.78))*0.8</f>
        <v>4359335.9161728006</v>
      </c>
      <c r="F28" s="82">
        <f t="shared" si="18"/>
        <v>5302257.3903362565</v>
      </c>
      <c r="G28" s="82">
        <f t="shared" si="18"/>
        <v>6091885.2939829817</v>
      </c>
      <c r="H28" s="82">
        <f t="shared" si="18"/>
        <v>7008529.7557026409</v>
      </c>
      <c r="I28" s="82">
        <f t="shared" si="18"/>
        <v>7821683.1066566929</v>
      </c>
      <c r="J28" s="82">
        <f t="shared" si="18"/>
        <v>8309979.5246298257</v>
      </c>
      <c r="K28" s="82">
        <f t="shared" si="18"/>
        <v>8509561.8709624223</v>
      </c>
      <c r="L28" s="82">
        <f t="shared" si="18"/>
        <v>8713135.8642216697</v>
      </c>
      <c r="M28" s="82">
        <f t="shared" si="18"/>
        <v>8920781.3373461049</v>
      </c>
      <c r="N28" s="82">
        <f t="shared" si="18"/>
        <v>9132988.0399330258</v>
      </c>
      <c r="O28" s="82">
        <f t="shared" si="18"/>
        <v>9349030.5565716866</v>
      </c>
      <c r="P28" s="82">
        <f t="shared" si="18"/>
        <v>9569393.9235431198</v>
      </c>
      <c r="Q28" s="82">
        <f t="shared" si="18"/>
        <v>9794164.55785398</v>
      </c>
      <c r="R28" s="82">
        <f t="shared" si="18"/>
        <v>10023430.604851061</v>
      </c>
      <c r="S28" s="82">
        <f t="shared" si="18"/>
        <v>10257281.972788082</v>
      </c>
      <c r="T28" s="82">
        <f t="shared" si="18"/>
        <v>10495810.368083844</v>
      </c>
      <c r="U28" s="82">
        <f t="shared" si="18"/>
        <v>10739109.331285521</v>
      </c>
      <c r="V28" s="82">
        <f t="shared" si="18"/>
        <v>10987274.273751231</v>
      </c>
      <c r="W28" s="82">
        <f t="shared" si="18"/>
        <v>11240402.515066257</v>
      </c>
      <c r="X28" s="82">
        <f t="shared" si="18"/>
        <v>11498593.321207581</v>
      </c>
      <c r="Y28" s="82">
        <f t="shared" si="18"/>
        <v>11761947.943471735</v>
      </c>
      <c r="Z28" s="82">
        <f t="shared" si="18"/>
        <v>12030569.658181168</v>
      </c>
      <c r="AA28" s="82">
        <f t="shared" si="18"/>
        <v>12304563.807184793</v>
      </c>
      <c r="AB28" s="82">
        <f t="shared" si="18"/>
        <v>12584037.839168489</v>
      </c>
      <c r="AC28" s="82">
        <f t="shared" si="18"/>
        <v>12869101.351791859</v>
      </c>
      <c r="AD28" s="82">
        <f t="shared" si="18"/>
        <v>13159866.134667695</v>
      </c>
      <c r="AE28" s="82">
        <f t="shared" si="18"/>
        <v>13456446.213201046</v>
      </c>
      <c r="AF28" s="82">
        <f t="shared" si="18"/>
        <v>13758957.893305071</v>
      </c>
      <c r="AG28" s="227" t="s">
        <v>296</v>
      </c>
      <c r="AH28" s="246" t="s">
        <v>260</v>
      </c>
      <c r="AI28" s="246"/>
      <c r="AJ28" s="152"/>
      <c r="AK28" s="328"/>
      <c r="AL28" s="328"/>
      <c r="AM28" s="3"/>
      <c r="AN28" s="3">
        <f t="shared" si="12"/>
        <v>0</v>
      </c>
      <c r="AO28" s="3">
        <f t="shared" si="13"/>
        <v>0</v>
      </c>
      <c r="AP28" s="3">
        <f t="shared" ref="AP28:AP29" si="19">-(AO28*AK28*$AK$24)-(AO28*AL28*$AK$24)</f>
        <v>0</v>
      </c>
      <c r="AQ28" s="3"/>
      <c r="AR28" s="3">
        <f t="shared" ref="AR28:AR29" si="20">(AM28-AQ28)</f>
        <v>0</v>
      </c>
      <c r="AS28" s="3">
        <f t="shared" si="14"/>
        <v>0</v>
      </c>
      <c r="AT28" s="3">
        <f t="shared" si="15"/>
        <v>0</v>
      </c>
      <c r="AU28" s="3">
        <f t="shared" ref="AU28:AU29" si="21">-(AT28*AK28*$AL$24)-(AT28*AL28*$AL$24)</f>
        <v>0</v>
      </c>
      <c r="AV28" s="3">
        <f t="shared" si="16"/>
        <v>0</v>
      </c>
      <c r="AW28" s="3">
        <f t="shared" si="17"/>
        <v>0</v>
      </c>
    </row>
    <row r="29" spans="1:49" x14ac:dyDescent="0.25">
      <c r="A29" s="317" t="s">
        <v>221</v>
      </c>
      <c r="B29" s="255">
        <v>0.21</v>
      </c>
      <c r="C29" s="82"/>
      <c r="D29" s="207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227"/>
      <c r="AH29" s="240"/>
      <c r="AI29" s="240"/>
      <c r="AJ29" s="152" t="s">
        <v>240</v>
      </c>
      <c r="AK29" s="328">
        <v>0.43019800000000002</v>
      </c>
      <c r="AL29" s="328">
        <v>4.6459E-2</v>
      </c>
      <c r="AM29" s="3">
        <v>0</v>
      </c>
      <c r="AN29" s="3">
        <f t="shared" si="12"/>
        <v>0</v>
      </c>
      <c r="AO29" s="3">
        <f t="shared" si="13"/>
        <v>0</v>
      </c>
      <c r="AP29" s="3">
        <f t="shared" si="19"/>
        <v>0</v>
      </c>
      <c r="AQ29" s="3">
        <v>0</v>
      </c>
      <c r="AR29" s="3">
        <f t="shared" si="20"/>
        <v>0</v>
      </c>
      <c r="AS29" s="3">
        <f t="shared" si="14"/>
        <v>0</v>
      </c>
      <c r="AT29" s="3">
        <f t="shared" si="15"/>
        <v>0</v>
      </c>
      <c r="AU29" s="3">
        <f t="shared" si="21"/>
        <v>0</v>
      </c>
      <c r="AV29" s="3">
        <f t="shared" si="16"/>
        <v>0</v>
      </c>
      <c r="AW29" s="3">
        <f t="shared" si="17"/>
        <v>0</v>
      </c>
    </row>
    <row r="30" spans="1:49" x14ac:dyDescent="0.25">
      <c r="A30" s="316" t="s">
        <v>218</v>
      </c>
      <c r="B30" s="323">
        <f>AJ41</f>
        <v>0.43601084729514705</v>
      </c>
      <c r="C30" s="82">
        <f>-$B$30*$B$29*C28</f>
        <v>-222368.42653493368</v>
      </c>
      <c r="D30" s="207">
        <f t="shared" ref="D30:AF30" si="22">-$B$30*$B$29*D28</f>
        <v>-318134.85463909613</v>
      </c>
      <c r="E30" s="82">
        <f t="shared" si="22"/>
        <v>-399150.72675548046</v>
      </c>
      <c r="F30" s="82">
        <f t="shared" si="22"/>
        <v>-485486.76484086795</v>
      </c>
      <c r="G30" s="82">
        <f t="shared" si="22"/>
        <v>-557786.89441741677</v>
      </c>
      <c r="H30" s="82">
        <f t="shared" si="22"/>
        <v>-641716.9493862032</v>
      </c>
      <c r="I30" s="82">
        <f t="shared" si="22"/>
        <v>-716171.12250757974</v>
      </c>
      <c r="J30" s="82">
        <f t="shared" si="22"/>
        <v>-760880.65484322642</v>
      </c>
      <c r="K30" s="82">
        <f t="shared" si="22"/>
        <v>-779154.8691084485</v>
      </c>
      <c r="L30" s="82">
        <f t="shared" si="22"/>
        <v>-797794.56765897491</v>
      </c>
      <c r="M30" s="82">
        <f t="shared" si="22"/>
        <v>-816807.06018051214</v>
      </c>
      <c r="N30" s="82">
        <f t="shared" si="22"/>
        <v>-836237.18926180503</v>
      </c>
      <c r="O30" s="82">
        <f t="shared" si="22"/>
        <v>-856018.53421539871</v>
      </c>
      <c r="P30" s="82">
        <f t="shared" si="22"/>
        <v>-876195.50606806413</v>
      </c>
      <c r="Q30" s="82">
        <f t="shared" si="22"/>
        <v>-896776.01735778269</v>
      </c>
      <c r="R30" s="82">
        <f t="shared" si="22"/>
        <v>-917768.13887329609</v>
      </c>
      <c r="S30" s="82">
        <f t="shared" si="22"/>
        <v>-939180.10281911958</v>
      </c>
      <c r="T30" s="82">
        <f t="shared" si="22"/>
        <v>-961020.30604385945</v>
      </c>
      <c r="U30" s="82">
        <f t="shared" si="22"/>
        <v>-983297.31333309424</v>
      </c>
      <c r="V30" s="82">
        <f t="shared" si="22"/>
        <v>-1006019.8607681135</v>
      </c>
      <c r="W30" s="82">
        <f t="shared" si="22"/>
        <v>-1029196.8591518335</v>
      </c>
      <c r="X30" s="82">
        <f t="shared" si="22"/>
        <v>-1052837.3975032277</v>
      </c>
      <c r="Y30" s="82">
        <f t="shared" si="22"/>
        <v>-1076950.7466216499</v>
      </c>
      <c r="Z30" s="82">
        <f t="shared" si="22"/>
        <v>-1101546.3627224404</v>
      </c>
      <c r="AA30" s="82">
        <f t="shared" si="22"/>
        <v>-1126633.8911452468</v>
      </c>
      <c r="AB30" s="82">
        <f t="shared" si="22"/>
        <v>-1152223.1701365092</v>
      </c>
      <c r="AC30" s="82">
        <f t="shared" si="22"/>
        <v>-1178324.2347075969</v>
      </c>
      <c r="AD30" s="82">
        <f t="shared" si="22"/>
        <v>-1204947.3205701064</v>
      </c>
      <c r="AE30" s="82">
        <f t="shared" si="22"/>
        <v>-1232102.8681498659</v>
      </c>
      <c r="AF30" s="82">
        <f t="shared" si="22"/>
        <v>-1259801.5266812211</v>
      </c>
      <c r="AG30" s="227" t="s">
        <v>226</v>
      </c>
      <c r="AH30" s="240" t="s">
        <v>298</v>
      </c>
      <c r="AI30" s="240"/>
      <c r="AJ30" s="152" t="s">
        <v>241</v>
      </c>
      <c r="AK30" s="328">
        <v>0.43019800000000002</v>
      </c>
      <c r="AL30" s="328">
        <v>4.6459E-2</v>
      </c>
      <c r="AM30" s="3">
        <v>1916.01</v>
      </c>
      <c r="AN30" s="3">
        <f t="shared" si="12"/>
        <v>-383.202</v>
      </c>
      <c r="AO30" s="3">
        <f t="shared" si="13"/>
        <v>1532.808</v>
      </c>
      <c r="AP30" s="3">
        <f>-(AO30*AK30*$AK$24)-(AO30*AL30*$AK$24)</f>
        <v>-182.655915714</v>
      </c>
      <c r="AQ30" s="3">
        <v>1659.78</v>
      </c>
      <c r="AR30" s="3">
        <f>(AM30-AQ30)</f>
        <v>256.23</v>
      </c>
      <c r="AS30" s="3">
        <f t="shared" si="14"/>
        <v>-51.246000000000009</v>
      </c>
      <c r="AT30" s="3">
        <f t="shared" si="15"/>
        <v>204.98400000000001</v>
      </c>
      <c r="AU30" s="3">
        <f>-(AT30*AK30*$AL$24)-(AT30*AL30*$AL$24)</f>
        <v>-20.518482282480001</v>
      </c>
      <c r="AV30" s="3">
        <f t="shared" si="16"/>
        <v>1329.6336020035201</v>
      </c>
      <c r="AW30" s="3">
        <f t="shared" si="17"/>
        <v>1278.8400025043998</v>
      </c>
    </row>
    <row r="31" spans="1:49" x14ac:dyDescent="0.25">
      <c r="A31" s="316" t="s">
        <v>219</v>
      </c>
      <c r="B31" s="323">
        <f>AJ42</f>
        <v>4.708428690072472E-2</v>
      </c>
      <c r="C31" s="346">
        <f>-$B$31*$B$29*C28</f>
        <v>-24013.298883699768</v>
      </c>
      <c r="D31" s="173">
        <f t="shared" ref="D31:AF31" si="23">-$B$31*$B$29*D28</f>
        <v>-34355.000252568898</v>
      </c>
      <c r="E31" s="346">
        <f t="shared" si="23"/>
        <v>-43103.8068244799</v>
      </c>
      <c r="F31" s="173">
        <f t="shared" si="23"/>
        <v>-52427.131719496851</v>
      </c>
      <c r="G31" s="173">
        <f t="shared" si="23"/>
        <v>-60234.735739122101</v>
      </c>
      <c r="H31" s="173">
        <f t="shared" si="23"/>
        <v>-69298.241411651543</v>
      </c>
      <c r="I31" s="173">
        <f t="shared" si="23"/>
        <v>-77338.458002478874</v>
      </c>
      <c r="J31" s="173">
        <f t="shared" si="23"/>
        <v>-82166.586616131928</v>
      </c>
      <c r="K31" s="173">
        <f t="shared" si="23"/>
        <v>-84139.997031691135</v>
      </c>
      <c r="L31" s="173">
        <f t="shared" si="23"/>
        <v>-86152.875655561496</v>
      </c>
      <c r="M31" s="173">
        <f t="shared" si="23"/>
        <v>-88206.011851909294</v>
      </c>
      <c r="N31" s="173">
        <f t="shared" si="23"/>
        <v>-90304.248117949755</v>
      </c>
      <c r="O31" s="173">
        <f t="shared" si="23"/>
        <v>-92440.411763545315</v>
      </c>
      <c r="P31" s="173">
        <f t="shared" si="23"/>
        <v>-94619.298682052773</v>
      </c>
      <c r="Q31" s="173">
        <f t="shared" si="23"/>
        <v>-96841.763338930352</v>
      </c>
      <c r="R31" s="173">
        <f t="shared" si="23"/>
        <v>-99108.677288945546</v>
      </c>
      <c r="S31" s="173">
        <f t="shared" si="23"/>
        <v>-101420.92951796101</v>
      </c>
      <c r="T31" s="173">
        <f t="shared" si="23"/>
        <v>-103779.42679155678</v>
      </c>
      <c r="U31" s="173">
        <f t="shared" si="23"/>
        <v>-106185.09401062447</v>
      </c>
      <c r="V31" s="173">
        <f t="shared" si="23"/>
        <v>-108638.8745740735</v>
      </c>
      <c r="W31" s="173">
        <f t="shared" si="23"/>
        <v>-111141.73074879154</v>
      </c>
      <c r="X31" s="173">
        <f t="shared" si="23"/>
        <v>-113694.64404700392</v>
      </c>
      <c r="Y31" s="173">
        <f t="shared" si="23"/>
        <v>-116298.61561118058</v>
      </c>
      <c r="Z31" s="173">
        <f t="shared" si="23"/>
        <v>-118954.66660664073</v>
      </c>
      <c r="AA31" s="173">
        <f t="shared" si="23"/>
        <v>-121663.83862201011</v>
      </c>
      <c r="AB31" s="173">
        <f t="shared" si="23"/>
        <v>-124427.19407768687</v>
      </c>
      <c r="AC31" s="173">
        <f t="shared" si="23"/>
        <v>-127245.81664247716</v>
      </c>
      <c r="AD31" s="173">
        <f t="shared" si="23"/>
        <v>-130120.81165856325</v>
      </c>
      <c r="AE31" s="173">
        <f t="shared" si="23"/>
        <v>-133053.30657497104</v>
      </c>
      <c r="AF31" s="173">
        <f t="shared" si="23"/>
        <v>-136044.45138970704</v>
      </c>
      <c r="AG31" s="227" t="s">
        <v>227</v>
      </c>
      <c r="AH31" s="240" t="s">
        <v>299</v>
      </c>
      <c r="AI31" s="240"/>
      <c r="AJ31" s="152" t="s">
        <v>242</v>
      </c>
      <c r="AK31" s="328">
        <v>0.42786000000000002</v>
      </c>
      <c r="AL31" s="328">
        <v>4.6205999999999997E-2</v>
      </c>
      <c r="AM31" s="3">
        <v>12727.39</v>
      </c>
      <c r="AN31" s="3">
        <f t="shared" si="12"/>
        <v>-2545.4780000000001</v>
      </c>
      <c r="AO31" s="3">
        <f t="shared" si="13"/>
        <v>10181.912</v>
      </c>
      <c r="AP31" s="3">
        <f>-(AO31*AK31*$AK$24)-(AO31*AL31*$AK$24)</f>
        <v>-1206.7245735480001</v>
      </c>
      <c r="AQ31" s="3">
        <v>23706.97</v>
      </c>
      <c r="AR31" s="3">
        <f>(AM31-AQ31)</f>
        <v>-10979.580000000002</v>
      </c>
      <c r="AS31" s="3">
        <f t="shared" si="14"/>
        <v>2195.9160000000006</v>
      </c>
      <c r="AT31" s="3">
        <f t="shared" si="15"/>
        <v>-8783.6640000000007</v>
      </c>
      <c r="AU31" s="3">
        <f>-(AT31*AK31*$AL$24)-(AT31*AL31*$AL$24)</f>
        <v>874.44765614304015</v>
      </c>
      <c r="AV31" s="3">
        <f t="shared" si="16"/>
        <v>9849.6350825950412</v>
      </c>
      <c r="AW31" s="3">
        <f t="shared" si="17"/>
        <v>9766.565853243801</v>
      </c>
    </row>
    <row r="32" spans="1:49" ht="26.25" x14ac:dyDescent="0.25">
      <c r="A32" s="322" t="s">
        <v>292</v>
      </c>
      <c r="B32" s="323"/>
      <c r="C32" s="82">
        <v>0</v>
      </c>
      <c r="D32" s="207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f>O22-$N$22</f>
        <v>216042.5166386608</v>
      </c>
      <c r="P32" s="82">
        <f t="shared" ref="P32:AF32" si="24">P22-$N$22</f>
        <v>436405.88361009397</v>
      </c>
      <c r="Q32" s="82">
        <f t="shared" si="24"/>
        <v>661176.51792095602</v>
      </c>
      <c r="R32" s="82">
        <f t="shared" si="24"/>
        <v>890442.56491803564</v>
      </c>
      <c r="S32" s="82">
        <f t="shared" si="24"/>
        <v>1124293.9328550566</v>
      </c>
      <c r="T32" s="82">
        <f t="shared" si="24"/>
        <v>1362822.3281508181</v>
      </c>
      <c r="U32" s="82">
        <f t="shared" si="24"/>
        <v>1606121.2913524956</v>
      </c>
      <c r="V32" s="82">
        <f t="shared" si="24"/>
        <v>1854286.2338182051</v>
      </c>
      <c r="W32" s="82">
        <f t="shared" si="24"/>
        <v>2107414.4751332309</v>
      </c>
      <c r="X32" s="82">
        <f t="shared" si="24"/>
        <v>2365605.2812745553</v>
      </c>
      <c r="Y32" s="82">
        <f t="shared" si="24"/>
        <v>2628959.9035387095</v>
      </c>
      <c r="Z32" s="82">
        <f t="shared" si="24"/>
        <v>2897581.6182481423</v>
      </c>
      <c r="AA32" s="82">
        <f t="shared" si="24"/>
        <v>3171575.7672517672</v>
      </c>
      <c r="AB32" s="82">
        <f t="shared" si="24"/>
        <v>3451049.7992354631</v>
      </c>
      <c r="AC32" s="82">
        <f t="shared" si="24"/>
        <v>3736113.3118588328</v>
      </c>
      <c r="AD32" s="82">
        <f t="shared" si="24"/>
        <v>4026878.0947346687</v>
      </c>
      <c r="AE32" s="82">
        <f t="shared" si="24"/>
        <v>4323458.173268022</v>
      </c>
      <c r="AF32" s="82">
        <f t="shared" si="24"/>
        <v>4625969.853372043</v>
      </c>
      <c r="AG32" s="227" t="s">
        <v>297</v>
      </c>
      <c r="AH32" s="246" t="s">
        <v>295</v>
      </c>
      <c r="AI32" s="246"/>
      <c r="AJ32" s="152"/>
      <c r="AK32" s="328"/>
      <c r="AL32" s="328"/>
      <c r="AM32" s="3"/>
      <c r="AN32" s="3">
        <f t="shared" si="12"/>
        <v>0</v>
      </c>
      <c r="AO32" s="3">
        <f t="shared" si="13"/>
        <v>0</v>
      </c>
      <c r="AP32" s="3">
        <f t="shared" ref="AP32:AP33" si="25">-(AO32*AK32*$AK$24)-(AO32*AL32*$AK$24)</f>
        <v>0</v>
      </c>
      <c r="AQ32" s="3"/>
      <c r="AR32" s="3">
        <f t="shared" ref="AR32:AR33" si="26">(AM32-AQ32)</f>
        <v>0</v>
      </c>
      <c r="AS32" s="3">
        <f t="shared" si="14"/>
        <v>0</v>
      </c>
      <c r="AT32" s="3">
        <f t="shared" si="15"/>
        <v>0</v>
      </c>
      <c r="AU32" s="3">
        <f t="shared" ref="AU32:AU33" si="27">-(AT32*AK32*$AL$24)-(AT32*AL32*$AL$24)</f>
        <v>0</v>
      </c>
      <c r="AV32" s="3">
        <f t="shared" si="16"/>
        <v>0</v>
      </c>
      <c r="AW32" s="3">
        <f t="shared" si="17"/>
        <v>0</v>
      </c>
    </row>
    <row r="33" spans="1:49" x14ac:dyDescent="0.25">
      <c r="A33" s="317" t="s">
        <v>282</v>
      </c>
      <c r="B33" s="255">
        <v>0.14000000000000001</v>
      </c>
      <c r="C33" s="82"/>
      <c r="D33" s="207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227"/>
      <c r="AH33" s="240"/>
      <c r="AI33" s="240"/>
      <c r="AJ33" s="152" t="s">
        <v>240</v>
      </c>
      <c r="AK33" s="328">
        <v>0.43019800000000002</v>
      </c>
      <c r="AL33" s="328">
        <v>4.6459E-2</v>
      </c>
      <c r="AM33" s="3">
        <v>0</v>
      </c>
      <c r="AN33" s="3">
        <f t="shared" si="12"/>
        <v>0</v>
      </c>
      <c r="AO33" s="3">
        <f t="shared" si="13"/>
        <v>0</v>
      </c>
      <c r="AP33" s="3">
        <f t="shared" si="25"/>
        <v>0</v>
      </c>
      <c r="AQ33" s="3">
        <v>0</v>
      </c>
      <c r="AR33" s="3">
        <f t="shared" si="26"/>
        <v>0</v>
      </c>
      <c r="AS33" s="3">
        <f t="shared" si="14"/>
        <v>0</v>
      </c>
      <c r="AT33" s="3">
        <f t="shared" si="15"/>
        <v>0</v>
      </c>
      <c r="AU33" s="3">
        <f t="shared" si="27"/>
        <v>0</v>
      </c>
      <c r="AV33" s="3">
        <f t="shared" si="16"/>
        <v>0</v>
      </c>
      <c r="AW33" s="3">
        <f t="shared" si="17"/>
        <v>0</v>
      </c>
    </row>
    <row r="34" spans="1:49" x14ac:dyDescent="0.25">
      <c r="A34" s="316" t="s">
        <v>218</v>
      </c>
      <c r="B34" s="323">
        <f>B30</f>
        <v>0.43601084729514705</v>
      </c>
      <c r="C34" s="82">
        <f>-$B$34*$B$33*C32</f>
        <v>0</v>
      </c>
      <c r="D34" s="207">
        <f>-$B$34*$B$33*D32</f>
        <v>0</v>
      </c>
      <c r="E34" s="82">
        <f t="shared" ref="E34:AF34" si="28">-$B$34*$B$33*E32</f>
        <v>0</v>
      </c>
      <c r="F34" s="82">
        <f t="shared" si="28"/>
        <v>0</v>
      </c>
      <c r="G34" s="82">
        <f t="shared" si="28"/>
        <v>0</v>
      </c>
      <c r="H34" s="82">
        <f t="shared" si="28"/>
        <v>0</v>
      </c>
      <c r="I34" s="82">
        <f t="shared" si="28"/>
        <v>0</v>
      </c>
      <c r="J34" s="82">
        <f t="shared" si="28"/>
        <v>0</v>
      </c>
      <c r="K34" s="82">
        <f t="shared" si="28"/>
        <v>0</v>
      </c>
      <c r="L34" s="82">
        <f t="shared" si="28"/>
        <v>0</v>
      </c>
      <c r="M34" s="82">
        <f t="shared" si="28"/>
        <v>0</v>
      </c>
      <c r="N34" s="82">
        <f>-$B$34*$B$33*N32</f>
        <v>0</v>
      </c>
      <c r="O34" s="82">
        <f t="shared" si="28"/>
        <v>-13187.563302395778</v>
      </c>
      <c r="P34" s="82">
        <f t="shared" si="28"/>
        <v>-26638.87787083942</v>
      </c>
      <c r="Q34" s="82">
        <f t="shared" si="28"/>
        <v>-40359.218730651948</v>
      </c>
      <c r="R34" s="82">
        <f t="shared" si="28"/>
        <v>-54353.966407660744</v>
      </c>
      <c r="S34" s="82">
        <f t="shared" si="28"/>
        <v>-68628.609038209703</v>
      </c>
      <c r="T34" s="82">
        <f t="shared" si="28"/>
        <v>-83188.744521369648</v>
      </c>
      <c r="U34" s="82">
        <f t="shared" si="28"/>
        <v>-98040.082714192831</v>
      </c>
      <c r="V34" s="82">
        <f t="shared" si="28"/>
        <v>-113188.4476708724</v>
      </c>
      <c r="W34" s="82">
        <f t="shared" si="28"/>
        <v>-128639.77992668569</v>
      </c>
      <c r="X34" s="82">
        <f t="shared" si="28"/>
        <v>-144400.1388276151</v>
      </c>
      <c r="Y34" s="82">
        <f t="shared" si="28"/>
        <v>-160475.70490656333</v>
      </c>
      <c r="Z34" s="82">
        <f t="shared" si="28"/>
        <v>-176872.78230709024</v>
      </c>
      <c r="AA34" s="82">
        <f t="shared" si="28"/>
        <v>-193597.80125562791</v>
      </c>
      <c r="AB34" s="82">
        <f t="shared" si="28"/>
        <v>-210657.32058313623</v>
      </c>
      <c r="AC34" s="82">
        <f t="shared" si="28"/>
        <v>-228058.03029719469</v>
      </c>
      <c r="AD34" s="82">
        <f t="shared" si="28"/>
        <v>-245806.75420553429</v>
      </c>
      <c r="AE34" s="82">
        <f t="shared" si="28"/>
        <v>-263910.4525920407</v>
      </c>
      <c r="AF34" s="82">
        <f t="shared" si="28"/>
        <v>-282376.22494627727</v>
      </c>
      <c r="AG34" s="227" t="s">
        <v>284</v>
      </c>
      <c r="AH34" s="240" t="s">
        <v>300</v>
      </c>
      <c r="AI34" s="240"/>
      <c r="AJ34" s="152" t="s">
        <v>241</v>
      </c>
      <c r="AK34" s="328">
        <v>0.43019800000000002</v>
      </c>
      <c r="AL34" s="328">
        <v>4.6459E-2</v>
      </c>
      <c r="AM34" s="3">
        <v>1916.01</v>
      </c>
      <c r="AN34" s="3">
        <f t="shared" si="12"/>
        <v>-383.202</v>
      </c>
      <c r="AO34" s="3">
        <f t="shared" si="13"/>
        <v>1532.808</v>
      </c>
      <c r="AP34" s="3">
        <f>-(AO34*AK34*$AK$24)-(AO34*AL34*$AK$24)</f>
        <v>-182.655915714</v>
      </c>
      <c r="AQ34" s="3">
        <v>1659.78</v>
      </c>
      <c r="AR34" s="3">
        <f>(AM34-AQ34)</f>
        <v>256.23</v>
      </c>
      <c r="AS34" s="3">
        <f t="shared" si="14"/>
        <v>-51.246000000000009</v>
      </c>
      <c r="AT34" s="3">
        <f t="shared" si="15"/>
        <v>204.98400000000001</v>
      </c>
      <c r="AU34" s="3">
        <f>-(AT34*AK34*$AL$24)-(AT34*AL34*$AL$24)</f>
        <v>-20.518482282480001</v>
      </c>
      <c r="AV34" s="3">
        <f t="shared" si="16"/>
        <v>1329.6336020035201</v>
      </c>
      <c r="AW34" s="3">
        <f t="shared" si="17"/>
        <v>1278.8400025043998</v>
      </c>
    </row>
    <row r="35" spans="1:49" x14ac:dyDescent="0.25">
      <c r="A35" s="316" t="s">
        <v>219</v>
      </c>
      <c r="B35" s="324">
        <f>B31</f>
        <v>4.708428690072472E-2</v>
      </c>
      <c r="C35" s="146">
        <f>-$B$35*$B$33*C32</f>
        <v>0</v>
      </c>
      <c r="D35" s="208">
        <f>-$B$35*$B$33*D32</f>
        <v>0</v>
      </c>
      <c r="E35" s="146">
        <f t="shared" ref="E35:AF35" si="29">-$B$35*$B$33*E32</f>
        <v>0</v>
      </c>
      <c r="F35" s="146">
        <f t="shared" si="29"/>
        <v>0</v>
      </c>
      <c r="G35" s="146">
        <f t="shared" si="29"/>
        <v>0</v>
      </c>
      <c r="H35" s="146">
        <f t="shared" si="29"/>
        <v>0</v>
      </c>
      <c r="I35" s="146">
        <f t="shared" si="29"/>
        <v>0</v>
      </c>
      <c r="J35" s="146">
        <f t="shared" si="29"/>
        <v>0</v>
      </c>
      <c r="K35" s="146">
        <f t="shared" si="29"/>
        <v>0</v>
      </c>
      <c r="L35" s="146">
        <f t="shared" si="29"/>
        <v>0</v>
      </c>
      <c r="M35" s="146">
        <f t="shared" si="29"/>
        <v>0</v>
      </c>
      <c r="N35" s="146">
        <f t="shared" si="29"/>
        <v>0</v>
      </c>
      <c r="O35" s="146">
        <f t="shared" si="29"/>
        <v>-1424.1090970637022</v>
      </c>
      <c r="P35" s="146">
        <f t="shared" si="29"/>
        <v>-2876.7003760686725</v>
      </c>
      <c r="Q35" s="146">
        <f t="shared" si="29"/>
        <v>-4358.3434806537443</v>
      </c>
      <c r="R35" s="146">
        <f t="shared" si="29"/>
        <v>-5869.6194473305186</v>
      </c>
      <c r="S35" s="146">
        <f t="shared" si="29"/>
        <v>-7411.1209333408278</v>
      </c>
      <c r="T35" s="146">
        <f t="shared" si="29"/>
        <v>-8983.4524490713429</v>
      </c>
      <c r="U35" s="146">
        <f t="shared" si="29"/>
        <v>-10587.230595116474</v>
      </c>
      <c r="V35" s="146">
        <f t="shared" si="29"/>
        <v>-12223.084304082498</v>
      </c>
      <c r="W35" s="146">
        <f t="shared" si="29"/>
        <v>-13891.655087227857</v>
      </c>
      <c r="X35" s="146">
        <f t="shared" si="29"/>
        <v>-15593.597286036109</v>
      </c>
      <c r="Y35" s="146">
        <f t="shared" si="29"/>
        <v>-17329.578328820549</v>
      </c>
      <c r="Z35" s="146">
        <f t="shared" si="29"/>
        <v>-19100.278992460648</v>
      </c>
      <c r="AA35" s="146">
        <f t="shared" si="29"/>
        <v>-20906.39366937357</v>
      </c>
      <c r="AB35" s="146">
        <f t="shared" si="29"/>
        <v>-22748.630639824743</v>
      </c>
      <c r="AC35" s="146">
        <f t="shared" si="29"/>
        <v>-24627.712349684938</v>
      </c>
      <c r="AD35" s="146">
        <f t="shared" si="29"/>
        <v>-26544.375693742328</v>
      </c>
      <c r="AE35" s="146">
        <f t="shared" si="29"/>
        <v>-28499.37230468087</v>
      </c>
      <c r="AF35" s="146">
        <f t="shared" si="29"/>
        <v>-30493.468847838187</v>
      </c>
      <c r="AG35" s="227" t="s">
        <v>285</v>
      </c>
      <c r="AH35" s="240" t="s">
        <v>301</v>
      </c>
      <c r="AI35" s="240"/>
      <c r="AJ35" s="152" t="s">
        <v>242</v>
      </c>
      <c r="AK35" s="328">
        <v>0.42786000000000002</v>
      </c>
      <c r="AL35" s="328">
        <v>4.6205999999999997E-2</v>
      </c>
      <c r="AM35" s="3">
        <v>12727.39</v>
      </c>
      <c r="AN35" s="3">
        <f t="shared" si="12"/>
        <v>-2545.4780000000001</v>
      </c>
      <c r="AO35" s="3">
        <f t="shared" si="13"/>
        <v>10181.912</v>
      </c>
      <c r="AP35" s="3">
        <f>-(AO35*AK35*$AK$24)-(AO35*AL35*$AK$24)</f>
        <v>-1206.7245735480001</v>
      </c>
      <c r="AQ35" s="3">
        <v>23706.97</v>
      </c>
      <c r="AR35" s="3">
        <f>(AM35-AQ35)</f>
        <v>-10979.580000000002</v>
      </c>
      <c r="AS35" s="3">
        <f t="shared" si="14"/>
        <v>2195.9160000000006</v>
      </c>
      <c r="AT35" s="3">
        <f t="shared" si="15"/>
        <v>-8783.6640000000007</v>
      </c>
      <c r="AU35" s="3">
        <f>-(AT35*AK35*$AL$24)-(AT35*AL35*$AL$24)</f>
        <v>874.44765614304015</v>
      </c>
      <c r="AV35" s="3">
        <f t="shared" si="16"/>
        <v>9849.6350825950412</v>
      </c>
      <c r="AW35" s="3">
        <f t="shared" si="17"/>
        <v>9766.565853243801</v>
      </c>
    </row>
    <row r="36" spans="1:49" x14ac:dyDescent="0.25">
      <c r="A36" s="1" t="s">
        <v>223</v>
      </c>
      <c r="B36" s="152"/>
      <c r="C36" s="114">
        <f>C22+SUM(C26:C27)+SUM(C30:C31)+SUM(C34:C35)</f>
        <v>3356459.4422976309</v>
      </c>
      <c r="D36" s="211">
        <f>D22+SUM(D26:D27)+SUM(D30:D31)+SUM(D34:D35)</f>
        <v>4169947.8557109907</v>
      </c>
      <c r="E36" s="111">
        <f>E22+SUM(E26:E27)+SUM(E30:E31)+SUM(E34:E35)</f>
        <v>4858137.5958313337</v>
      </c>
      <c r="F36" s="111">
        <f t="shared" ref="F36:AF36" si="30">F22+SUM(F26:F27)+SUM(F30:F31)+SUM(F34:F35)</f>
        <v>5591519.5129900947</v>
      </c>
      <c r="G36" s="111">
        <f t="shared" si="30"/>
        <v>6205673.3335213903</v>
      </c>
      <c r="H36" s="111">
        <f t="shared" si="30"/>
        <v>6918617.614788644</v>
      </c>
      <c r="I36" s="111">
        <f t="shared" si="30"/>
        <v>7551068.9692302486</v>
      </c>
      <c r="J36" s="111">
        <f t="shared" si="30"/>
        <v>7930854.3203620575</v>
      </c>
      <c r="K36" s="111">
        <f t="shared" si="30"/>
        <v>8086084.7269177055</v>
      </c>
      <c r="L36" s="111">
        <f t="shared" si="30"/>
        <v>8244419.7416044651</v>
      </c>
      <c r="M36" s="111">
        <f t="shared" si="30"/>
        <v>8405921.4565849602</v>
      </c>
      <c r="N36" s="111">
        <f t="shared" si="30"/>
        <v>8570970.787458675</v>
      </c>
      <c r="O36" s="111">
        <f t="shared" si="30"/>
        <v>8724391.8509567976</v>
      </c>
      <c r="P36" s="111">
        <f t="shared" si="30"/>
        <v>8880881.3357248791</v>
      </c>
      <c r="Q36" s="111">
        <f t="shared" si="30"/>
        <v>9040500.610188324</v>
      </c>
      <c r="R36" s="111">
        <f t="shared" si="30"/>
        <v>9203312.2701410353</v>
      </c>
      <c r="S36" s="111">
        <f t="shared" si="30"/>
        <v>9369380.163292801</v>
      </c>
      <c r="T36" s="111">
        <f t="shared" si="30"/>
        <v>9538769.4143076055</v>
      </c>
      <c r="U36" s="111">
        <f t="shared" si="30"/>
        <v>9711546.4503427017</v>
      </c>
      <c r="V36" s="111">
        <f t="shared" si="30"/>
        <v>9887779.027098503</v>
      </c>
      <c r="W36" s="111">
        <f t="shared" si="30"/>
        <v>10067536.255389422</v>
      </c>
      <c r="X36" s="111">
        <f t="shared" si="30"/>
        <v>10250888.628246155</v>
      </c>
      <c r="Y36" s="111">
        <f t="shared" si="30"/>
        <v>10437908.048560025</v>
      </c>
      <c r="Z36" s="111">
        <f t="shared" si="30"/>
        <v>10628667.857280172</v>
      </c>
      <c r="AA36" s="111">
        <f t="shared" si="30"/>
        <v>10823242.862174723</v>
      </c>
      <c r="AB36" s="111">
        <f t="shared" si="30"/>
        <v>11021709.367167162</v>
      </c>
      <c r="AC36" s="111">
        <f t="shared" si="30"/>
        <v>11224145.202259453</v>
      </c>
      <c r="AD36" s="111">
        <f t="shared" si="30"/>
        <v>11430629.754053587</v>
      </c>
      <c r="AE36" s="111">
        <f t="shared" si="30"/>
        <v>11641243.996883607</v>
      </c>
      <c r="AF36" s="111">
        <f t="shared" si="30"/>
        <v>11856070.524570223</v>
      </c>
      <c r="AG36" s="227" t="s">
        <v>182</v>
      </c>
      <c r="AH36" s="240" t="s">
        <v>286</v>
      </c>
      <c r="AI36" s="240"/>
      <c r="AJ36" s="152" t="s">
        <v>243</v>
      </c>
      <c r="AK36" s="328">
        <v>0.43797799999999998</v>
      </c>
      <c r="AL36" s="328">
        <v>4.7299000000000001E-2</v>
      </c>
      <c r="AM36" s="3">
        <v>176939.29</v>
      </c>
      <c r="AN36" s="3">
        <f t="shared" si="12"/>
        <v>-35387.858</v>
      </c>
      <c r="AO36" s="3">
        <f t="shared" si="13"/>
        <v>141551.432</v>
      </c>
      <c r="AP36" s="3">
        <f>-(AO36*AK36*$AK$24)-(AO36*AL36*$AK$24)</f>
        <v>-17172.913566666</v>
      </c>
      <c r="AQ36" s="3">
        <v>115230.61</v>
      </c>
      <c r="AR36" s="3">
        <f>(AM36-AQ36)</f>
        <v>61708.680000000008</v>
      </c>
      <c r="AS36" s="3">
        <f t="shared" si="14"/>
        <v>-12341.736000000003</v>
      </c>
      <c r="AT36" s="3">
        <f t="shared" si="15"/>
        <v>49366.944000000003</v>
      </c>
      <c r="AU36" s="3">
        <f>-(AT36*AK36*$AL$24)-(AT36*AL36*$AL$24)</f>
        <v>-5030.8949215324792</v>
      </c>
      <c r="AV36" s="3">
        <f t="shared" si="16"/>
        <v>119347.62351180152</v>
      </c>
      <c r="AW36" s="3">
        <f t="shared" si="17"/>
        <v>113796.67138975189</v>
      </c>
    </row>
    <row r="37" spans="1:49" ht="8.1" customHeight="1" x14ac:dyDescent="0.25">
      <c r="A37" s="1"/>
      <c r="B37" s="152"/>
      <c r="C37" s="114"/>
      <c r="D37" s="2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227"/>
      <c r="AH37" s="238"/>
      <c r="AI37" s="238"/>
      <c r="AJ37" s="152"/>
    </row>
    <row r="38" spans="1:49" x14ac:dyDescent="0.25">
      <c r="A38" s="193" t="s">
        <v>167</v>
      </c>
      <c r="B38" s="194"/>
      <c r="C38" s="195"/>
      <c r="D38" s="212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227"/>
      <c r="AH38" s="238"/>
      <c r="AI38" s="238"/>
      <c r="AJ38" s="152"/>
      <c r="AN38" s="8">
        <f>SUM(AN26:AN36)</f>
        <v>-1027363.8880000002</v>
      </c>
      <c r="AO38" s="8">
        <f>SUM(AO26:AO36)</f>
        <v>4109455.5520000006</v>
      </c>
      <c r="AP38" s="8">
        <f>SUM(AP26:AP36)</f>
        <v>-496291.52004417201</v>
      </c>
      <c r="AR38" s="8">
        <f t="shared" ref="AR38:AW38" si="31">SUM(AR26:AR36)</f>
        <v>3025030.4499999997</v>
      </c>
      <c r="AS38" s="8">
        <f t="shared" si="31"/>
        <v>-605006.09000000032</v>
      </c>
      <c r="AT38" s="8">
        <f t="shared" si="31"/>
        <v>2420024.3600000003</v>
      </c>
      <c r="AU38" s="8">
        <f t="shared" si="31"/>
        <v>-245695.47404428147</v>
      </c>
      <c r="AV38" s="8">
        <f t="shared" si="31"/>
        <v>3367468.5579115469</v>
      </c>
      <c r="AW38" s="8">
        <f t="shared" si="31"/>
        <v>3181971.8093894324</v>
      </c>
    </row>
    <row r="39" spans="1:49" ht="15" customHeight="1" x14ac:dyDescent="0.25">
      <c r="A39" s="179" t="s">
        <v>157</v>
      </c>
      <c r="B39" s="180">
        <v>0.25</v>
      </c>
      <c r="C39" s="181">
        <f>$B$39*C$36</f>
        <v>839114.86057440774</v>
      </c>
      <c r="D39" s="213">
        <f t="shared" ref="D39:L39" si="32">$B$39*D$36</f>
        <v>1042486.9639277477</v>
      </c>
      <c r="E39" s="181">
        <f t="shared" si="32"/>
        <v>1214534.3989578334</v>
      </c>
      <c r="F39" s="181">
        <f t="shared" si="32"/>
        <v>1397879.8782475237</v>
      </c>
      <c r="G39" s="181">
        <f t="shared" si="32"/>
        <v>1551418.3333803476</v>
      </c>
      <c r="H39" s="181">
        <f t="shared" si="32"/>
        <v>1729654.403697161</v>
      </c>
      <c r="I39" s="181">
        <f t="shared" si="32"/>
        <v>1887767.2423075621</v>
      </c>
      <c r="J39" s="181">
        <f t="shared" si="32"/>
        <v>1982713.5800905144</v>
      </c>
      <c r="K39" s="181">
        <f t="shared" si="32"/>
        <v>2021521.1817294264</v>
      </c>
      <c r="L39" s="181">
        <f t="shared" si="32"/>
        <v>2061104.9354011163</v>
      </c>
      <c r="M39" s="181">
        <f>$B$39*M$36</f>
        <v>2101480.3641462401</v>
      </c>
      <c r="N39" s="181">
        <f t="shared" ref="N39:AF39" si="33">$B$39*N$36</f>
        <v>2142742.6968646687</v>
      </c>
      <c r="O39" s="181">
        <f t="shared" si="33"/>
        <v>2181097.9627391994</v>
      </c>
      <c r="P39" s="181">
        <f t="shared" si="33"/>
        <v>2220220.3339312198</v>
      </c>
      <c r="Q39" s="181">
        <f t="shared" si="33"/>
        <v>2260125.152547081</v>
      </c>
      <c r="R39" s="181">
        <f t="shared" si="33"/>
        <v>2300828.0675352588</v>
      </c>
      <c r="S39" s="181">
        <f t="shared" si="33"/>
        <v>2342345.0408232003</v>
      </c>
      <c r="T39" s="181">
        <f t="shared" si="33"/>
        <v>2384692.3535769014</v>
      </c>
      <c r="U39" s="181">
        <f t="shared" si="33"/>
        <v>2427886.6125856754</v>
      </c>
      <c r="V39" s="181">
        <f t="shared" si="33"/>
        <v>2471944.7567746257</v>
      </c>
      <c r="W39" s="181">
        <f t="shared" si="33"/>
        <v>2516884.0638473555</v>
      </c>
      <c r="X39" s="181">
        <f t="shared" si="33"/>
        <v>2562722.1570615387</v>
      </c>
      <c r="Y39" s="181">
        <f t="shared" si="33"/>
        <v>2609477.0121400063</v>
      </c>
      <c r="Z39" s="181">
        <f t="shared" si="33"/>
        <v>2657166.9643200431</v>
      </c>
      <c r="AA39" s="181">
        <f t="shared" si="33"/>
        <v>2705810.7155436808</v>
      </c>
      <c r="AB39" s="181">
        <f t="shared" si="33"/>
        <v>2755427.3417917904</v>
      </c>
      <c r="AC39" s="181">
        <f t="shared" si="33"/>
        <v>2806036.3005648633</v>
      </c>
      <c r="AD39" s="181">
        <f t="shared" si="33"/>
        <v>2857657.4385133968</v>
      </c>
      <c r="AE39" s="181">
        <f t="shared" si="33"/>
        <v>2910310.9992209016</v>
      </c>
      <c r="AF39" s="181">
        <f t="shared" si="33"/>
        <v>2964017.6311425557</v>
      </c>
      <c r="AG39" s="232"/>
      <c r="AH39" s="242" t="s">
        <v>169</v>
      </c>
      <c r="AI39" s="242"/>
      <c r="AJ39" s="124"/>
      <c r="AO39" t="s">
        <v>248</v>
      </c>
      <c r="AP39" s="80">
        <f>C26+C27</f>
        <v>-494899.66428373579</v>
      </c>
      <c r="AU39" s="80">
        <f>SUM(C30:C31)</f>
        <v>-246381.72541863343</v>
      </c>
      <c r="AV39" s="80">
        <f>C36</f>
        <v>3356459.4422976309</v>
      </c>
    </row>
    <row r="40" spans="1:49" ht="15" customHeight="1" x14ac:dyDescent="0.25">
      <c r="A40" s="179" t="s">
        <v>156</v>
      </c>
      <c r="B40" s="182">
        <v>0.05</v>
      </c>
      <c r="C40" s="181">
        <f>B40*C$36</f>
        <v>167822.97211488156</v>
      </c>
      <c r="D40" s="213">
        <f>B40*D$36</f>
        <v>208497.39278554954</v>
      </c>
      <c r="E40" s="181">
        <f>$B$40*E36</f>
        <v>242906.87979156669</v>
      </c>
      <c r="F40" s="181">
        <f t="shared" ref="F40:AF40" si="34">$B$40*F36</f>
        <v>279575.97564950475</v>
      </c>
      <c r="G40" s="181">
        <f t="shared" si="34"/>
        <v>310283.66667606955</v>
      </c>
      <c r="H40" s="181">
        <f t="shared" si="34"/>
        <v>345930.88073943224</v>
      </c>
      <c r="I40" s="181">
        <f t="shared" si="34"/>
        <v>377553.44846151245</v>
      </c>
      <c r="J40" s="181">
        <f t="shared" si="34"/>
        <v>396542.71601810289</v>
      </c>
      <c r="K40" s="181">
        <f t="shared" si="34"/>
        <v>404304.23634588532</v>
      </c>
      <c r="L40" s="181">
        <f t="shared" si="34"/>
        <v>412220.98708022328</v>
      </c>
      <c r="M40" s="181">
        <f t="shared" si="34"/>
        <v>420296.07282924803</v>
      </c>
      <c r="N40" s="181">
        <f t="shared" si="34"/>
        <v>428548.5393729338</v>
      </c>
      <c r="O40" s="181">
        <f t="shared" si="34"/>
        <v>436219.59254783991</v>
      </c>
      <c r="P40" s="181">
        <f t="shared" si="34"/>
        <v>444044.06678624399</v>
      </c>
      <c r="Q40" s="181">
        <f t="shared" si="34"/>
        <v>452025.03050941625</v>
      </c>
      <c r="R40" s="181">
        <f t="shared" si="34"/>
        <v>460165.61350705178</v>
      </c>
      <c r="S40" s="181">
        <f t="shared" si="34"/>
        <v>468469.00816464005</v>
      </c>
      <c r="T40" s="181">
        <f t="shared" si="34"/>
        <v>476938.47071538027</v>
      </c>
      <c r="U40" s="181">
        <f t="shared" si="34"/>
        <v>485577.32251713512</v>
      </c>
      <c r="V40" s="181">
        <f t="shared" si="34"/>
        <v>494388.95135492517</v>
      </c>
      <c r="W40" s="181">
        <f t="shared" si="34"/>
        <v>503376.81276947114</v>
      </c>
      <c r="X40" s="181">
        <f t="shared" si="34"/>
        <v>512544.43141230778</v>
      </c>
      <c r="Y40" s="181">
        <f t="shared" si="34"/>
        <v>521895.40242800128</v>
      </c>
      <c r="Z40" s="181">
        <f t="shared" si="34"/>
        <v>531433.39286400867</v>
      </c>
      <c r="AA40" s="181">
        <f t="shared" si="34"/>
        <v>541162.14310873614</v>
      </c>
      <c r="AB40" s="181">
        <f t="shared" si="34"/>
        <v>551085.46835835814</v>
      </c>
      <c r="AC40" s="181">
        <f t="shared" si="34"/>
        <v>561207.2601129727</v>
      </c>
      <c r="AD40" s="181">
        <f t="shared" si="34"/>
        <v>571531.48770267935</v>
      </c>
      <c r="AE40" s="181">
        <f t="shared" si="34"/>
        <v>582062.19984418037</v>
      </c>
      <c r="AF40" s="181">
        <f t="shared" si="34"/>
        <v>592803.52622851112</v>
      </c>
      <c r="AG40" s="233"/>
      <c r="AH40" s="243" t="s">
        <v>170</v>
      </c>
      <c r="AI40" s="243"/>
      <c r="AJ40" s="152"/>
      <c r="AP40" s="8">
        <f>AP38-AP39</f>
        <v>-1391.855760436214</v>
      </c>
      <c r="AU40" s="8">
        <f>AU39-AU38</f>
        <v>-686.25137435196666</v>
      </c>
      <c r="AV40" s="8">
        <f>AV39-AV38</f>
        <v>-11009.115613915958</v>
      </c>
    </row>
    <row r="41" spans="1:49" ht="15" customHeight="1" x14ac:dyDescent="0.25">
      <c r="A41" s="179" t="s">
        <v>58</v>
      </c>
      <c r="B41" s="182">
        <v>0.35</v>
      </c>
      <c r="C41" s="181">
        <f>B41*C$36</f>
        <v>1174760.8048041707</v>
      </c>
      <c r="D41" s="213">
        <f>B41*(D$36)</f>
        <v>1459481.7494988467</v>
      </c>
      <c r="E41" s="181">
        <f>$B$41*(E36)</f>
        <v>1700348.1585409667</v>
      </c>
      <c r="F41" s="181">
        <f t="shared" ref="F41:AF41" si="35">$B$41*(F36)</f>
        <v>1957031.8295465331</v>
      </c>
      <c r="G41" s="181">
        <f t="shared" si="35"/>
        <v>2171985.6667324863</v>
      </c>
      <c r="H41" s="181">
        <f t="shared" si="35"/>
        <v>2421516.1651760251</v>
      </c>
      <c r="I41" s="181">
        <f t="shared" si="35"/>
        <v>2642874.1392305871</v>
      </c>
      <c r="J41" s="181">
        <f t="shared" si="35"/>
        <v>2775799.01212672</v>
      </c>
      <c r="K41" s="181">
        <f t="shared" si="35"/>
        <v>2830129.6544211968</v>
      </c>
      <c r="L41" s="181">
        <f t="shared" si="35"/>
        <v>2885546.9095615628</v>
      </c>
      <c r="M41" s="181">
        <f t="shared" si="35"/>
        <v>2942072.5098047359</v>
      </c>
      <c r="N41" s="181">
        <f t="shared" si="35"/>
        <v>2999839.7756105359</v>
      </c>
      <c r="O41" s="181">
        <f t="shared" si="35"/>
        <v>3053537.1478348789</v>
      </c>
      <c r="P41" s="181">
        <f t="shared" si="35"/>
        <v>3108308.4675037074</v>
      </c>
      <c r="Q41" s="181">
        <f t="shared" si="35"/>
        <v>3164175.213565913</v>
      </c>
      <c r="R41" s="181">
        <f t="shared" si="35"/>
        <v>3221159.2945493623</v>
      </c>
      <c r="S41" s="181">
        <f t="shared" si="35"/>
        <v>3279283.0571524804</v>
      </c>
      <c r="T41" s="181">
        <f t="shared" si="35"/>
        <v>3338569.2950076619</v>
      </c>
      <c r="U41" s="181">
        <f t="shared" si="35"/>
        <v>3399041.2576199453</v>
      </c>
      <c r="V41" s="181">
        <f t="shared" si="35"/>
        <v>3460722.6594844759</v>
      </c>
      <c r="W41" s="181">
        <f t="shared" si="35"/>
        <v>3523637.6893862975</v>
      </c>
      <c r="X41" s="181">
        <f t="shared" si="35"/>
        <v>3587811.0198861538</v>
      </c>
      <c r="Y41" s="181">
        <f t="shared" si="35"/>
        <v>3653267.8169960086</v>
      </c>
      <c r="Z41" s="181">
        <f t="shared" si="35"/>
        <v>3720033.75004806</v>
      </c>
      <c r="AA41" s="181">
        <f t="shared" si="35"/>
        <v>3788135.0017611529</v>
      </c>
      <c r="AB41" s="181">
        <f t="shared" si="35"/>
        <v>3857598.2785085062</v>
      </c>
      <c r="AC41" s="181">
        <f t="shared" si="35"/>
        <v>3928450.8207908082</v>
      </c>
      <c r="AD41" s="181">
        <f t="shared" si="35"/>
        <v>4000720.413918755</v>
      </c>
      <c r="AE41" s="181">
        <f t="shared" si="35"/>
        <v>4074435.3989092619</v>
      </c>
      <c r="AF41" s="181">
        <f t="shared" si="35"/>
        <v>4149624.6835995778</v>
      </c>
      <c r="AG41" s="335"/>
      <c r="AH41" s="240" t="s">
        <v>171</v>
      </c>
      <c r="AI41" s="240"/>
      <c r="AJ41" s="325">
        <f>B26</f>
        <v>0.43601084729514705</v>
      </c>
      <c r="AU41" s="329" t="s">
        <v>255</v>
      </c>
    </row>
    <row r="42" spans="1:49" x14ac:dyDescent="0.25">
      <c r="A42" s="179" t="s">
        <v>165</v>
      </c>
      <c r="B42" s="183">
        <v>0.35</v>
      </c>
      <c r="C42" s="181">
        <f>B42*C36</f>
        <v>1174760.8048041707</v>
      </c>
      <c r="D42" s="213">
        <f>B42*D36</f>
        <v>1459481.7494988467</v>
      </c>
      <c r="E42" s="181">
        <f>$B$42*E36</f>
        <v>1700348.1585409667</v>
      </c>
      <c r="F42" s="181">
        <f t="shared" ref="F42:AF42" si="36">$B$42*F36</f>
        <v>1957031.8295465331</v>
      </c>
      <c r="G42" s="181">
        <f t="shared" si="36"/>
        <v>2171985.6667324863</v>
      </c>
      <c r="H42" s="181">
        <f t="shared" si="36"/>
        <v>2421516.1651760251</v>
      </c>
      <c r="I42" s="181">
        <f t="shared" si="36"/>
        <v>2642874.1392305871</v>
      </c>
      <c r="J42" s="181">
        <f t="shared" si="36"/>
        <v>2775799.01212672</v>
      </c>
      <c r="K42" s="181">
        <f t="shared" si="36"/>
        <v>2830129.6544211968</v>
      </c>
      <c r="L42" s="181">
        <f t="shared" si="36"/>
        <v>2885546.9095615628</v>
      </c>
      <c r="M42" s="181">
        <f t="shared" si="36"/>
        <v>2942072.5098047359</v>
      </c>
      <c r="N42" s="181">
        <f t="shared" si="36"/>
        <v>2999839.7756105359</v>
      </c>
      <c r="O42" s="181">
        <f t="shared" si="36"/>
        <v>3053537.1478348789</v>
      </c>
      <c r="P42" s="181">
        <f t="shared" si="36"/>
        <v>3108308.4675037074</v>
      </c>
      <c r="Q42" s="181">
        <f t="shared" si="36"/>
        <v>3164175.213565913</v>
      </c>
      <c r="R42" s="181">
        <f t="shared" si="36"/>
        <v>3221159.2945493623</v>
      </c>
      <c r="S42" s="181">
        <f t="shared" si="36"/>
        <v>3279283.0571524804</v>
      </c>
      <c r="T42" s="181">
        <f t="shared" si="36"/>
        <v>3338569.2950076619</v>
      </c>
      <c r="U42" s="181">
        <f t="shared" si="36"/>
        <v>3399041.2576199453</v>
      </c>
      <c r="V42" s="181">
        <f t="shared" si="36"/>
        <v>3460722.6594844759</v>
      </c>
      <c r="W42" s="181">
        <f t="shared" si="36"/>
        <v>3523637.6893862975</v>
      </c>
      <c r="X42" s="181">
        <f t="shared" si="36"/>
        <v>3587811.0198861538</v>
      </c>
      <c r="Y42" s="181">
        <f t="shared" si="36"/>
        <v>3653267.8169960086</v>
      </c>
      <c r="Z42" s="181">
        <f t="shared" si="36"/>
        <v>3720033.75004806</v>
      </c>
      <c r="AA42" s="181">
        <f t="shared" si="36"/>
        <v>3788135.0017611529</v>
      </c>
      <c r="AB42" s="181">
        <f t="shared" si="36"/>
        <v>3857598.2785085062</v>
      </c>
      <c r="AC42" s="181">
        <f t="shared" si="36"/>
        <v>3928450.8207908082</v>
      </c>
      <c r="AD42" s="181">
        <f t="shared" si="36"/>
        <v>4000720.413918755</v>
      </c>
      <c r="AE42" s="181">
        <f t="shared" si="36"/>
        <v>4074435.3989092619</v>
      </c>
      <c r="AF42" s="181">
        <f t="shared" si="36"/>
        <v>4149624.6835995778</v>
      </c>
      <c r="AG42" s="335" t="s">
        <v>164</v>
      </c>
      <c r="AH42" s="240" t="s">
        <v>194</v>
      </c>
      <c r="AI42" s="240"/>
      <c r="AJ42" s="325">
        <f>SUMPRODUCT(AL26:AL36,AM26:AM36)/SUM(AM26:AM36)</f>
        <v>4.708428690072472E-2</v>
      </c>
    </row>
    <row r="43" spans="1:49" x14ac:dyDescent="0.25">
      <c r="A43" s="197" t="s">
        <v>158</v>
      </c>
      <c r="B43" s="196">
        <f>SUM(B39:B42)</f>
        <v>0.99999999999999989</v>
      </c>
      <c r="C43" s="191">
        <f>SUM(C39:C42)</f>
        <v>3356459.4422976309</v>
      </c>
      <c r="D43" s="214">
        <f t="shared" ref="D43:AF43" si="37">SUM(D39:D42)</f>
        <v>4169947.8557109907</v>
      </c>
      <c r="E43" s="191">
        <f t="shared" si="37"/>
        <v>4858137.5958313337</v>
      </c>
      <c r="F43" s="191">
        <f t="shared" si="37"/>
        <v>5591519.5129900947</v>
      </c>
      <c r="G43" s="191">
        <f t="shared" si="37"/>
        <v>6205673.3335213903</v>
      </c>
      <c r="H43" s="191">
        <f t="shared" si="37"/>
        <v>6918617.614788644</v>
      </c>
      <c r="I43" s="191">
        <f t="shared" si="37"/>
        <v>7551068.9692302477</v>
      </c>
      <c r="J43" s="191">
        <f t="shared" si="37"/>
        <v>7930854.3203620575</v>
      </c>
      <c r="K43" s="191">
        <f t="shared" si="37"/>
        <v>8086084.7269177064</v>
      </c>
      <c r="L43" s="191">
        <f t="shared" si="37"/>
        <v>8244419.741604466</v>
      </c>
      <c r="M43" s="191">
        <f t="shared" si="37"/>
        <v>8405921.4565849602</v>
      </c>
      <c r="N43" s="191">
        <f t="shared" si="37"/>
        <v>8570970.787458675</v>
      </c>
      <c r="O43" s="191">
        <f t="shared" si="37"/>
        <v>8724391.8509567976</v>
      </c>
      <c r="P43" s="191">
        <f t="shared" si="37"/>
        <v>8880881.3357248791</v>
      </c>
      <c r="Q43" s="191">
        <f t="shared" si="37"/>
        <v>9040500.610188324</v>
      </c>
      <c r="R43" s="191">
        <f t="shared" si="37"/>
        <v>9203312.2701410353</v>
      </c>
      <c r="S43" s="191">
        <f t="shared" si="37"/>
        <v>9369380.163292801</v>
      </c>
      <c r="T43" s="191">
        <f t="shared" si="37"/>
        <v>9538769.4143076055</v>
      </c>
      <c r="U43" s="191">
        <f t="shared" si="37"/>
        <v>9711546.4503427017</v>
      </c>
      <c r="V43" s="191">
        <f t="shared" si="37"/>
        <v>9887779.027098503</v>
      </c>
      <c r="W43" s="191">
        <f t="shared" si="37"/>
        <v>10067536.255389422</v>
      </c>
      <c r="X43" s="191">
        <f t="shared" si="37"/>
        <v>10250888.628246155</v>
      </c>
      <c r="Y43" s="191">
        <f t="shared" si="37"/>
        <v>10437908.048560025</v>
      </c>
      <c r="Z43" s="191">
        <f t="shared" si="37"/>
        <v>10628667.857280172</v>
      </c>
      <c r="AA43" s="191">
        <f t="shared" si="37"/>
        <v>10823242.862174723</v>
      </c>
      <c r="AB43" s="191">
        <f t="shared" si="37"/>
        <v>11021709.367167162</v>
      </c>
      <c r="AC43" s="191">
        <f t="shared" si="37"/>
        <v>11224145.202259453</v>
      </c>
      <c r="AD43" s="191">
        <f t="shared" si="37"/>
        <v>11430629.754053585</v>
      </c>
      <c r="AE43" s="191">
        <f t="shared" si="37"/>
        <v>11641243.996883605</v>
      </c>
      <c r="AF43" s="191">
        <f t="shared" si="37"/>
        <v>11856070.524570223</v>
      </c>
      <c r="AG43" s="227"/>
      <c r="AH43" s="238"/>
      <c r="AI43" s="238"/>
      <c r="AJ43" s="152"/>
    </row>
    <row r="44" spans="1:49" ht="8.1" customHeight="1" x14ac:dyDescent="0.25">
      <c r="A44" s="141"/>
      <c r="B44" s="174"/>
      <c r="C44" s="136"/>
      <c r="D44" s="205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227"/>
      <c r="AH44" s="238"/>
      <c r="AI44" s="238"/>
      <c r="AJ44" s="152"/>
    </row>
    <row r="45" spans="1:49" x14ac:dyDescent="0.25">
      <c r="A45" s="184" t="s">
        <v>159</v>
      </c>
      <c r="B45" s="439" t="s">
        <v>200</v>
      </c>
      <c r="C45" s="185"/>
      <c r="D45" s="21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227"/>
      <c r="AH45" s="238"/>
      <c r="AI45" s="238"/>
      <c r="AJ45" s="152"/>
    </row>
    <row r="46" spans="1:49" x14ac:dyDescent="0.25">
      <c r="A46" s="186" t="s">
        <v>165</v>
      </c>
      <c r="B46" s="439"/>
      <c r="C46" s="185">
        <f>C42</f>
        <v>1174760.8048041707</v>
      </c>
      <c r="D46" s="215">
        <f t="shared" ref="D46:AF46" si="38">D42</f>
        <v>1459481.7494988467</v>
      </c>
      <c r="E46" s="185">
        <f t="shared" si="38"/>
        <v>1700348.1585409667</v>
      </c>
      <c r="F46" s="185">
        <f t="shared" si="38"/>
        <v>1957031.8295465331</v>
      </c>
      <c r="G46" s="185">
        <f t="shared" si="38"/>
        <v>2171985.6667324863</v>
      </c>
      <c r="H46" s="185">
        <f t="shared" si="38"/>
        <v>2421516.1651760251</v>
      </c>
      <c r="I46" s="185">
        <f t="shared" si="38"/>
        <v>2642874.1392305871</v>
      </c>
      <c r="J46" s="185">
        <f t="shared" si="38"/>
        <v>2775799.01212672</v>
      </c>
      <c r="K46" s="185">
        <f t="shared" si="38"/>
        <v>2830129.6544211968</v>
      </c>
      <c r="L46" s="185">
        <f t="shared" si="38"/>
        <v>2885546.9095615628</v>
      </c>
      <c r="M46" s="185">
        <f t="shared" si="38"/>
        <v>2942072.5098047359</v>
      </c>
      <c r="N46" s="185">
        <f t="shared" si="38"/>
        <v>2999839.7756105359</v>
      </c>
      <c r="O46" s="185">
        <f t="shared" si="38"/>
        <v>3053537.1478348789</v>
      </c>
      <c r="P46" s="185">
        <f t="shared" si="38"/>
        <v>3108308.4675037074</v>
      </c>
      <c r="Q46" s="185">
        <f t="shared" si="38"/>
        <v>3164175.213565913</v>
      </c>
      <c r="R46" s="185">
        <f t="shared" si="38"/>
        <v>3221159.2945493623</v>
      </c>
      <c r="S46" s="185">
        <f t="shared" si="38"/>
        <v>3279283.0571524804</v>
      </c>
      <c r="T46" s="185">
        <f t="shared" si="38"/>
        <v>3338569.2950076619</v>
      </c>
      <c r="U46" s="185">
        <f t="shared" si="38"/>
        <v>3399041.2576199453</v>
      </c>
      <c r="V46" s="185">
        <f t="shared" si="38"/>
        <v>3460722.6594844759</v>
      </c>
      <c r="W46" s="185">
        <f t="shared" si="38"/>
        <v>3523637.6893862975</v>
      </c>
      <c r="X46" s="185">
        <f t="shared" si="38"/>
        <v>3587811.0198861538</v>
      </c>
      <c r="Y46" s="185">
        <f t="shared" si="38"/>
        <v>3653267.8169960086</v>
      </c>
      <c r="Z46" s="185">
        <f t="shared" si="38"/>
        <v>3720033.75004806</v>
      </c>
      <c r="AA46" s="185">
        <f t="shared" si="38"/>
        <v>3788135.0017611529</v>
      </c>
      <c r="AB46" s="185">
        <f t="shared" si="38"/>
        <v>3857598.2785085062</v>
      </c>
      <c r="AC46" s="185">
        <f t="shared" si="38"/>
        <v>3928450.8207908082</v>
      </c>
      <c r="AD46" s="185">
        <f t="shared" si="38"/>
        <v>4000720.413918755</v>
      </c>
      <c r="AE46" s="185">
        <f t="shared" si="38"/>
        <v>4074435.3989092619</v>
      </c>
      <c r="AF46" s="185">
        <f t="shared" si="38"/>
        <v>4149624.6835995778</v>
      </c>
      <c r="AG46" s="227" t="s">
        <v>164</v>
      </c>
      <c r="AH46" s="238" t="s">
        <v>164</v>
      </c>
      <c r="AI46" s="238"/>
      <c r="AJ46" s="152"/>
    </row>
    <row r="47" spans="1:49" x14ac:dyDescent="0.25">
      <c r="A47" s="186" t="str">
        <f>CONCATENATE("Less: 10% of Incremental FORA Share after 7/1/2012 (goes to ",A4,")")</f>
        <v>Less: 10% of Incremental FORA Share after 7/1/2012 (goes to Marina)</v>
      </c>
      <c r="B47" s="263">
        <v>590877</v>
      </c>
      <c r="C47" s="185">
        <f t="shared" ref="C47:AF47" si="39">IF(C46&gt;0,-(0.1*(C46-$B$47)),0)</f>
        <v>-58388.38048041708</v>
      </c>
      <c r="D47" s="215">
        <f t="shared" si="39"/>
        <v>-86860.47494988468</v>
      </c>
      <c r="E47" s="185">
        <f t="shared" si="39"/>
        <v>-110947.11585409667</v>
      </c>
      <c r="F47" s="185">
        <f t="shared" si="39"/>
        <v>-136615.4829546533</v>
      </c>
      <c r="G47" s="185">
        <f t="shared" si="39"/>
        <v>-158110.86667324865</v>
      </c>
      <c r="H47" s="185">
        <f t="shared" si="39"/>
        <v>-183063.91651760251</v>
      </c>
      <c r="I47" s="185">
        <f t="shared" si="39"/>
        <v>-205199.71392305871</v>
      </c>
      <c r="J47" s="185">
        <f t="shared" si="39"/>
        <v>-218492.20121267202</v>
      </c>
      <c r="K47" s="185">
        <f t="shared" si="39"/>
        <v>-223925.26544211968</v>
      </c>
      <c r="L47" s="185">
        <f t="shared" si="39"/>
        <v>-229466.99095615628</v>
      </c>
      <c r="M47" s="185">
        <f t="shared" si="39"/>
        <v>-235119.55098047361</v>
      </c>
      <c r="N47" s="185">
        <f t="shared" si="39"/>
        <v>-240896.2775610536</v>
      </c>
      <c r="O47" s="185">
        <f t="shared" si="39"/>
        <v>-246266.01478348789</v>
      </c>
      <c r="P47" s="185">
        <f t="shared" si="39"/>
        <v>-251743.14675037074</v>
      </c>
      <c r="Q47" s="185">
        <f t="shared" si="39"/>
        <v>-257329.8213565913</v>
      </c>
      <c r="R47" s="185">
        <f t="shared" si="39"/>
        <v>-263028.22945493623</v>
      </c>
      <c r="S47" s="185">
        <f t="shared" si="39"/>
        <v>-268840.60571524804</v>
      </c>
      <c r="T47" s="185">
        <f t="shared" si="39"/>
        <v>-274769.2295007662</v>
      </c>
      <c r="U47" s="185">
        <f t="shared" si="39"/>
        <v>-280816.42576199456</v>
      </c>
      <c r="V47" s="185">
        <f t="shared" si="39"/>
        <v>-286984.56594844762</v>
      </c>
      <c r="W47" s="185">
        <f t="shared" si="39"/>
        <v>-293276.06893862976</v>
      </c>
      <c r="X47" s="185">
        <f t="shared" si="39"/>
        <v>-299693.4019886154</v>
      </c>
      <c r="Y47" s="185">
        <f t="shared" si="39"/>
        <v>-306239.08169960085</v>
      </c>
      <c r="Z47" s="185">
        <f t="shared" si="39"/>
        <v>-312915.67500480602</v>
      </c>
      <c r="AA47" s="185">
        <f t="shared" si="39"/>
        <v>-319725.8001761153</v>
      </c>
      <c r="AB47" s="185">
        <f t="shared" si="39"/>
        <v>-326672.12785085064</v>
      </c>
      <c r="AC47" s="185">
        <f t="shared" si="39"/>
        <v>-333757.38207908085</v>
      </c>
      <c r="AD47" s="185">
        <f t="shared" si="39"/>
        <v>-340984.34139187553</v>
      </c>
      <c r="AE47" s="185">
        <f t="shared" si="39"/>
        <v>-348355.8398909262</v>
      </c>
      <c r="AF47" s="185">
        <f t="shared" si="39"/>
        <v>-355874.76835995779</v>
      </c>
      <c r="AG47" s="227" t="s">
        <v>148</v>
      </c>
      <c r="AH47" s="238"/>
      <c r="AI47" s="238"/>
      <c r="AJ47" s="152"/>
    </row>
    <row r="48" spans="1:49" ht="15" customHeight="1" x14ac:dyDescent="0.25">
      <c r="A48" s="186" t="s">
        <v>80</v>
      </c>
      <c r="B48" s="188"/>
      <c r="C48" s="189">
        <f t="shared" ref="C48:AF48" si="40">C42+C47</f>
        <v>1116372.4243237537</v>
      </c>
      <c r="D48" s="216">
        <f t="shared" si="40"/>
        <v>1372621.274548962</v>
      </c>
      <c r="E48" s="189">
        <f t="shared" si="40"/>
        <v>1589401.0426868701</v>
      </c>
      <c r="F48" s="189">
        <f t="shared" si="40"/>
        <v>1820416.3465918798</v>
      </c>
      <c r="G48" s="189">
        <f t="shared" si="40"/>
        <v>2013874.8000592378</v>
      </c>
      <c r="H48" s="189">
        <f t="shared" si="40"/>
        <v>2238452.2486584224</v>
      </c>
      <c r="I48" s="189">
        <f t="shared" si="40"/>
        <v>2437674.4253075281</v>
      </c>
      <c r="J48" s="189">
        <f t="shared" si="40"/>
        <v>2557306.810914048</v>
      </c>
      <c r="K48" s="189">
        <f t="shared" si="40"/>
        <v>2606204.3889790773</v>
      </c>
      <c r="L48" s="189">
        <f t="shared" si="40"/>
        <v>2656079.9186054068</v>
      </c>
      <c r="M48" s="189">
        <f t="shared" si="40"/>
        <v>2706952.9588242625</v>
      </c>
      <c r="N48" s="189">
        <f t="shared" si="40"/>
        <v>2758943.4980494822</v>
      </c>
      <c r="O48" s="189">
        <f t="shared" si="40"/>
        <v>2807271.1330513908</v>
      </c>
      <c r="P48" s="189">
        <f t="shared" si="40"/>
        <v>2856565.3207533369</v>
      </c>
      <c r="Q48" s="189">
        <f t="shared" si="40"/>
        <v>2906845.3922093217</v>
      </c>
      <c r="R48" s="189">
        <f t="shared" si="40"/>
        <v>2958131.0650944263</v>
      </c>
      <c r="S48" s="189">
        <f t="shared" si="40"/>
        <v>3010442.4514372321</v>
      </c>
      <c r="T48" s="189">
        <f t="shared" si="40"/>
        <v>3063800.0655068955</v>
      </c>
      <c r="U48" s="189">
        <f t="shared" si="40"/>
        <v>3118224.8318579509</v>
      </c>
      <c r="V48" s="189">
        <f t="shared" si="40"/>
        <v>3173738.0935360282</v>
      </c>
      <c r="W48" s="189">
        <f t="shared" si="40"/>
        <v>3230361.6204476678</v>
      </c>
      <c r="X48" s="189">
        <f t="shared" si="40"/>
        <v>3288117.6178975385</v>
      </c>
      <c r="Y48" s="189">
        <f t="shared" si="40"/>
        <v>3347028.7352964077</v>
      </c>
      <c r="Z48" s="189">
        <f t="shared" si="40"/>
        <v>3407118.0750432541</v>
      </c>
      <c r="AA48" s="189">
        <f t="shared" si="40"/>
        <v>3468409.2015850376</v>
      </c>
      <c r="AB48" s="189">
        <f t="shared" si="40"/>
        <v>3530926.1506576557</v>
      </c>
      <c r="AC48" s="189">
        <f t="shared" si="40"/>
        <v>3594693.4387117275</v>
      </c>
      <c r="AD48" s="189">
        <f t="shared" si="40"/>
        <v>3659736.0725268796</v>
      </c>
      <c r="AE48" s="189">
        <f t="shared" si="40"/>
        <v>3726079.5590183358</v>
      </c>
      <c r="AF48" s="189">
        <f t="shared" si="40"/>
        <v>3793749.91523962</v>
      </c>
      <c r="AG48" s="227" t="s">
        <v>183</v>
      </c>
      <c r="AH48" s="240" t="s">
        <v>195</v>
      </c>
      <c r="AI48" s="240"/>
      <c r="AJ48" s="152"/>
    </row>
    <row r="49" spans="1:36" ht="15" customHeight="1" x14ac:dyDescent="0.25">
      <c r="A49" s="186" t="str">
        <f>CONCATENATE("Less: ",$A$4," Portion of FORA Remediation Bonds Debt Service")</f>
        <v>Less: Marina Portion of FORA Remediation Bonds Debt Service</v>
      </c>
      <c r="B49" s="186"/>
      <c r="C49" s="185">
        <v>0</v>
      </c>
      <c r="D49" s="215">
        <v>0</v>
      </c>
      <c r="E49" s="185">
        <v>0</v>
      </c>
      <c r="F49" s="185">
        <v>0</v>
      </c>
      <c r="G49" s="185">
        <v>0</v>
      </c>
      <c r="H49" s="185">
        <v>0</v>
      </c>
      <c r="I49" s="185">
        <v>0</v>
      </c>
      <c r="J49" s="185">
        <v>0</v>
      </c>
      <c r="K49" s="185">
        <v>0</v>
      </c>
      <c r="L49" s="185">
        <v>0</v>
      </c>
      <c r="M49" s="185">
        <v>0</v>
      </c>
      <c r="N49" s="185">
        <v>0</v>
      </c>
      <c r="O49" s="185">
        <v>0</v>
      </c>
      <c r="P49" s="185">
        <v>0</v>
      </c>
      <c r="Q49" s="185">
        <v>0</v>
      </c>
      <c r="R49" s="185">
        <v>0</v>
      </c>
      <c r="S49" s="185">
        <v>0</v>
      </c>
      <c r="T49" s="185">
        <v>0</v>
      </c>
      <c r="U49" s="185">
        <v>0</v>
      </c>
      <c r="V49" s="185">
        <v>0</v>
      </c>
      <c r="W49" s="185">
        <v>0</v>
      </c>
      <c r="X49" s="185">
        <v>0</v>
      </c>
      <c r="Y49" s="185">
        <v>0</v>
      </c>
      <c r="Z49" s="185">
        <v>0</v>
      </c>
      <c r="AA49" s="185">
        <v>0</v>
      </c>
      <c r="AB49" s="185">
        <v>0</v>
      </c>
      <c r="AC49" s="185">
        <v>0</v>
      </c>
      <c r="AD49" s="185">
        <v>0</v>
      </c>
      <c r="AE49" s="185">
        <v>0</v>
      </c>
      <c r="AF49" s="185">
        <v>0</v>
      </c>
      <c r="AG49" s="227" t="s">
        <v>147</v>
      </c>
      <c r="AH49" s="238" t="s">
        <v>147</v>
      </c>
      <c r="AI49" s="238"/>
      <c r="AJ49" s="152"/>
    </row>
    <row r="50" spans="1:36" ht="15" customHeight="1" x14ac:dyDescent="0.25">
      <c r="A50" s="192" t="s">
        <v>166</v>
      </c>
      <c r="B50" s="187"/>
      <c r="C50" s="190">
        <f>SUM(C48:C49)</f>
        <v>1116372.4243237537</v>
      </c>
      <c r="D50" s="217">
        <f t="shared" ref="D50:AF50" si="41">SUM(D48:D49)</f>
        <v>1372621.274548962</v>
      </c>
      <c r="E50" s="190">
        <f t="shared" si="41"/>
        <v>1589401.0426868701</v>
      </c>
      <c r="F50" s="190">
        <f t="shared" si="41"/>
        <v>1820416.3465918798</v>
      </c>
      <c r="G50" s="190">
        <f t="shared" si="41"/>
        <v>2013874.8000592378</v>
      </c>
      <c r="H50" s="190">
        <f t="shared" si="41"/>
        <v>2238452.2486584224</v>
      </c>
      <c r="I50" s="190">
        <f t="shared" si="41"/>
        <v>2437674.4253075281</v>
      </c>
      <c r="J50" s="190">
        <f t="shared" si="41"/>
        <v>2557306.810914048</v>
      </c>
      <c r="K50" s="190">
        <f t="shared" si="41"/>
        <v>2606204.3889790773</v>
      </c>
      <c r="L50" s="190">
        <f t="shared" si="41"/>
        <v>2656079.9186054068</v>
      </c>
      <c r="M50" s="190">
        <f t="shared" si="41"/>
        <v>2706952.9588242625</v>
      </c>
      <c r="N50" s="190">
        <f t="shared" si="41"/>
        <v>2758943.4980494822</v>
      </c>
      <c r="O50" s="190">
        <f t="shared" si="41"/>
        <v>2807271.1330513908</v>
      </c>
      <c r="P50" s="190">
        <f t="shared" si="41"/>
        <v>2856565.3207533369</v>
      </c>
      <c r="Q50" s="190">
        <f t="shared" si="41"/>
        <v>2906845.3922093217</v>
      </c>
      <c r="R50" s="190">
        <f t="shared" si="41"/>
        <v>2958131.0650944263</v>
      </c>
      <c r="S50" s="190">
        <f t="shared" si="41"/>
        <v>3010442.4514372321</v>
      </c>
      <c r="T50" s="190">
        <f t="shared" si="41"/>
        <v>3063800.0655068955</v>
      </c>
      <c r="U50" s="190">
        <f t="shared" si="41"/>
        <v>3118224.8318579509</v>
      </c>
      <c r="V50" s="190">
        <f t="shared" si="41"/>
        <v>3173738.0935360282</v>
      </c>
      <c r="W50" s="190">
        <f t="shared" si="41"/>
        <v>3230361.6204476678</v>
      </c>
      <c r="X50" s="190">
        <f t="shared" si="41"/>
        <v>3288117.6178975385</v>
      </c>
      <c r="Y50" s="190">
        <f t="shared" si="41"/>
        <v>3347028.7352964077</v>
      </c>
      <c r="Z50" s="190">
        <f t="shared" si="41"/>
        <v>3407118.0750432541</v>
      </c>
      <c r="AA50" s="190">
        <f t="shared" si="41"/>
        <v>3468409.2015850376</v>
      </c>
      <c r="AB50" s="190">
        <f t="shared" si="41"/>
        <v>3530926.1506576557</v>
      </c>
      <c r="AC50" s="190">
        <f t="shared" si="41"/>
        <v>3594693.4387117275</v>
      </c>
      <c r="AD50" s="190">
        <f t="shared" si="41"/>
        <v>3659736.0725268796</v>
      </c>
      <c r="AE50" s="190">
        <f t="shared" si="41"/>
        <v>3726079.5590183358</v>
      </c>
      <c r="AF50" s="190">
        <f t="shared" si="41"/>
        <v>3793749.91523962</v>
      </c>
      <c r="AG50" s="227" t="s">
        <v>184</v>
      </c>
      <c r="AH50" s="240" t="s">
        <v>196</v>
      </c>
      <c r="AI50" s="240"/>
      <c r="AJ50" s="152"/>
    </row>
    <row r="51" spans="1:36" ht="8.1" customHeight="1" x14ac:dyDescent="0.25">
      <c r="A51" s="171"/>
      <c r="B51" s="172"/>
      <c r="C51" s="136"/>
      <c r="D51" s="205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227"/>
      <c r="AH51" s="238"/>
      <c r="AI51" s="238"/>
      <c r="AJ51" s="152"/>
    </row>
    <row r="52" spans="1:36" ht="15" customHeight="1" x14ac:dyDescent="0.25">
      <c r="A52" s="198" t="s">
        <v>168</v>
      </c>
      <c r="B52" s="199"/>
      <c r="C52" s="135"/>
      <c r="D52" s="218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227"/>
      <c r="AH52" s="238"/>
      <c r="AI52" s="238"/>
      <c r="AJ52" s="152"/>
    </row>
    <row r="53" spans="1:36" ht="15" customHeight="1" x14ac:dyDescent="0.25">
      <c r="A53" s="200" t="s">
        <v>161</v>
      </c>
      <c r="B53" s="201">
        <v>0.38</v>
      </c>
      <c r="C53" s="135">
        <v>0</v>
      </c>
      <c r="D53" s="218">
        <v>0</v>
      </c>
      <c r="E53" s="135">
        <f>E50*$B$53</f>
        <v>603972.3962210106</v>
      </c>
      <c r="F53" s="135">
        <f t="shared" ref="F53:L53" si="42">F50*$B$53</f>
        <v>691758.21170491434</v>
      </c>
      <c r="G53" s="135">
        <f t="shared" si="42"/>
        <v>765272.4240225103</v>
      </c>
      <c r="H53" s="135">
        <f t="shared" si="42"/>
        <v>850611.85449020052</v>
      </c>
      <c r="I53" s="135">
        <f t="shared" si="42"/>
        <v>926316.28161686065</v>
      </c>
      <c r="J53" s="135">
        <f t="shared" si="42"/>
        <v>971776.58814733825</v>
      </c>
      <c r="K53" s="135">
        <f t="shared" si="42"/>
        <v>990357.66781204939</v>
      </c>
      <c r="L53" s="135">
        <f t="shared" si="42"/>
        <v>1009310.3690700546</v>
      </c>
      <c r="M53" s="135">
        <f>M50*$B$53</f>
        <v>1028642.1243532198</v>
      </c>
      <c r="N53" s="135">
        <f t="shared" ref="N53:AF53" si="43">N50*$B$53</f>
        <v>1048398.5292588032</v>
      </c>
      <c r="O53" s="135">
        <f t="shared" si="43"/>
        <v>1066763.0305595284</v>
      </c>
      <c r="P53" s="135">
        <f t="shared" si="43"/>
        <v>1085494.821886268</v>
      </c>
      <c r="Q53" s="135">
        <f t="shared" si="43"/>
        <v>1104601.2490395422</v>
      </c>
      <c r="R53" s="135">
        <f t="shared" si="43"/>
        <v>1124089.804735882</v>
      </c>
      <c r="S53" s="135">
        <f t="shared" si="43"/>
        <v>1143968.1315461481</v>
      </c>
      <c r="T53" s="135">
        <f t="shared" si="43"/>
        <v>1164244.0248926203</v>
      </c>
      <c r="U53" s="135">
        <f t="shared" si="43"/>
        <v>1184925.4361060213</v>
      </c>
      <c r="V53" s="135">
        <f t="shared" si="43"/>
        <v>1206020.4755436906</v>
      </c>
      <c r="W53" s="135">
        <f t="shared" si="43"/>
        <v>1227537.4157701137</v>
      </c>
      <c r="X53" s="135">
        <f t="shared" si="43"/>
        <v>1249484.6948010647</v>
      </c>
      <c r="Y53" s="135">
        <f t="shared" si="43"/>
        <v>1271870.919412635</v>
      </c>
      <c r="Z53" s="135">
        <f t="shared" si="43"/>
        <v>1294704.8685164365</v>
      </c>
      <c r="AA53" s="135">
        <f t="shared" si="43"/>
        <v>1317995.4966023143</v>
      </c>
      <c r="AB53" s="135">
        <f t="shared" si="43"/>
        <v>1341751.9372499092</v>
      </c>
      <c r="AC53" s="135">
        <f t="shared" si="43"/>
        <v>1365983.5067104565</v>
      </c>
      <c r="AD53" s="135">
        <f t="shared" si="43"/>
        <v>1390699.7075602142</v>
      </c>
      <c r="AE53" s="135">
        <f t="shared" si="43"/>
        <v>1415910.2324269677</v>
      </c>
      <c r="AF53" s="135">
        <f t="shared" si="43"/>
        <v>1441624.9677910556</v>
      </c>
      <c r="AG53" s="234"/>
      <c r="AH53" s="244" t="s">
        <v>172</v>
      </c>
      <c r="AI53" s="244"/>
      <c r="AJ53" s="124"/>
    </row>
    <row r="54" spans="1:36" ht="15" customHeight="1" x14ac:dyDescent="0.25">
      <c r="A54" s="200" t="s">
        <v>162</v>
      </c>
      <c r="B54" s="202">
        <v>0.08</v>
      </c>
      <c r="C54" s="135">
        <v>0</v>
      </c>
      <c r="D54" s="218">
        <v>0</v>
      </c>
      <c r="E54" s="135">
        <f t="shared" ref="E54:AF54" si="44">E50*$B$54</f>
        <v>127152.08341494961</v>
      </c>
      <c r="F54" s="135">
        <f t="shared" si="44"/>
        <v>145633.30772735039</v>
      </c>
      <c r="G54" s="135">
        <f t="shared" si="44"/>
        <v>161109.98400473903</v>
      </c>
      <c r="H54" s="135">
        <f t="shared" si="44"/>
        <v>179076.1798926738</v>
      </c>
      <c r="I54" s="135">
        <f t="shared" si="44"/>
        <v>195013.95402460225</v>
      </c>
      <c r="J54" s="135">
        <f t="shared" si="44"/>
        <v>204584.54487312384</v>
      </c>
      <c r="K54" s="135">
        <f t="shared" si="44"/>
        <v>208496.35111832619</v>
      </c>
      <c r="L54" s="135">
        <f t="shared" si="44"/>
        <v>212486.39348843254</v>
      </c>
      <c r="M54" s="135">
        <f t="shared" si="44"/>
        <v>216556.236705941</v>
      </c>
      <c r="N54" s="135">
        <f t="shared" si="44"/>
        <v>220715.47984395857</v>
      </c>
      <c r="O54" s="135">
        <f t="shared" si="44"/>
        <v>224581.69064411125</v>
      </c>
      <c r="P54" s="135">
        <f t="shared" si="44"/>
        <v>228525.22566026697</v>
      </c>
      <c r="Q54" s="135">
        <f t="shared" si="44"/>
        <v>232547.63137674573</v>
      </c>
      <c r="R54" s="135">
        <f t="shared" si="44"/>
        <v>236650.4852075541</v>
      </c>
      <c r="S54" s="135">
        <f t="shared" si="44"/>
        <v>240835.39611497856</v>
      </c>
      <c r="T54" s="135">
        <f t="shared" si="44"/>
        <v>245104.00524055166</v>
      </c>
      <c r="U54" s="135">
        <f t="shared" si="44"/>
        <v>249457.98654863608</v>
      </c>
      <c r="V54" s="135">
        <f t="shared" si="44"/>
        <v>253899.04748288225</v>
      </c>
      <c r="W54" s="135">
        <f t="shared" si="44"/>
        <v>258428.92963581343</v>
      </c>
      <c r="X54" s="135">
        <f t="shared" si="44"/>
        <v>263049.4094318031</v>
      </c>
      <c r="Y54" s="135">
        <f t="shared" si="44"/>
        <v>267762.29882371263</v>
      </c>
      <c r="Z54" s="135">
        <f t="shared" si="44"/>
        <v>272569.44600346033</v>
      </c>
      <c r="AA54" s="135">
        <f t="shared" si="44"/>
        <v>277472.73612680304</v>
      </c>
      <c r="AB54" s="135">
        <f t="shared" si="44"/>
        <v>282474.09205261245</v>
      </c>
      <c r="AC54" s="135">
        <f t="shared" si="44"/>
        <v>287575.4750969382</v>
      </c>
      <c r="AD54" s="135">
        <f t="shared" si="44"/>
        <v>292778.88580215035</v>
      </c>
      <c r="AE54" s="135">
        <f t="shared" si="44"/>
        <v>298086.36472146685</v>
      </c>
      <c r="AF54" s="135">
        <f t="shared" si="44"/>
        <v>303499.99321916961</v>
      </c>
      <c r="AG54" s="233"/>
      <c r="AH54" s="243" t="s">
        <v>173</v>
      </c>
      <c r="AI54" s="243"/>
      <c r="AJ54" s="152"/>
    </row>
    <row r="55" spans="1:36" ht="15" customHeight="1" x14ac:dyDescent="0.25">
      <c r="A55" s="200" t="s">
        <v>163</v>
      </c>
      <c r="B55" s="203">
        <v>0.54</v>
      </c>
      <c r="C55" s="135">
        <v>0</v>
      </c>
      <c r="D55" s="218">
        <v>0</v>
      </c>
      <c r="E55" s="135">
        <f t="shared" ref="E55:AF55" si="45">$B$55*E50</f>
        <v>858276.5630509099</v>
      </c>
      <c r="F55" s="135">
        <f t="shared" si="45"/>
        <v>983024.82715961523</v>
      </c>
      <c r="G55" s="135">
        <f t="shared" si="45"/>
        <v>1087492.3920319884</v>
      </c>
      <c r="H55" s="135">
        <f t="shared" si="45"/>
        <v>1208764.2142755482</v>
      </c>
      <c r="I55" s="135">
        <f t="shared" si="45"/>
        <v>1316344.1896660652</v>
      </c>
      <c r="J55" s="135">
        <f t="shared" si="45"/>
        <v>1380945.677893586</v>
      </c>
      <c r="K55" s="135">
        <f t="shared" si="45"/>
        <v>1407350.3700487018</v>
      </c>
      <c r="L55" s="135">
        <f t="shared" si="45"/>
        <v>1434283.1560469198</v>
      </c>
      <c r="M55" s="135">
        <f t="shared" si="45"/>
        <v>1461754.5977651018</v>
      </c>
      <c r="N55" s="135">
        <f t="shared" si="45"/>
        <v>1489829.4889467205</v>
      </c>
      <c r="O55" s="135">
        <f t="shared" si="45"/>
        <v>1515926.4118477511</v>
      </c>
      <c r="P55" s="135">
        <f t="shared" si="45"/>
        <v>1542545.2732068021</v>
      </c>
      <c r="Q55" s="135">
        <f t="shared" si="45"/>
        <v>1569696.5117930339</v>
      </c>
      <c r="R55" s="135">
        <f t="shared" si="45"/>
        <v>1597390.7751509903</v>
      </c>
      <c r="S55" s="135">
        <f t="shared" si="45"/>
        <v>1625638.9237761055</v>
      </c>
      <c r="T55" s="135">
        <f t="shared" si="45"/>
        <v>1654452.0353737236</v>
      </c>
      <c r="U55" s="135">
        <f t="shared" si="45"/>
        <v>1683841.4092032935</v>
      </c>
      <c r="V55" s="135">
        <f t="shared" si="45"/>
        <v>1713818.5705094554</v>
      </c>
      <c r="W55" s="135">
        <f t="shared" si="45"/>
        <v>1744395.2750417406</v>
      </c>
      <c r="X55" s="135">
        <f t="shared" si="45"/>
        <v>1775583.513664671</v>
      </c>
      <c r="Y55" s="135">
        <f t="shared" si="45"/>
        <v>1807395.5170600603</v>
      </c>
      <c r="Z55" s="135">
        <f t="shared" si="45"/>
        <v>1839843.7605233574</v>
      </c>
      <c r="AA55" s="135">
        <f t="shared" si="45"/>
        <v>1872940.9688559205</v>
      </c>
      <c r="AB55" s="135">
        <f t="shared" si="45"/>
        <v>1906700.1213551343</v>
      </c>
      <c r="AC55" s="135">
        <f t="shared" si="45"/>
        <v>1941134.4569043331</v>
      </c>
      <c r="AD55" s="135">
        <f t="shared" si="45"/>
        <v>1976257.4791645152</v>
      </c>
      <c r="AE55" s="135">
        <f t="shared" si="45"/>
        <v>2012082.9618699015</v>
      </c>
      <c r="AF55" s="135">
        <f t="shared" si="45"/>
        <v>2048624.9542293949</v>
      </c>
      <c r="AG55" s="227" t="s">
        <v>185</v>
      </c>
      <c r="AH55" s="240" t="s">
        <v>188</v>
      </c>
      <c r="AI55" s="240"/>
      <c r="AJ55" s="152"/>
    </row>
    <row r="56" spans="1:36" ht="15" customHeight="1" x14ac:dyDescent="0.25">
      <c r="A56" s="220" t="s">
        <v>160</v>
      </c>
      <c r="B56" s="221">
        <f>SUM(B53:B55)</f>
        <v>1</v>
      </c>
      <c r="C56" s="222">
        <f>SUM(C53:C55)</f>
        <v>0</v>
      </c>
      <c r="D56" s="223">
        <f t="shared" ref="D56:AF56" si="46">SUM(D53:D55)</f>
        <v>0</v>
      </c>
      <c r="E56" s="222">
        <f t="shared" si="46"/>
        <v>1589401.0426868701</v>
      </c>
      <c r="F56" s="222">
        <f t="shared" si="46"/>
        <v>1820416.3465918801</v>
      </c>
      <c r="G56" s="222">
        <f t="shared" si="46"/>
        <v>2013874.8000592378</v>
      </c>
      <c r="H56" s="222">
        <f t="shared" si="46"/>
        <v>2238452.2486584224</v>
      </c>
      <c r="I56" s="222">
        <f t="shared" si="46"/>
        <v>2437674.4253075281</v>
      </c>
      <c r="J56" s="222">
        <f t="shared" si="46"/>
        <v>2557306.810914048</v>
      </c>
      <c r="K56" s="222">
        <f t="shared" si="46"/>
        <v>2606204.3889790773</v>
      </c>
      <c r="L56" s="222">
        <f t="shared" si="46"/>
        <v>2656079.9186054068</v>
      </c>
      <c r="M56" s="222">
        <f t="shared" si="46"/>
        <v>2706952.9588242625</v>
      </c>
      <c r="N56" s="222">
        <f t="shared" si="46"/>
        <v>2758943.4980494822</v>
      </c>
      <c r="O56" s="222">
        <f t="shared" si="46"/>
        <v>2807271.1330513908</v>
      </c>
      <c r="P56" s="222">
        <f t="shared" si="46"/>
        <v>2856565.3207533369</v>
      </c>
      <c r="Q56" s="222">
        <f t="shared" si="46"/>
        <v>2906845.3922093217</v>
      </c>
      <c r="R56" s="222">
        <f t="shared" si="46"/>
        <v>2958131.0650944263</v>
      </c>
      <c r="S56" s="222">
        <f t="shared" si="46"/>
        <v>3010442.4514372321</v>
      </c>
      <c r="T56" s="222">
        <f t="shared" si="46"/>
        <v>3063800.0655068955</v>
      </c>
      <c r="U56" s="222">
        <f t="shared" si="46"/>
        <v>3118224.8318579509</v>
      </c>
      <c r="V56" s="222">
        <f t="shared" si="46"/>
        <v>3173738.0935360282</v>
      </c>
      <c r="W56" s="222">
        <f t="shared" si="46"/>
        <v>3230361.6204476678</v>
      </c>
      <c r="X56" s="222">
        <f t="shared" si="46"/>
        <v>3288117.6178975385</v>
      </c>
      <c r="Y56" s="222">
        <f t="shared" si="46"/>
        <v>3347028.7352964077</v>
      </c>
      <c r="Z56" s="222">
        <f t="shared" si="46"/>
        <v>3407118.0750432545</v>
      </c>
      <c r="AA56" s="222">
        <f t="shared" si="46"/>
        <v>3468409.2015850376</v>
      </c>
      <c r="AB56" s="222">
        <f t="shared" si="46"/>
        <v>3530926.1506576557</v>
      </c>
      <c r="AC56" s="222">
        <f t="shared" si="46"/>
        <v>3594693.438711728</v>
      </c>
      <c r="AD56" s="222">
        <f t="shared" si="46"/>
        <v>3659736.0725268796</v>
      </c>
      <c r="AE56" s="222">
        <f t="shared" si="46"/>
        <v>3726079.5590183362</v>
      </c>
      <c r="AF56" s="222">
        <f t="shared" si="46"/>
        <v>3793749.91523962</v>
      </c>
      <c r="AG56" s="227"/>
      <c r="AH56" s="238"/>
      <c r="AI56" s="238"/>
      <c r="AJ56" s="152"/>
    </row>
    <row r="57" spans="1:36" ht="8.1" customHeight="1" x14ac:dyDescent="0.25">
      <c r="A57" s="140"/>
      <c r="B57" s="101"/>
      <c r="C57" s="136"/>
      <c r="D57" s="205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227"/>
      <c r="AH57" s="238"/>
      <c r="AI57" s="238"/>
      <c r="AJ57" s="152"/>
    </row>
    <row r="58" spans="1:36" ht="15" customHeight="1" x14ac:dyDescent="0.25">
      <c r="A58" s="150" t="str">
        <f>CONCATENATE("Increase in ",A4," General Fund Revenues")</f>
        <v>Increase in Marina General Fund Revenues</v>
      </c>
      <c r="B58" s="251" t="s">
        <v>198</v>
      </c>
      <c r="C58" s="136"/>
      <c r="D58" s="205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227"/>
      <c r="AH58" s="238"/>
      <c r="AI58" s="238"/>
      <c r="AJ58" s="152"/>
    </row>
    <row r="59" spans="1:36" ht="30" customHeight="1" x14ac:dyDescent="0.25">
      <c r="A59" s="178" t="s">
        <v>199</v>
      </c>
      <c r="B59" s="252">
        <f>Scenarios!B7</f>
        <v>0.2</v>
      </c>
      <c r="C59" s="177">
        <v>0</v>
      </c>
      <c r="D59" s="224">
        <v>0</v>
      </c>
      <c r="E59" s="177">
        <f>E55*$B$59</f>
        <v>171655.31261018198</v>
      </c>
      <c r="F59" s="177">
        <f>F55*$B$59</f>
        <v>196604.96543192305</v>
      </c>
      <c r="G59" s="177">
        <f t="shared" ref="G59:L59" si="47">G55*$B$59</f>
        <v>217498.47840639768</v>
      </c>
      <c r="H59" s="177">
        <f t="shared" si="47"/>
        <v>241752.84285510966</v>
      </c>
      <c r="I59" s="177">
        <f t="shared" si="47"/>
        <v>263268.83793321304</v>
      </c>
      <c r="J59" s="177">
        <f t="shared" si="47"/>
        <v>276189.13557871722</v>
      </c>
      <c r="K59" s="177">
        <f t="shared" si="47"/>
        <v>281470.07400974038</v>
      </c>
      <c r="L59" s="177">
        <f t="shared" si="47"/>
        <v>286856.63120938395</v>
      </c>
      <c r="M59" s="177">
        <f>M55*$B$59</f>
        <v>292350.91955302039</v>
      </c>
      <c r="N59" s="177">
        <f t="shared" ref="N59:AF59" si="48">N55*$B$59</f>
        <v>297965.89778934413</v>
      </c>
      <c r="O59" s="177">
        <f t="shared" si="48"/>
        <v>303185.28236955026</v>
      </c>
      <c r="P59" s="177">
        <f t="shared" si="48"/>
        <v>308509.05464136042</v>
      </c>
      <c r="Q59" s="177">
        <f t="shared" si="48"/>
        <v>313939.30235860677</v>
      </c>
      <c r="R59" s="177">
        <f t="shared" si="48"/>
        <v>319478.1550301981</v>
      </c>
      <c r="S59" s="177">
        <f t="shared" si="48"/>
        <v>325127.7847552211</v>
      </c>
      <c r="T59" s="177">
        <f t="shared" si="48"/>
        <v>330890.40707474475</v>
      </c>
      <c r="U59" s="177">
        <f t="shared" si="48"/>
        <v>336768.28184065875</v>
      </c>
      <c r="V59" s="177">
        <f t="shared" si="48"/>
        <v>342763.71410189109</v>
      </c>
      <c r="W59" s="177">
        <f t="shared" si="48"/>
        <v>348879.05500834814</v>
      </c>
      <c r="X59" s="177">
        <f t="shared" si="48"/>
        <v>355116.70273293421</v>
      </c>
      <c r="Y59" s="177">
        <f t="shared" si="48"/>
        <v>361479.1034120121</v>
      </c>
      <c r="Z59" s="177">
        <f t="shared" si="48"/>
        <v>367968.7521046715</v>
      </c>
      <c r="AA59" s="177">
        <f t="shared" si="48"/>
        <v>374588.19377118413</v>
      </c>
      <c r="AB59" s="177">
        <f t="shared" si="48"/>
        <v>381340.02427102689</v>
      </c>
      <c r="AC59" s="177">
        <f t="shared" si="48"/>
        <v>388226.89138086664</v>
      </c>
      <c r="AD59" s="177">
        <f t="shared" si="48"/>
        <v>395251.49583290308</v>
      </c>
      <c r="AE59" s="177">
        <f t="shared" si="48"/>
        <v>402416.59237398033</v>
      </c>
      <c r="AF59" s="177">
        <f t="shared" si="48"/>
        <v>409724.99084587902</v>
      </c>
      <c r="AG59" s="235" t="s">
        <v>186</v>
      </c>
      <c r="AH59" s="245" t="s">
        <v>187</v>
      </c>
      <c r="AI59" s="245"/>
      <c r="AJ59" s="152"/>
    </row>
    <row r="60" spans="1:36" ht="15" hidden="1" customHeight="1" x14ac:dyDescent="0.25">
      <c r="A60" s="151" t="str">
        <f>CONCATENATE("Add Back In: 10% of Incremental FORA Share sent to ",A4)</f>
        <v>Add Back In: 10% of Incremental FORA Share sent to Marina</v>
      </c>
      <c r="B60" s="142"/>
      <c r="C60" s="145">
        <f t="shared" ref="C60:M60" si="49">-C47</f>
        <v>58388.38048041708</v>
      </c>
      <c r="D60" s="211">
        <f t="shared" si="49"/>
        <v>86860.47494988468</v>
      </c>
      <c r="E60" s="145">
        <f t="shared" si="49"/>
        <v>110947.11585409667</v>
      </c>
      <c r="F60" s="145">
        <f t="shared" si="49"/>
        <v>136615.4829546533</v>
      </c>
      <c r="G60" s="145">
        <f t="shared" si="49"/>
        <v>158110.86667324865</v>
      </c>
      <c r="H60" s="145">
        <f t="shared" si="49"/>
        <v>183063.91651760251</v>
      </c>
      <c r="I60" s="145">
        <f t="shared" si="49"/>
        <v>205199.71392305871</v>
      </c>
      <c r="J60" s="145">
        <f t="shared" si="49"/>
        <v>218492.20121267202</v>
      </c>
      <c r="K60" s="145">
        <f t="shared" si="49"/>
        <v>223925.26544211968</v>
      </c>
      <c r="L60" s="145">
        <f t="shared" si="49"/>
        <v>229466.99095615628</v>
      </c>
      <c r="M60" s="145">
        <f t="shared" si="49"/>
        <v>235119.55098047361</v>
      </c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227" t="s">
        <v>148</v>
      </c>
      <c r="AH60" s="238"/>
      <c r="AI60" s="238"/>
      <c r="AJ60" s="26"/>
    </row>
    <row r="61" spans="1:36" x14ac:dyDescent="0.25">
      <c r="A61" s="50" t="str">
        <f>CONCATENATE("Increase in Net Property Taxes Received by ",A4," General Fund *****")</f>
        <v>Increase in Net Property Taxes Received by Marina General Fund *****</v>
      </c>
      <c r="B61" s="50"/>
      <c r="C61" s="126">
        <f>C59</f>
        <v>0</v>
      </c>
      <c r="D61" s="279">
        <f t="shared" ref="D61:AF61" si="50">D59</f>
        <v>0</v>
      </c>
      <c r="E61" s="126">
        <f>E59</f>
        <v>171655.31261018198</v>
      </c>
      <c r="F61" s="126">
        <f>F59</f>
        <v>196604.96543192305</v>
      </c>
      <c r="G61" s="126">
        <f t="shared" si="50"/>
        <v>217498.47840639768</v>
      </c>
      <c r="H61" s="126">
        <f t="shared" si="50"/>
        <v>241752.84285510966</v>
      </c>
      <c r="I61" s="126">
        <f t="shared" si="50"/>
        <v>263268.83793321304</v>
      </c>
      <c r="J61" s="126">
        <f t="shared" si="50"/>
        <v>276189.13557871722</v>
      </c>
      <c r="K61" s="126">
        <f t="shared" si="50"/>
        <v>281470.07400974038</v>
      </c>
      <c r="L61" s="126">
        <f t="shared" si="50"/>
        <v>286856.63120938395</v>
      </c>
      <c r="M61" s="126">
        <f t="shared" si="50"/>
        <v>292350.91955302039</v>
      </c>
      <c r="N61" s="126">
        <f t="shared" si="50"/>
        <v>297965.89778934413</v>
      </c>
      <c r="O61" s="126">
        <f t="shared" si="50"/>
        <v>303185.28236955026</v>
      </c>
      <c r="P61" s="126">
        <f t="shared" si="50"/>
        <v>308509.05464136042</v>
      </c>
      <c r="Q61" s="126">
        <f t="shared" si="50"/>
        <v>313939.30235860677</v>
      </c>
      <c r="R61" s="126">
        <f t="shared" si="50"/>
        <v>319478.1550301981</v>
      </c>
      <c r="S61" s="126">
        <f t="shared" si="50"/>
        <v>325127.7847552211</v>
      </c>
      <c r="T61" s="126">
        <f t="shared" si="50"/>
        <v>330890.40707474475</v>
      </c>
      <c r="U61" s="126">
        <f t="shared" si="50"/>
        <v>336768.28184065875</v>
      </c>
      <c r="V61" s="126">
        <f t="shared" si="50"/>
        <v>342763.71410189109</v>
      </c>
      <c r="W61" s="126">
        <f t="shared" si="50"/>
        <v>348879.05500834814</v>
      </c>
      <c r="X61" s="126">
        <f t="shared" si="50"/>
        <v>355116.70273293421</v>
      </c>
      <c r="Y61" s="126">
        <f t="shared" si="50"/>
        <v>361479.1034120121</v>
      </c>
      <c r="Z61" s="126">
        <f t="shared" si="50"/>
        <v>367968.7521046715</v>
      </c>
      <c r="AA61" s="126">
        <f t="shared" si="50"/>
        <v>374588.19377118413</v>
      </c>
      <c r="AB61" s="126">
        <f t="shared" si="50"/>
        <v>381340.02427102689</v>
      </c>
      <c r="AC61" s="126">
        <f t="shared" si="50"/>
        <v>388226.89138086664</v>
      </c>
      <c r="AD61" s="126">
        <f t="shared" si="50"/>
        <v>395251.49583290308</v>
      </c>
      <c r="AE61" s="126">
        <f t="shared" si="50"/>
        <v>402416.59237398033</v>
      </c>
      <c r="AF61" s="126">
        <f t="shared" si="50"/>
        <v>409724.99084587902</v>
      </c>
      <c r="AG61" s="335"/>
      <c r="AH61" s="240" t="s">
        <v>216</v>
      </c>
      <c r="AI61" s="240"/>
    </row>
    <row r="62" spans="1:36" x14ac:dyDescent="0.25">
      <c r="A62" s="1" t="s">
        <v>103</v>
      </c>
      <c r="C62" s="109">
        <f>NPV(Assumptions!D4,'2 - Marina'!D61:AF61)+'2 - Marina'!C61</f>
        <v>4499579.1183127891</v>
      </c>
      <c r="E62" s="80"/>
      <c r="AG62" s="227"/>
      <c r="AH62" s="238"/>
      <c r="AI62" s="238"/>
    </row>
    <row r="63" spans="1:36" x14ac:dyDescent="0.25">
      <c r="D63" s="80"/>
      <c r="AG63" s="227"/>
      <c r="AH63" s="238"/>
      <c r="AI63" s="238"/>
    </row>
    <row r="64" spans="1:36" x14ac:dyDescent="0.25">
      <c r="A64" s="19" t="s">
        <v>96</v>
      </c>
      <c r="D64" s="80"/>
      <c r="AG64" s="227"/>
      <c r="AH64" s="238"/>
      <c r="AI64" s="238"/>
    </row>
    <row r="65" spans="1:35" x14ac:dyDescent="0.25">
      <c r="A65" s="19" t="s">
        <v>95</v>
      </c>
      <c r="E65" s="80"/>
      <c r="AG65" s="227"/>
      <c r="AH65" s="238"/>
      <c r="AI65" s="238"/>
    </row>
    <row r="66" spans="1:35" x14ac:dyDescent="0.25">
      <c r="A66" s="19" t="s">
        <v>175</v>
      </c>
      <c r="E66" s="80"/>
      <c r="AG66" s="227"/>
      <c r="AH66" s="238"/>
      <c r="AI66" s="238"/>
    </row>
    <row r="67" spans="1:35" x14ac:dyDescent="0.25">
      <c r="A67" s="19" t="s">
        <v>259</v>
      </c>
      <c r="E67" s="80"/>
      <c r="AG67" s="227"/>
      <c r="AH67" s="238"/>
      <c r="AI67" s="238"/>
    </row>
    <row r="68" spans="1:35" x14ac:dyDescent="0.25">
      <c r="A68" s="19" t="s">
        <v>174</v>
      </c>
      <c r="AG68" s="227"/>
      <c r="AH68" s="238"/>
      <c r="AI68" s="238"/>
    </row>
    <row r="69" spans="1:35" x14ac:dyDescent="0.25">
      <c r="A69" s="19"/>
      <c r="AG69" s="227"/>
      <c r="AH69" s="238"/>
      <c r="AI69" s="238"/>
    </row>
    <row r="70" spans="1:35" ht="15.75" x14ac:dyDescent="0.25">
      <c r="A70" s="65"/>
      <c r="AG70" s="227"/>
      <c r="AH70" s="238"/>
      <c r="AI70" s="238"/>
    </row>
    <row r="71" spans="1:35" x14ac:dyDescent="0.25">
      <c r="AG71" s="227"/>
      <c r="AH71" s="238"/>
      <c r="AI71" s="238"/>
    </row>
    <row r="72" spans="1:35" x14ac:dyDescent="0.25">
      <c r="AG72" s="236"/>
      <c r="AH72" s="246"/>
      <c r="AI72" s="246"/>
    </row>
  </sheetData>
  <mergeCells count="14">
    <mergeCell ref="AU22:AU25"/>
    <mergeCell ref="AV22:AV25"/>
    <mergeCell ref="AP23:AP25"/>
    <mergeCell ref="AQ23:AQ25"/>
    <mergeCell ref="AM24:AM25"/>
    <mergeCell ref="B45:B46"/>
    <mergeCell ref="C6:D6"/>
    <mergeCell ref="E6:M6"/>
    <mergeCell ref="AH10:AH12"/>
    <mergeCell ref="AT21:AT25"/>
    <mergeCell ref="AN22:AN25"/>
    <mergeCell ref="AO22:AO25"/>
    <mergeCell ref="AR22:AR25"/>
    <mergeCell ref="AS22:AS25"/>
  </mergeCells>
  <pageMargins left="0.25" right="0.25" top="0.75" bottom="0.75" header="0.3" footer="0.3"/>
  <pageSetup scale="5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18</vt:i4>
      </vt:variant>
    </vt:vector>
  </HeadingPairs>
  <TitlesOfParts>
    <vt:vector size="40" baseType="lpstr">
      <vt:lpstr>Scenarios</vt:lpstr>
      <vt:lpstr>Assumptions</vt:lpstr>
      <vt:lpstr>Total Rev for DS</vt:lpstr>
      <vt:lpstr>DS (Base Case)</vt:lpstr>
      <vt:lpstr>1 - Marina</vt:lpstr>
      <vt:lpstr>1 - Seaside</vt:lpstr>
      <vt:lpstr>1 - DRO</vt:lpstr>
      <vt:lpstr>1 - County</vt:lpstr>
      <vt:lpstr>2 - Marina</vt:lpstr>
      <vt:lpstr>2 - Seaside</vt:lpstr>
      <vt:lpstr>2 - DRO</vt:lpstr>
      <vt:lpstr>2 - County</vt:lpstr>
      <vt:lpstr>3 - Marina</vt:lpstr>
      <vt:lpstr>3 - Seaside</vt:lpstr>
      <vt:lpstr>3 - DRO</vt:lpstr>
      <vt:lpstr>3 - County</vt:lpstr>
      <vt:lpstr>4 - Marina</vt:lpstr>
      <vt:lpstr>4 - Seaside</vt:lpstr>
      <vt:lpstr>4 - DRO</vt:lpstr>
      <vt:lpstr>4 - County</vt:lpstr>
      <vt:lpstr>HSC 33482.78 PTs</vt:lpstr>
      <vt:lpstr>UC</vt:lpstr>
      <vt:lpstr>'1 - County'!Print_Area</vt:lpstr>
      <vt:lpstr>'1 - DRO'!Print_Area</vt:lpstr>
      <vt:lpstr>'1 - Marina'!Print_Area</vt:lpstr>
      <vt:lpstr>'1 - Seaside'!Print_Area</vt:lpstr>
      <vt:lpstr>'2 - County'!Print_Area</vt:lpstr>
      <vt:lpstr>'2 - DRO'!Print_Area</vt:lpstr>
      <vt:lpstr>'2 - Marina'!Print_Area</vt:lpstr>
      <vt:lpstr>'2 - Seaside'!Print_Area</vt:lpstr>
      <vt:lpstr>'3 - County'!Print_Area</vt:lpstr>
      <vt:lpstr>'3 - DRO'!Print_Area</vt:lpstr>
      <vt:lpstr>'3 - Marina'!Print_Area</vt:lpstr>
      <vt:lpstr>'3 - Seaside'!Print_Area</vt:lpstr>
      <vt:lpstr>'4 - County'!Print_Area</vt:lpstr>
      <vt:lpstr>'4 - DRO'!Print_Area</vt:lpstr>
      <vt:lpstr>'4 - Marina'!Print_Area</vt:lpstr>
      <vt:lpstr>'4 - Seaside'!Print_Area</vt:lpstr>
      <vt:lpstr>'DS (Base Case)'!Print_Area</vt:lpstr>
      <vt:lpstr>UC!Print_Area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Sprunger</dc:creator>
  <cp:lastModifiedBy>Jen Simon</cp:lastModifiedBy>
  <cp:lastPrinted>2019-06-12T22:15:49Z</cp:lastPrinted>
  <dcterms:created xsi:type="dcterms:W3CDTF">2019-03-06T16:57:29Z</dcterms:created>
  <dcterms:modified xsi:type="dcterms:W3CDTF">2019-08-02T15:17:09Z</dcterms:modified>
</cp:coreProperties>
</file>